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5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GoogleDrive/Drive partagés/Drive KLOROS/02. Carbone/01. Projets &amp; dossiers/01. Dossiers LBC/Chatel Censoir/Boisement Chatel-Censoir/"/>
    </mc:Choice>
  </mc:AlternateContent>
  <xr:revisionPtr revIDLastSave="0" documentId="13_ncr:1_{4AE420D8-98BB-1F46-ADA1-58AFCA2D0F32}" xr6:coauthVersionLast="36" xr6:coauthVersionMax="36" xr10:uidLastSave="{00000000-0000-0000-0000-000000000000}"/>
  <bookViews>
    <workbookView xWindow="16800" yWindow="500" windowWidth="16800" windowHeight="20500" tabRatio="86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6" l="1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ED154" i="2" s="1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EB156" i="2" l="1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D157" i="2" s="1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A161" i="2"/>
  <c r="ED161" i="2" s="1"/>
  <c r="ED160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B162" i="2" l="1"/>
  <c r="DI161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D172" i="2" s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D177" i="2"/>
  <c r="EB178" i="2"/>
  <c r="ED178" i="2" s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EB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C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A193" i="2" l="1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B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AN152" i="2" s="1"/>
  <c r="BS72" i="2"/>
  <c r="BE74" i="2"/>
  <c r="BF73" i="2"/>
  <c r="BG73" i="2" s="1"/>
  <c r="BH73" i="2" s="1"/>
  <c r="AN60" i="2" l="1"/>
  <c r="AN134" i="2"/>
  <c r="AN150" i="2"/>
  <c r="AN196" i="2"/>
  <c r="AN116" i="2"/>
  <c r="AN100" i="2"/>
  <c r="AN184" i="2"/>
  <c r="AN182" i="2"/>
  <c r="AN96" i="2"/>
  <c r="AN176" i="2"/>
  <c r="AN113" i="2"/>
  <c r="AN15" i="2"/>
  <c r="AN71" i="2"/>
  <c r="AN58" i="2"/>
  <c r="AN87" i="2"/>
  <c r="AN52" i="2"/>
  <c r="AN132" i="2"/>
  <c r="AN85" i="2"/>
  <c r="AN65" i="2"/>
  <c r="AN7" i="2"/>
  <c r="AN120" i="2"/>
  <c r="AN10" i="2"/>
  <c r="AN125" i="2"/>
  <c r="AN30" i="2"/>
  <c r="AN163" i="2"/>
  <c r="AN157" i="2"/>
  <c r="AN77" i="2"/>
  <c r="AN185" i="2"/>
  <c r="AN126" i="2"/>
  <c r="AN135" i="2"/>
  <c r="AN62" i="2"/>
  <c r="AN73" i="2"/>
  <c r="AN108" i="2"/>
  <c r="AN25" i="2"/>
  <c r="AN95" i="2"/>
  <c r="AN66" i="2"/>
  <c r="AN195" i="2"/>
  <c r="AN166" i="2"/>
  <c r="AN179" i="2"/>
  <c r="AN102" i="2"/>
  <c r="AN139" i="2"/>
  <c r="AN6" i="2"/>
  <c r="AN148" i="2"/>
  <c r="AN24" i="2"/>
  <c r="AN99" i="2"/>
  <c r="AN5" i="2"/>
  <c r="AN90" i="2"/>
  <c r="AN69" i="2"/>
  <c r="AN68" i="2"/>
  <c r="AN3" i="2"/>
  <c r="C7" i="4" s="1"/>
  <c r="E7" i="4" s="1"/>
  <c r="F7" i="4" s="1"/>
  <c r="G7" i="4" s="1"/>
  <c r="L7" i="4" s="1"/>
  <c r="AN202" i="2"/>
  <c r="AN194" i="2"/>
  <c r="AN29" i="2"/>
  <c r="AN34" i="2"/>
  <c r="AN53" i="2"/>
  <c r="AN36" i="2"/>
  <c r="AN122" i="2"/>
  <c r="AN43" i="2"/>
  <c r="AN114" i="2"/>
  <c r="AN82" i="2"/>
  <c r="AN37" i="2"/>
  <c r="AN14" i="2"/>
  <c r="AN143" i="2"/>
  <c r="AN172" i="2"/>
  <c r="AN21" i="2"/>
  <c r="AN181" i="2"/>
  <c r="AN23" i="2"/>
  <c r="AN86" i="2"/>
  <c r="AN55" i="2"/>
  <c r="AN104" i="2"/>
  <c r="AN27" i="2"/>
  <c r="AN48" i="2"/>
  <c r="AN173" i="2"/>
  <c r="AN105" i="2"/>
  <c r="AN74" i="2"/>
  <c r="AN39" i="2"/>
  <c r="AN137" i="2"/>
  <c r="AN50" i="2"/>
  <c r="AN44" i="2"/>
  <c r="AN57" i="2"/>
  <c r="AN168" i="2"/>
  <c r="AN109" i="2"/>
  <c r="AN160" i="2"/>
  <c r="AN12" i="2"/>
  <c r="AN46" i="2"/>
  <c r="AN153" i="2"/>
  <c r="AN189" i="2"/>
  <c r="AN127" i="2"/>
  <c r="AN159" i="2"/>
  <c r="AN167" i="2"/>
  <c r="AN130" i="2"/>
  <c r="AN201" i="2"/>
  <c r="AN56" i="2"/>
  <c r="AN200" i="2"/>
  <c r="AN145" i="2"/>
  <c r="AN81" i="2"/>
  <c r="AN121" i="2"/>
  <c r="AN128" i="2"/>
  <c r="AN38" i="2"/>
  <c r="AN156" i="2"/>
  <c r="AN94" i="2"/>
  <c r="AN141" i="2"/>
  <c r="AN115" i="2"/>
  <c r="AN79" i="2"/>
  <c r="AN61" i="2"/>
  <c r="AN31" i="2"/>
  <c r="AN147" i="2"/>
  <c r="AN32" i="2"/>
  <c r="AN171" i="2"/>
  <c r="AN101" i="2"/>
  <c r="AN199" i="2"/>
  <c r="AN78" i="2"/>
  <c r="AN170" i="2"/>
  <c r="AN180" i="2"/>
  <c r="AN142" i="2"/>
  <c r="AN8" i="2"/>
  <c r="AN138" i="2"/>
  <c r="AN112" i="2"/>
  <c r="AN49" i="2"/>
  <c r="AN117" i="2"/>
  <c r="AN28" i="2"/>
  <c r="AN136" i="2"/>
  <c r="AN4" i="2"/>
  <c r="AN123" i="2"/>
  <c r="AN92" i="2"/>
  <c r="AN161" i="2"/>
  <c r="AN155" i="2"/>
  <c r="AN20" i="2"/>
  <c r="AN175" i="2"/>
  <c r="AN131" i="2"/>
  <c r="AN144" i="2"/>
  <c r="AN67" i="2"/>
  <c r="AN75" i="2"/>
  <c r="AN110" i="2"/>
  <c r="AN19" i="2"/>
  <c r="AN198" i="2"/>
  <c r="AN9" i="2"/>
  <c r="AN42" i="2"/>
  <c r="AN64" i="2"/>
  <c r="AN18" i="2"/>
  <c r="AN178" i="2"/>
  <c r="AN41" i="2"/>
  <c r="AN190" i="2"/>
  <c r="AN33" i="2"/>
  <c r="AN187" i="2"/>
  <c r="AN88" i="2"/>
  <c r="AN188" i="2"/>
  <c r="AN83" i="2"/>
  <c r="AN35" i="2"/>
  <c r="AN54" i="2"/>
  <c r="AN80" i="2"/>
  <c r="AN40" i="2"/>
  <c r="AN107" i="2"/>
  <c r="AN45" i="2"/>
  <c r="AN51" i="2"/>
  <c r="AN97" i="2"/>
  <c r="AN119" i="2"/>
  <c r="AN146" i="2"/>
  <c r="AN70" i="2"/>
  <c r="AN26" i="2"/>
  <c r="AN111" i="2"/>
  <c r="AN149" i="2"/>
  <c r="AN91" i="2"/>
  <c r="AN72" i="2"/>
  <c r="AN154" i="2"/>
  <c r="AN192" i="2"/>
  <c r="AN129" i="2"/>
  <c r="AN76" i="2"/>
  <c r="AN151" i="2"/>
  <c r="AN13" i="2"/>
  <c r="AN17" i="2"/>
  <c r="AN103" i="2"/>
  <c r="AN47" i="2"/>
  <c r="AN186" i="2"/>
  <c r="AN133" i="2"/>
  <c r="AN59" i="2"/>
  <c r="AN193" i="2"/>
  <c r="AN197" i="2"/>
  <c r="AN84" i="2"/>
  <c r="AN174" i="2"/>
  <c r="AN165" i="2"/>
  <c r="AN89" i="2"/>
  <c r="AN11" i="2"/>
  <c r="AN203" i="2"/>
  <c r="AN191" i="2"/>
  <c r="AN183" i="2"/>
  <c r="AN158" i="2"/>
  <c r="AN93" i="2"/>
  <c r="AN124" i="2"/>
  <c r="AN164" i="2"/>
  <c r="AN169" i="2"/>
  <c r="AN177" i="2"/>
  <c r="AN140" i="2"/>
  <c r="AN162" i="2"/>
  <c r="AN16" i="2"/>
  <c r="AN106" i="2"/>
  <c r="AN22" i="2"/>
  <c r="AN118" i="2"/>
  <c r="AN98" i="2"/>
  <c r="AN63" i="2"/>
  <c r="FE162" i="2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<sst xmlns="http://schemas.openxmlformats.org/spreadsheetml/2006/main" count="1175" uniqueCount="324">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</sst>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2.7419714479881852</c:v>
                </c:pt>
                <c:pt idx="2">
                  <c:v>3.2541923006539784</c:v>
                </c:pt>
                <c:pt idx="3">
                  <c:v>3.862452751141928</c:v>
                </c:pt>
                <c:pt idx="4">
                  <c:v>4.5848223463176021</c:v>
                </c:pt>
                <c:pt idx="5">
                  <c:v>5.4427813762204833</c:v>
                </c:pt>
                <c:pt idx="6">
                  <c:v>6.4618666095307828</c:v>
                </c:pt>
                <c:pt idx="7">
                  <c:v>7.6724396213314643</c:v>
                </c:pt>
                <c:pt idx="8">
                  <c:v>9.1106010464221434</c:v>
                </c:pt>
                <c:pt idx="9">
                  <c:v>10.81927854282449</c:v>
                </c:pt>
                <c:pt idx="10">
                  <c:v>12.849521552502727</c:v>
                </c:pt>
                <c:pt idx="11">
                  <c:v>15.262042262709263</c:v>
                </c:pt>
                <c:pt idx="12">
                  <c:v>18.129049696032411</c:v>
                </c:pt>
                <c:pt idx="13">
                  <c:v>21.536432821732976</c:v>
                </c:pt>
                <c:pt idx="14">
                  <c:v>25.586359261324773</c:v>
                </c:pt>
                <c:pt idx="15">
                  <c:v>30.400368886593679</c:v>
                </c:pt>
                <c:pt idx="16">
                  <c:v>36.123056770563934</c:v>
                </c:pt>
                <c:pt idx="17">
                  <c:v>42.926458018854021</c:v>
                </c:pt>
                <c:pt idx="18">
                  <c:v>51.015268537800971</c:v>
                </c:pt>
                <c:pt idx="19">
                  <c:v>60.633061451176552</c:v>
                </c:pt>
                <c:pt idx="20">
                  <c:v>72.06968945151668</c:v>
                </c:pt>
                <c:pt idx="21">
                  <c:v>85.670099809607407</c:v>
                </c:pt>
                <c:pt idx="22">
                  <c:v>101.84483219274767</c:v>
                </c:pt>
                <c:pt idx="23">
                  <c:v>121.08252120189825</c:v>
                </c:pt>
                <c:pt idx="24">
                  <c:v>143.96478723095586</c:v>
                </c:pt>
                <c:pt idx="25">
                  <c:v>171.18397278750874</c:v>
                </c:pt>
                <c:pt idx="26">
                  <c:v>164.63785790610953</c:v>
                </c:pt>
                <c:pt idx="27">
                  <c:v>174.78180843714335</c:v>
                </c:pt>
                <c:pt idx="28">
                  <c:v>184.91193253803272</c:v>
                </c:pt>
                <c:pt idx="29">
                  <c:v>195.02909518291355</c:v>
                </c:pt>
                <c:pt idx="30">
                  <c:v>205.13406416365197</c:v>
                </c:pt>
                <c:pt idx="31">
                  <c:v>215.22752536323199</c:v>
                </c:pt>
                <c:pt idx="32">
                  <c:v>225.31009500962568</c:v>
                </c:pt>
                <c:pt idx="33">
                  <c:v>235.38232961834748</c:v>
                </c:pt>
                <c:pt idx="34">
                  <c:v>245.44473414197432</c:v>
                </c:pt>
                <c:pt idx="35">
                  <c:v>255.49776871177528</c:v>
                </c:pt>
                <c:pt idx="36">
                  <c:v>265.54185426165969</c:v>
                </c:pt>
                <c:pt idx="37">
                  <c:v>275.57737725589101</c:v>
                </c:pt>
                <c:pt idx="38">
                  <c:v>259.50025290834731</c:v>
                </c:pt>
                <c:pt idx="39">
                  <c:v>270.33405277101582</c:v>
                </c:pt>
                <c:pt idx="40">
                  <c:v>281.15808475406868</c:v>
                </c:pt>
                <c:pt idx="41">
                  <c:v>291.9727781224264</c:v>
                </c:pt>
                <c:pt idx="42">
                  <c:v>302.77852772517383</c:v>
                </c:pt>
                <c:pt idx="43">
                  <c:v>313.57569791107994</c:v>
                </c:pt>
                <c:pt idx="44">
                  <c:v>324.36462587631507</c:v>
                </c:pt>
                <c:pt idx="45">
                  <c:v>335.14562454324306</c:v>
                </c:pt>
                <c:pt idx="46">
                  <c:v>345.91898504925524</c:v>
                </c:pt>
                <c:pt idx="47">
                  <c:v>356.68497890921986</c:v>
                </c:pt>
                <c:pt idx="48">
                  <c:v>367.44385990311406</c:v>
                </c:pt>
                <c:pt idx="49">
                  <c:v>378.19586573095006</c:v>
                </c:pt>
                <c:pt idx="50">
                  <c:v>351.80818781812013</c:v>
                </c:pt>
                <c:pt idx="51">
                  <c:v>362.39497141960061</c:v>
                </c:pt>
                <c:pt idx="52">
                  <c:v>372.9749959872172</c:v>
                </c:pt>
                <c:pt idx="53">
                  <c:v>383.54848035017136</c:v>
                </c:pt>
                <c:pt idx="54">
                  <c:v>394.11563028369704</c:v>
                </c:pt>
                <c:pt idx="55">
                  <c:v>404.67663962441821</c:v>
                </c:pt>
                <c:pt idx="56">
                  <c:v>415.2316912631764</c:v>
                </c:pt>
                <c:pt idx="57">
                  <c:v>425.7809580316204</c:v>
                </c:pt>
                <c:pt idx="58">
                  <c:v>436.32460349633675</c:v>
                </c:pt>
                <c:pt idx="59">
                  <c:v>446.86278267220581</c:v>
                </c:pt>
                <c:pt idx="60">
                  <c:v>457.39564266495387</c:v>
                </c:pt>
                <c:pt idx="61">
                  <c:v>467.92332325142814</c:v>
                </c:pt>
                <c:pt idx="62">
                  <c:v>431.80566101901837</c:v>
                </c:pt>
                <c:pt idx="63">
                  <c:v>441.44784728005243</c:v>
                </c:pt>
                <c:pt idx="64">
                  <c:v>451.08552019983085</c:v>
                </c:pt>
                <c:pt idx="65">
                  <c:v>460.71878983097486</c:v>
                </c:pt>
                <c:pt idx="66">
                  <c:v>470.34776124726608</c:v>
                </c:pt>
                <c:pt idx="67">
                  <c:v>479.972534868401</c:v>
                </c:pt>
                <c:pt idx="68">
                  <c:v>489.59320675733761</c:v>
                </c:pt>
                <c:pt idx="69">
                  <c:v>499.20986889305169</c:v>
                </c:pt>
                <c:pt idx="70">
                  <c:v>508.82260942117978</c:v>
                </c:pt>
                <c:pt idx="71">
                  <c:v>518.43151288473462</c:v>
                </c:pt>
                <c:pt idx="72">
                  <c:v>528.03666043682745</c:v>
                </c:pt>
                <c:pt idx="73">
                  <c:v>537.63813003710413</c:v>
                </c:pt>
                <c:pt idx="74">
                  <c:v>493.60009896514015</c:v>
                </c:pt>
                <c:pt idx="75">
                  <c:v>502.16116984193036</c:v>
                </c:pt>
                <c:pt idx="76">
                  <c:v>510.71915277997118</c:v>
                </c:pt>
                <c:pt idx="77">
                  <c:v>519.27410683207404</c:v>
                </c:pt>
                <c:pt idx="78">
                  <c:v>527.82608894614134</c:v>
                </c:pt>
                <c:pt idx="79">
                  <c:v>536.37515407382011</c:v>
                </c:pt>
                <c:pt idx="80">
                  <c:v>544.92135527186895</c:v>
                </c:pt>
                <c:pt idx="81">
                  <c:v>553.464743796834</c:v>
                </c:pt>
                <c:pt idx="82">
                  <c:v>562.00536919357535</c:v>
                </c:pt>
                <c:pt idx="83">
                  <c:v>570.54327937813161</c:v>
                </c:pt>
                <c:pt idx="84">
                  <c:v>579.07852071536729</c:v>
                </c:pt>
                <c:pt idx="85">
                  <c:v>587.61113809180449</c:v>
                </c:pt>
                <c:pt idx="86">
                  <c:v>537.4531526109364</c:v>
                </c:pt>
                <c:pt idx="87">
                  <c:v>544.78744409380886</c:v>
                </c:pt>
                <c:pt idx="88">
                  <c:v>552.11966342530957</c:v>
                </c:pt>
                <c:pt idx="89">
                  <c:v>559.44984201206989</c:v>
                </c:pt>
                <c:pt idx="90">
                  <c:v>566.77801037038398</c:v>
                </c:pt>
                <c:pt idx="91">
                  <c:v>574.10419816288299</c:v>
                </c:pt>
                <c:pt idx="92">
                  <c:v>581.42843423324177</c:v>
                </c:pt>
                <c:pt idx="93">
                  <c:v>588.75074663904445</c:v>
                </c:pt>
                <c:pt idx="94">
                  <c:v>596.07116268293191</c:v>
                </c:pt>
                <c:pt idx="95">
                  <c:v>603.38970894213583</c:v>
                </c:pt>
                <c:pt idx="96">
                  <c:v>610.70641129651131</c:v>
                </c:pt>
                <c:pt idx="97">
                  <c:v>618.02129495514885</c:v>
                </c:pt>
                <c:pt idx="98">
                  <c:v>563.61917715975972</c:v>
                </c:pt>
                <c:pt idx="99">
                  <c:v>569.68642382452936</c:v>
                </c:pt>
                <c:pt idx="100">
                  <c:v>575.7523204333994</c:v>
                </c:pt>
                <c:pt idx="101">
                  <c:v>581.81688322098819</c:v>
                </c:pt>
                <c:pt idx="102">
                  <c:v>587.88012805575852</c:v>
                </c:pt>
                <c:pt idx="103">
                  <c:v>593.94207045205121</c:v>
                </c:pt>
                <c:pt idx="104">
                  <c:v>600.00272558159861</c:v>
                </c:pt>
                <c:pt idx="105">
                  <c:v>606.06210828455255</c:v>
                </c:pt>
                <c:pt idx="106">
                  <c:v>612.12023308004439</c:v>
                </c:pt>
                <c:pt idx="107">
                  <c:v>618.17711417630858</c:v>
                </c:pt>
                <c:pt idx="108">
                  <c:v>624.23276548038689</c:v>
                </c:pt>
                <c:pt idx="109">
                  <c:v>630.28720060743683</c:v>
                </c:pt>
                <c:pt idx="110">
                  <c:v>573.47358613508766</c:v>
                </c:pt>
                <c:pt idx="111">
                  <c:v>578.34612222014346</c:v>
                </c:pt>
                <c:pt idx="112">
                  <c:v>583.21780188816786</c:v>
                </c:pt>
                <c:pt idx="113">
                  <c:v>588.08863330521103</c:v>
                </c:pt>
                <c:pt idx="114">
                  <c:v>592.95862449096046</c:v>
                </c:pt>
                <c:pt idx="115">
                  <c:v>597.82778332257271</c:v>
                </c:pt>
                <c:pt idx="116">
                  <c:v>602.69611753837171</c:v>
                </c:pt>
                <c:pt idx="117">
                  <c:v>607.56363474142245</c:v>
                </c:pt>
                <c:pt idx="118">
                  <c:v>612.43034240298311</c:v>
                </c:pt>
                <c:pt idx="119">
                  <c:v>617.29624786584327</c:v>
                </c:pt>
                <c:pt idx="120">
                  <c:v>622.16135834755028</c:v>
                </c:pt>
                <c:pt idx="121">
                  <c:v>627.02568094352932</c:v>
                </c:pt>
                <c:pt idx="122">
                  <c:v>569.51281969855779</c:v>
                </c:pt>
                <c:pt idx="123">
                  <c:v>573.36848272299119</c:v>
                </c:pt>
                <c:pt idx="124">
                  <c:v>577.223604348398</c:v>
                </c:pt>
                <c:pt idx="125">
                  <c:v>581.0781887028503</c:v>
                </c:pt>
                <c:pt idx="126">
                  <c:v>584.93223985515408</c:v>
                </c:pt>
                <c:pt idx="127">
                  <c:v>588.78576181609424</c:v>
                </c:pt>
                <c:pt idx="128">
                  <c:v>592.63875853964532</c:v>
                </c:pt>
                <c:pt idx="129">
                  <c:v>596.49123392414754</c:v>
                </c:pt>
                <c:pt idx="130">
                  <c:v>600.3431918134529</c:v>
                </c:pt>
                <c:pt idx="131">
                  <c:v>604.19463599803771</c:v>
                </c:pt>
                <c:pt idx="132">
                  <c:v>608.045570216089</c:v>
                </c:pt>
                <c:pt idx="133">
                  <c:v>611.89599815455779</c:v>
                </c:pt>
                <c:pt idx="134">
                  <c:v>554.98664194471769</c:v>
                </c:pt>
                <c:pt idx="135">
                  <c:v>557.94891358349184</c:v>
                </c:pt>
                <c:pt idx="136">
                  <c:v>560.91085590964042</c:v>
                </c:pt>
                <c:pt idx="137">
                  <c:v>563.87247090877611</c:v>
                </c:pt>
                <c:pt idx="138">
                  <c:v>566.83376054393568</c:v>
                </c:pt>
                <c:pt idx="139">
                  <c:v>569.7947267559581</c:v>
                </c:pt>
                <c:pt idx="140">
                  <c:v>572.75537146385136</c:v>
                </c:pt>
                <c:pt idx="141">
                  <c:v>575.71569656515112</c:v>
                </c:pt>
                <c:pt idx="142">
                  <c:v>578.6757039362742</c:v>
                </c:pt>
                <c:pt idx="143">
                  <c:v>581.63539543286197</c:v>
                </c:pt>
                <c:pt idx="144">
                  <c:v>584.59477289011818</c:v>
                </c:pt>
                <c:pt idx="145">
                  <c:v>587.55383812313755</c:v>
                </c:pt>
                <c:pt idx="146">
                  <c:v>532.35617739455495</c:v>
                </c:pt>
                <c:pt idx="147">
                  <c:v>534.65281332587904</c:v>
                </c:pt>
                <c:pt idx="148">
                  <c:v>536.94924179818941</c:v>
                </c:pt>
                <c:pt idx="149">
                  <c:v>539.24546382475887</c:v>
                </c:pt>
                <c:pt idx="150">
                  <c:v>541.54148040951929</c:v>
                </c:pt>
                <c:pt idx="151">
                  <c:v>543.83729254718719</c:v>
                </c:pt>
                <c:pt idx="152">
                  <c:v>546.13290122338844</c:v>
                </c:pt>
                <c:pt idx="153">
                  <c:v>548.4283074147794</c:v>
                </c:pt>
                <c:pt idx="154">
                  <c:v>550.72351208916746</c:v>
                </c:pt>
                <c:pt idx="155">
                  <c:v>553.01851620562775</c:v>
                </c:pt>
                <c:pt idx="156">
                  <c:v>555.31332071461941</c:v>
                </c:pt>
                <c:pt idx="157">
                  <c:v>557.60792655809757</c:v>
                </c:pt>
                <c:pt idx="158">
                  <c:v>503.0554308844732</c:v>
                </c:pt>
                <c:pt idx="159">
                  <c:v>503.0554308844732</c:v>
                </c:pt>
                <c:pt idx="160">
                  <c:v>503.0554308844732</c:v>
                </c:pt>
                <c:pt idx="161">
                  <c:v>503.0554308844732</c:v>
                </c:pt>
                <c:pt idx="162">
                  <c:v>503.0554308844732</c:v>
                </c:pt>
                <c:pt idx="163">
                  <c:v>503.0554308844732</c:v>
                </c:pt>
                <c:pt idx="164">
                  <c:v>503.0554308844732</c:v>
                </c:pt>
                <c:pt idx="165">
                  <c:v>503.0554308844732</c:v>
                </c:pt>
                <c:pt idx="166">
                  <c:v>503.0554308844732</c:v>
                </c:pt>
                <c:pt idx="167">
                  <c:v>503.0554308844732</c:v>
                </c:pt>
                <c:pt idx="168">
                  <c:v>503.0554308844732</c:v>
                </c:pt>
                <c:pt idx="169">
                  <c:v>503.0554308844732</c:v>
                </c:pt>
                <c:pt idx="170">
                  <c:v>503.0554308844732</c:v>
                </c:pt>
                <c:pt idx="171">
                  <c:v>503.0554308844732</c:v>
                </c:pt>
                <c:pt idx="172">
                  <c:v>503.0554308844732</c:v>
                </c:pt>
                <c:pt idx="173">
                  <c:v>503.0554308844732</c:v>
                </c:pt>
                <c:pt idx="174">
                  <c:v>503.0554308844732</c:v>
                </c:pt>
                <c:pt idx="175">
                  <c:v>503.0554308844732</c:v>
                </c:pt>
                <c:pt idx="176">
                  <c:v>503.0554308844732</c:v>
                </c:pt>
                <c:pt idx="177">
                  <c:v>503.0554308844732</c:v>
                </c:pt>
                <c:pt idx="178">
                  <c:v>503.0554308844732</c:v>
                </c:pt>
                <c:pt idx="179">
                  <c:v>503.0554308844732</c:v>
                </c:pt>
                <c:pt idx="180">
                  <c:v>503.0554308844732</c:v>
                </c:pt>
                <c:pt idx="181">
                  <c:v>503.0554308844732</c:v>
                </c:pt>
                <c:pt idx="182">
                  <c:v>503.0554308844732</c:v>
                </c:pt>
                <c:pt idx="183">
                  <c:v>503.0554308844732</c:v>
                </c:pt>
                <c:pt idx="184">
                  <c:v>503.0554308844732</c:v>
                </c:pt>
                <c:pt idx="185">
                  <c:v>503.0554308844732</c:v>
                </c:pt>
                <c:pt idx="186">
                  <c:v>503.0554308844732</c:v>
                </c:pt>
                <c:pt idx="187">
                  <c:v>503.0554308844732</c:v>
                </c:pt>
                <c:pt idx="188">
                  <c:v>503.0554308844732</c:v>
                </c:pt>
                <c:pt idx="189">
                  <c:v>503.0554308844732</c:v>
                </c:pt>
                <c:pt idx="190">
                  <c:v>503.0554308844732</c:v>
                </c:pt>
                <c:pt idx="191">
                  <c:v>503.0554308844732</c:v>
                </c:pt>
                <c:pt idx="192">
                  <c:v>503.0554308844732</c:v>
                </c:pt>
                <c:pt idx="193">
                  <c:v>503.0554308844732</c:v>
                </c:pt>
                <c:pt idx="194">
                  <c:v>503.0554308844732</c:v>
                </c:pt>
                <c:pt idx="195">
                  <c:v>503.0554308844732</c:v>
                </c:pt>
                <c:pt idx="196">
                  <c:v>503.0554308844732</c:v>
                </c:pt>
                <c:pt idx="197">
                  <c:v>503.0554308844732</c:v>
                </c:pt>
                <c:pt idx="198">
                  <c:v>503.0554308844732</c:v>
                </c:pt>
                <c:pt idx="199">
                  <c:v>503.0554308844732</c:v>
                </c:pt>
                <c:pt idx="200">
                  <c:v>503.0554308844732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3.09212383418958</c:v>
                </c:pt>
                <c:pt idx="2">
                  <c:v>3.7082912927695841</c:v>
                </c:pt>
                <c:pt idx="3">
                  <c:v>4.4476967521323791</c:v>
                </c:pt>
                <c:pt idx="4">
                  <c:v>5.3350743985142683</c:v>
                </c:pt>
                <c:pt idx="5">
                  <c:v>6.4001387337229838</c:v>
                </c:pt>
                <c:pt idx="6">
                  <c:v>7.6785903940304507</c:v>
                </c:pt>
                <c:pt idx="7">
                  <c:v>9.2133256658108102</c:v>
                </c:pt>
                <c:pt idx="8">
                  <c:v>11.055891054956049</c:v>
                </c:pt>
                <c:pt idx="9">
                  <c:v>13.268232683349153</c:v>
                </c:pt>
                <c:pt idx="10">
                  <c:v>15.924800418244359</c:v>
                </c:pt>
                <c:pt idx="11">
                  <c:v>19.115078839968529</c:v>
                </c:pt>
                <c:pt idx="12">
                  <c:v>22.946631842360656</c:v>
                </c:pt>
                <c:pt idx="13">
                  <c:v>27.5487653477348</c:v>
                </c:pt>
                <c:pt idx="14">
                  <c:v>33.076933917023361</c:v>
                </c:pt>
                <c:pt idx="15">
                  <c:v>39.718042684859192</c:v>
                </c:pt>
                <c:pt idx="16">
                  <c:v>47.69682693875356</c:v>
                </c:pt>
                <c:pt idx="17">
                  <c:v>57.283528863690329</c:v>
                </c:pt>
                <c:pt idx="18">
                  <c:v>68.803135780672662</c:v>
                </c:pt>
                <c:pt idx="19">
                  <c:v>82.646498177265883</c:v>
                </c:pt>
                <c:pt idx="20">
                  <c:v>99.283710836548167</c:v>
                </c:pt>
                <c:pt idx="21">
                  <c:v>119.2802186795973</c:v>
                </c:pt>
                <c:pt idx="22">
                  <c:v>143.31620327114697</c:v>
                </c:pt>
                <c:pt idx="23">
                  <c:v>172.20991958306172</c:v>
                </c:pt>
                <c:pt idx="24">
                  <c:v>206.94578952469467</c:v>
                </c:pt>
                <c:pt idx="25">
                  <c:v>248.70822370462375</c:v>
                </c:pt>
                <c:pt idx="26">
                  <c:v>234.13154752033196</c:v>
                </c:pt>
                <c:pt idx="27">
                  <c:v>243.8473071022344</c:v>
                </c:pt>
                <c:pt idx="28">
                  <c:v>253.55426821969374</c:v>
                </c:pt>
                <c:pt idx="29">
                  <c:v>263.25281547625713</c:v>
                </c:pt>
                <c:pt idx="30">
                  <c:v>272.94330279838613</c:v>
                </c:pt>
                <c:pt idx="31">
                  <c:v>282.62605690836614</c:v>
                </c:pt>
                <c:pt idx="32">
                  <c:v>292.30138029600039</c:v>
                </c:pt>
                <c:pt idx="33">
                  <c:v>301.96955377596834</c:v>
                </c:pt>
                <c:pt idx="34">
                  <c:v>311.63083870031045</c:v>
                </c:pt>
                <c:pt idx="35">
                  <c:v>321.28547888202183</c:v>
                </c:pt>
                <c:pt idx="36">
                  <c:v>330.93370227520433</c:v>
                </c:pt>
                <c:pt idx="37">
                  <c:v>340.5757224489335</c:v>
                </c:pt>
                <c:pt idx="38">
                  <c:v>316.94974190835291</c:v>
                </c:pt>
                <c:pt idx="39">
                  <c:v>326.59720749476764</c:v>
                </c:pt>
                <c:pt idx="40">
                  <c:v>336.23838026300643</c:v>
                </c:pt>
                <c:pt idx="41">
                  <c:v>345.87346619864508</c:v>
                </c:pt>
                <c:pt idx="42">
                  <c:v>355.50265886756142</c:v>
                </c:pt>
                <c:pt idx="43">
                  <c:v>365.12614048817818</c:v>
                </c:pt>
                <c:pt idx="44">
                  <c:v>374.74408288471363</c:v>
                </c:pt>
                <c:pt idx="45">
                  <c:v>384.35664833742277</c:v>
                </c:pt>
                <c:pt idx="46">
                  <c:v>393.96399034331262</c:v>
                </c:pt>
                <c:pt idx="47">
                  <c:v>403.56625429875675</c:v>
                </c:pt>
                <c:pt idx="48">
                  <c:v>413.16357811373427</c:v>
                </c:pt>
                <c:pt idx="49">
                  <c:v>422.75609276600397</c:v>
                </c:pt>
                <c:pt idx="50">
                  <c:v>391.02421084842427</c:v>
                </c:pt>
                <c:pt idx="51">
                  <c:v>400.63161062246098</c:v>
                </c:pt>
                <c:pt idx="52">
                  <c:v>410.23402512717826</c:v>
                </c:pt>
                <c:pt idx="53">
                  <c:v>419.83158755217192</c:v>
                </c:pt>
                <c:pt idx="54">
                  <c:v>429.42442449838791</c:v>
                </c:pt>
                <c:pt idx="55">
                  <c:v>439.01265644712913</c:v>
                </c:pt>
                <c:pt idx="56">
                  <c:v>448.59639818594525</c:v>
                </c:pt>
                <c:pt idx="57">
                  <c:v>458.17575919622487</c:v>
                </c:pt>
                <c:pt idx="58">
                  <c:v>467.75084400667805</c:v>
                </c:pt>
                <c:pt idx="59">
                  <c:v>477.32175251636551</c:v>
                </c:pt>
                <c:pt idx="60">
                  <c:v>486.88858029046446</c:v>
                </c:pt>
                <c:pt idx="61">
                  <c:v>496.45141883157822</c:v>
                </c:pt>
                <c:pt idx="62">
                  <c:v>457.47104027238191</c:v>
                </c:pt>
                <c:pt idx="63">
                  <c:v>467.04285144332943</c:v>
                </c:pt>
                <c:pt idx="64">
                  <c:v>476.61048221007246</c:v>
                </c:pt>
                <c:pt idx="65">
                  <c:v>486.17402834182843</c:v>
                </c:pt>
                <c:pt idx="66">
                  <c:v>495.73358153197188</c:v>
                </c:pt>
                <c:pt idx="67">
                  <c:v>505.28922964844145</c:v>
                </c:pt>
                <c:pt idx="68">
                  <c:v>514.84105696421568</c:v>
                </c:pt>
                <c:pt idx="69">
                  <c:v>524.38914436979587</c:v>
                </c:pt>
                <c:pt idx="70">
                  <c:v>533.93356956940568</c:v>
                </c:pt>
                <c:pt idx="71">
                  <c:v>543.47440726243542</c:v>
                </c:pt>
                <c:pt idx="72">
                  <c:v>553.01172931147983</c:v>
                </c:pt>
                <c:pt idx="73">
                  <c:v>562.54560489818311</c:v>
                </c:pt>
                <c:pt idx="74">
                  <c:v>517.06432730711788</c:v>
                </c:pt>
                <c:pt idx="75">
                  <c:v>526.613343130918</c:v>
                </c:pt>
                <c:pt idx="76">
                  <c:v>536.15871305053679</c:v>
                </c:pt>
                <c:pt idx="77">
                  <c:v>545.70051113117518</c:v>
                </c:pt>
                <c:pt idx="78">
                  <c:v>555.23880863653005</c:v>
                </c:pt>
                <c:pt idx="79">
                  <c:v>564.77367418209769</c:v>
                </c:pt>
                <c:pt idx="80">
                  <c:v>574.30517387758675</c:v>
                </c:pt>
                <c:pt idx="81">
                  <c:v>583.83337145938651</c:v>
                </c:pt>
                <c:pt idx="82">
                  <c:v>593.35832841393892</c:v>
                </c:pt>
                <c:pt idx="83">
                  <c:v>602.88010409277751</c:v>
                </c:pt>
                <c:pt idx="84">
                  <c:v>612.39875581992362</c:v>
                </c:pt>
                <c:pt idx="85">
                  <c:v>621.91433899225763</c:v>
                </c:pt>
                <c:pt idx="86">
                  <c:v>570.57864702052768</c:v>
                </c:pt>
                <c:pt idx="87">
                  <c:v>580.10812832369368</c:v>
                </c:pt>
                <c:pt idx="88">
                  <c:v>589.63434521808017</c:v>
                </c:pt>
                <c:pt idx="89">
                  <c:v>599.15735787680012</c:v>
                </c:pt>
                <c:pt idx="90">
                  <c:v>608.67722440432965</c:v>
                </c:pt>
                <c:pt idx="91">
                  <c:v>618.19400093955699</c:v>
                </c:pt>
                <c:pt idx="92">
                  <c:v>627.70774175215638</c:v>
                </c:pt>
                <c:pt idx="93">
                  <c:v>637.2184993328176</c:v>
                </c:pt>
                <c:pt idx="94">
                  <c:v>646.72632447780836</c:v>
                </c:pt>
                <c:pt idx="95">
                  <c:v>656.23126636830955</c:v>
                </c:pt>
                <c:pt idx="96">
                  <c:v>665.7333726449142</c:v>
                </c:pt>
                <c:pt idx="97">
                  <c:v>675.23268947765348</c:v>
                </c:pt>
                <c:pt idx="98">
                  <c:v>618.66441407401521</c:v>
                </c:pt>
                <c:pt idx="99">
                  <c:v>628.17800618187289</c:v>
                </c:pt>
                <c:pt idx="100">
                  <c:v>637.68861760820948</c:v>
                </c:pt>
                <c:pt idx="101">
                  <c:v>647.19629906762373</c:v>
                </c:pt>
                <c:pt idx="102">
                  <c:v>656.70109966342</c:v>
                </c:pt>
                <c:pt idx="103">
                  <c:v>666.20306696187924</c:v>
                </c:pt>
                <c:pt idx="104">
                  <c:v>675.70224706207284</c:v>
                </c:pt>
                <c:pt idx="105">
                  <c:v>685.19868466154833</c:v>
                </c:pt>
                <c:pt idx="106">
                  <c:v>694.69242311818618</c:v>
                </c:pt>
                <c:pt idx="107">
                  <c:v>704.18350450849994</c:v>
                </c:pt>
                <c:pt idx="108">
                  <c:v>713.6719696826309</c:v>
                </c:pt>
                <c:pt idx="109">
                  <c:v>723.15785831626829</c:v>
                </c:pt>
                <c:pt idx="110">
                  <c:v>661.86881012095898</c:v>
                </c:pt>
                <c:pt idx="111">
                  <c:v>671.36925605744852</c:v>
                </c:pt>
                <c:pt idx="112">
                  <c:v>680.86693927291356</c:v>
                </c:pt>
                <c:pt idx="113">
                  <c:v>690.36190372892452</c:v>
                </c:pt>
                <c:pt idx="114">
                  <c:v>699.85419207951236</c:v>
                </c:pt>
                <c:pt idx="115">
                  <c:v>709.34384572764554</c:v>
                </c:pt>
                <c:pt idx="116">
                  <c:v>718.83090487852132</c:v>
                </c:pt>
                <c:pt idx="117">
                  <c:v>728.31540858990627</c:v>
                </c:pt>
                <c:pt idx="118">
                  <c:v>737.79739481971285</c:v>
                </c:pt>
                <c:pt idx="119">
                  <c:v>747.27690047101044</c:v>
                </c:pt>
                <c:pt idx="120">
                  <c:v>756.7539614346291</c:v>
                </c:pt>
                <c:pt idx="121">
                  <c:v>766.22861262952335</c:v>
                </c:pt>
                <c:pt idx="122">
                  <c:v>700.70730181849569</c:v>
                </c:pt>
                <c:pt idx="123">
                  <c:v>710.19672062624159</c:v>
                </c:pt>
                <c:pt idx="124">
                  <c:v>719.6835484937493</c:v>
                </c:pt>
                <c:pt idx="125">
                  <c:v>729.16782437801464</c:v>
                </c:pt>
                <c:pt idx="126">
                  <c:v>738.64958614032946</c:v>
                </c:pt>
                <c:pt idx="127">
                  <c:v>748.12887059106617</c:v>
                </c:pt>
                <c:pt idx="128">
                  <c:v>757.60571353207695</c:v>
                </c:pt>
                <c:pt idx="129">
                  <c:v>767.08014979686129</c:v>
                </c:pt>
                <c:pt idx="130">
                  <c:v>776.55221328864707</c:v>
                </c:pt>
                <c:pt idx="131">
                  <c:v>786.02193701651925</c:v>
                </c:pt>
                <c:pt idx="132">
                  <c:v>795.48935312971707</c:v>
                </c:pt>
                <c:pt idx="133">
                  <c:v>804.95449295021399</c:v>
                </c:pt>
                <c:pt idx="134">
                  <c:v>735.62421617571636</c:v>
                </c:pt>
                <c:pt idx="135">
                  <c:v>745.10428720257823</c:v>
                </c:pt>
                <c:pt idx="136">
                  <c:v>754.58190540237808</c:v>
                </c:pt>
                <c:pt idx="137">
                  <c:v>764.05710591338391</c:v>
                </c:pt>
                <c:pt idx="138">
                  <c:v>773.52992293165846</c:v>
                </c:pt>
                <c:pt idx="139">
                  <c:v>783.00038974779864</c:v>
                </c:pt>
                <c:pt idx="140">
                  <c:v>792.46853878180093</c:v>
                </c:pt>
                <c:pt idx="141">
                  <c:v>801.93440161618139</c:v>
                </c:pt>
                <c:pt idx="142">
                  <c:v>811.39800902744639</c:v>
                </c:pt>
                <c:pt idx="143">
                  <c:v>820.85939101602196</c:v>
                </c:pt>
                <c:pt idx="144">
                  <c:v>830.31857683473254</c:v>
                </c:pt>
                <c:pt idx="145">
                  <c:v>839.77559501591497</c:v>
                </c:pt>
                <c:pt idx="146">
                  <c:v>767.01628517460324</c:v>
                </c:pt>
                <c:pt idx="147">
                  <c:v>776.48836455110984</c:v>
                </c:pt>
                <c:pt idx="148">
                  <c:v>785.95810394408647</c:v>
                </c:pt>
                <c:pt idx="149">
                  <c:v>795.42553550845741</c:v>
                </c:pt>
                <c:pt idx="150">
                  <c:v>804.89069057166819</c:v>
                </c:pt>
                <c:pt idx="151">
                  <c:v>814.35359966466478</c:v>
                </c:pt>
                <c:pt idx="152">
                  <c:v>823.81429255136015</c:v>
                </c:pt>
                <c:pt idx="153">
                  <c:v>833.27279825667711</c:v>
                </c:pt>
                <c:pt idx="154">
                  <c:v>842.72914509325381</c:v>
                </c:pt>
                <c:pt idx="155">
                  <c:v>852.18336068688757</c:v>
                </c:pt>
                <c:pt idx="156">
                  <c:v>861.63547200079211</c:v>
                </c:pt>
                <c:pt idx="157">
                  <c:v>871.08550535873746</c:v>
                </c:pt>
                <c:pt idx="158">
                  <c:v>785.7878819048027</c:v>
                </c:pt>
                <c:pt idx="159">
                  <c:v>785.7878819048027</c:v>
                </c:pt>
                <c:pt idx="160">
                  <c:v>785.7878819048027</c:v>
                </c:pt>
                <c:pt idx="161">
                  <c:v>785.7878819048027</c:v>
                </c:pt>
                <c:pt idx="162">
                  <c:v>785.7878819048027</c:v>
                </c:pt>
                <c:pt idx="163">
                  <c:v>785.7878819048027</c:v>
                </c:pt>
                <c:pt idx="164">
                  <c:v>785.7878819048027</c:v>
                </c:pt>
                <c:pt idx="165">
                  <c:v>785.7878819048027</c:v>
                </c:pt>
                <c:pt idx="166">
                  <c:v>785.7878819048027</c:v>
                </c:pt>
                <c:pt idx="167">
                  <c:v>785.7878819048027</c:v>
                </c:pt>
                <c:pt idx="168">
                  <c:v>785.7878819048027</c:v>
                </c:pt>
                <c:pt idx="169">
                  <c:v>785.7878819048027</c:v>
                </c:pt>
                <c:pt idx="170">
                  <c:v>785.7878819048027</c:v>
                </c:pt>
                <c:pt idx="171">
                  <c:v>785.7878819048027</c:v>
                </c:pt>
                <c:pt idx="172">
                  <c:v>785.7878819048027</c:v>
                </c:pt>
                <c:pt idx="173">
                  <c:v>785.7878819048027</c:v>
                </c:pt>
                <c:pt idx="174">
                  <c:v>785.7878819048027</c:v>
                </c:pt>
                <c:pt idx="175">
                  <c:v>785.7878819048027</c:v>
                </c:pt>
                <c:pt idx="176">
                  <c:v>785.7878819048027</c:v>
                </c:pt>
                <c:pt idx="177">
                  <c:v>785.7878819048027</c:v>
                </c:pt>
                <c:pt idx="178">
                  <c:v>785.7878819048027</c:v>
                </c:pt>
                <c:pt idx="179">
                  <c:v>785.7878819048027</c:v>
                </c:pt>
                <c:pt idx="180">
                  <c:v>785.7878819048027</c:v>
                </c:pt>
                <c:pt idx="181">
                  <c:v>785.7878819048027</c:v>
                </c:pt>
                <c:pt idx="182">
                  <c:v>785.7878819048027</c:v>
                </c:pt>
                <c:pt idx="183">
                  <c:v>785.7878819048027</c:v>
                </c:pt>
                <c:pt idx="184">
                  <c:v>785.7878819048027</c:v>
                </c:pt>
                <c:pt idx="185">
                  <c:v>785.7878819048027</c:v>
                </c:pt>
                <c:pt idx="186">
                  <c:v>785.7878819048027</c:v>
                </c:pt>
                <c:pt idx="187">
                  <c:v>785.7878819048027</c:v>
                </c:pt>
                <c:pt idx="188">
                  <c:v>785.7878819048027</c:v>
                </c:pt>
                <c:pt idx="189">
                  <c:v>785.7878819048027</c:v>
                </c:pt>
                <c:pt idx="190">
                  <c:v>785.7878819048027</c:v>
                </c:pt>
                <c:pt idx="191">
                  <c:v>785.7878819048027</c:v>
                </c:pt>
                <c:pt idx="192">
                  <c:v>785.7878819048027</c:v>
                </c:pt>
                <c:pt idx="193">
                  <c:v>785.7878819048027</c:v>
                </c:pt>
                <c:pt idx="194">
                  <c:v>785.7878819048027</c:v>
                </c:pt>
                <c:pt idx="195">
                  <c:v>785.7878819048027</c:v>
                </c:pt>
                <c:pt idx="196">
                  <c:v>785.7878819048027</c:v>
                </c:pt>
                <c:pt idx="197">
                  <c:v>785.7878819048027</c:v>
                </c:pt>
                <c:pt idx="198">
                  <c:v>785.7878819048027</c:v>
                </c:pt>
                <c:pt idx="199">
                  <c:v>785.7878819048027</c:v>
                </c:pt>
                <c:pt idx="200">
                  <c:v>785.7878819048027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1.8419289223145412</c:v>
                </c:pt>
                <c:pt idx="2">
                  <c:v>2.1875031359833987</c:v>
                </c:pt>
                <c:pt idx="3">
                  <c:v>2.5981565801717186</c:v>
                </c:pt>
                <c:pt idx="4">
                  <c:v>3.0861886322506655</c:v>
                </c:pt>
                <c:pt idx="5">
                  <c:v>3.6662308682624971</c:v>
                </c:pt>
                <c:pt idx="6">
                  <c:v>4.3556906603521428</c:v>
                </c:pt>
                <c:pt idx="7">
                  <c:v>5.1752793901563772</c:v>
                </c:pt>
                <c:pt idx="8">
                  <c:v>6.149641461005106</c:v>
                </c:pt>
                <c:pt idx="9">
                  <c:v>7.3081033942051903</c:v>
                </c:pt>
                <c:pt idx="10">
                  <c:v>8.685565993157681</c:v>
                </c:pt>
                <c:pt idx="11">
                  <c:v>10.323566968352257</c:v>
                </c:pt>
                <c:pt idx="12">
                  <c:v>12.271546673265739</c:v>
                </c:pt>
                <c:pt idx="13">
                  <c:v>14.588355869146943</c:v>
                </c:pt>
                <c:pt idx="14">
                  <c:v>17.344051910384966</c:v>
                </c:pt>
                <c:pt idx="15">
                  <c:v>20.622038654014894</c:v>
                </c:pt>
                <c:pt idx="16">
                  <c:v>24.521616024156174</c:v>
                </c:pt>
                <c:pt idx="17">
                  <c:v>29.1610178355828</c:v>
                </c:pt>
                <c:pt idx="18">
                  <c:v>34.681031594855163</c:v>
                </c:pt>
                <c:pt idx="19">
                  <c:v>41.249312023410575</c:v>
                </c:pt>
                <c:pt idx="20">
                  <c:v>49.065521546616175</c:v>
                </c:pt>
                <c:pt idx="21">
                  <c:v>58.367456636541753</c:v>
                </c:pt>
                <c:pt idx="22">
                  <c:v>69.438349484237861</c:v>
                </c:pt>
                <c:pt idx="23">
                  <c:v>82.615570964450214</c:v>
                </c:pt>
                <c:pt idx="24">
                  <c:v>98.301004381476915</c:v>
                </c:pt>
                <c:pt idx="25">
                  <c:v>116.97341140922269</c:v>
                </c:pt>
                <c:pt idx="26">
                  <c:v>124.94245980800422</c:v>
                </c:pt>
                <c:pt idx="27">
                  <c:v>144.24305520637304</c:v>
                </c:pt>
                <c:pt idx="28">
                  <c:v>163.48178055532898</c:v>
                </c:pt>
                <c:pt idx="29">
                  <c:v>182.66694904420419</c:v>
                </c:pt>
                <c:pt idx="30">
                  <c:v>201.8049803685974</c:v>
                </c:pt>
                <c:pt idx="31">
                  <c:v>220.90097493369683</c:v>
                </c:pt>
                <c:pt idx="32">
                  <c:v>239.95907819480385</c:v>
                </c:pt>
                <c:pt idx="33">
                  <c:v>258.98272278606186</c:v>
                </c:pt>
                <c:pt idx="34">
                  <c:v>277.97479559238531</c:v>
                </c:pt>
                <c:pt idx="35">
                  <c:v>296.93775667872859</c:v>
                </c:pt>
                <c:pt idx="36">
                  <c:v>315.87372620203797</c:v>
                </c:pt>
                <c:pt idx="37">
                  <c:v>334.78454936756918</c:v>
                </c:pt>
                <c:pt idx="38">
                  <c:v>317.42373785916595</c:v>
                </c:pt>
                <c:pt idx="39">
                  <c:v>332.76570296570208</c:v>
                </c:pt>
                <c:pt idx="40">
                  <c:v>348.09207987129145</c:v>
                </c:pt>
                <c:pt idx="41">
                  <c:v>363.4036514972758</c:v>
                </c:pt>
                <c:pt idx="42">
                  <c:v>378.70112940858348</c:v>
                </c:pt>
                <c:pt idx="43">
                  <c:v>393.98516299723315</c:v>
                </c:pt>
                <c:pt idx="44">
                  <c:v>409.25634716622079</c:v>
                </c:pt>
                <c:pt idx="45">
                  <c:v>424.51522880660946</c:v>
                </c:pt>
                <c:pt idx="46">
                  <c:v>439.76231229479259</c:v>
                </c:pt>
                <c:pt idx="47">
                  <c:v>454.9980641876644</c:v>
                </c:pt>
                <c:pt idx="48">
                  <c:v>470.22291725620818</c:v>
                </c:pt>
                <c:pt idx="49">
                  <c:v>485.43727396955416</c:v>
                </c:pt>
                <c:pt idx="50">
                  <c:v>446.84831940109251</c:v>
                </c:pt>
                <c:pt idx="51">
                  <c:v>446.84831940109251</c:v>
                </c:pt>
                <c:pt idx="52">
                  <c:v>446.84831940109251</c:v>
                </c:pt>
                <c:pt idx="53">
                  <c:v>446.84831940109251</c:v>
                </c:pt>
                <c:pt idx="54">
                  <c:v>446.84831940109251</c:v>
                </c:pt>
                <c:pt idx="55">
                  <c:v>446.84831940109251</c:v>
                </c:pt>
                <c:pt idx="56">
                  <c:v>446.84831940109251</c:v>
                </c:pt>
                <c:pt idx="57">
                  <c:v>446.84831940109251</c:v>
                </c:pt>
                <c:pt idx="58">
                  <c:v>446.84831940109251</c:v>
                </c:pt>
                <c:pt idx="59">
                  <c:v>446.84831940109251</c:v>
                </c:pt>
                <c:pt idx="60">
                  <c:v>446.84831940109251</c:v>
                </c:pt>
                <c:pt idx="61">
                  <c:v>446.84831940109251</c:v>
                </c:pt>
                <c:pt idx="62">
                  <c:v>446.84831940109251</c:v>
                </c:pt>
                <c:pt idx="63">
                  <c:v>446.84831940109251</c:v>
                </c:pt>
                <c:pt idx="64">
                  <c:v>446.84831940109251</c:v>
                </c:pt>
                <c:pt idx="65">
                  <c:v>446.84831940109251</c:v>
                </c:pt>
                <c:pt idx="66">
                  <c:v>446.84831940109251</c:v>
                </c:pt>
                <c:pt idx="67">
                  <c:v>446.84831940109251</c:v>
                </c:pt>
                <c:pt idx="68">
                  <c:v>446.84831940109251</c:v>
                </c:pt>
                <c:pt idx="69">
                  <c:v>446.84831940109251</c:v>
                </c:pt>
                <c:pt idx="70">
                  <c:v>446.84831940109251</c:v>
                </c:pt>
                <c:pt idx="71">
                  <c:v>446.84831940109251</c:v>
                </c:pt>
                <c:pt idx="72">
                  <c:v>446.84831940109251</c:v>
                </c:pt>
                <c:pt idx="73">
                  <c:v>446.84831940109251</c:v>
                </c:pt>
                <c:pt idx="74">
                  <c:v>446.84831940109251</c:v>
                </c:pt>
                <c:pt idx="75">
                  <c:v>446.84831940109251</c:v>
                </c:pt>
                <c:pt idx="76">
                  <c:v>446.84831940109251</c:v>
                </c:pt>
                <c:pt idx="77">
                  <c:v>446.84831940109251</c:v>
                </c:pt>
                <c:pt idx="78">
                  <c:v>446.84831940109251</c:v>
                </c:pt>
                <c:pt idx="79">
                  <c:v>446.84831940109251</c:v>
                </c:pt>
                <c:pt idx="80">
                  <c:v>446.84831940109251</c:v>
                </c:pt>
                <c:pt idx="81">
                  <c:v>446.84831940109251</c:v>
                </c:pt>
                <c:pt idx="82">
                  <c:v>446.84831940109251</c:v>
                </c:pt>
                <c:pt idx="83">
                  <c:v>446.84831940109251</c:v>
                </c:pt>
                <c:pt idx="84">
                  <c:v>446.84831940109251</c:v>
                </c:pt>
                <c:pt idx="85">
                  <c:v>446.84831940109251</c:v>
                </c:pt>
                <c:pt idx="86">
                  <c:v>446.84831940109251</c:v>
                </c:pt>
                <c:pt idx="87">
                  <c:v>446.84831940109251</c:v>
                </c:pt>
                <c:pt idx="88">
                  <c:v>446.84831940109251</c:v>
                </c:pt>
                <c:pt idx="89">
                  <c:v>446.84831940109251</c:v>
                </c:pt>
                <c:pt idx="90">
                  <c:v>446.84831940109251</c:v>
                </c:pt>
                <c:pt idx="91">
                  <c:v>446.84831940109251</c:v>
                </c:pt>
                <c:pt idx="92">
                  <c:v>446.84831940109251</c:v>
                </c:pt>
                <c:pt idx="93">
                  <c:v>446.84831940109251</c:v>
                </c:pt>
                <c:pt idx="94">
                  <c:v>446.84831940109251</c:v>
                </c:pt>
                <c:pt idx="95">
                  <c:v>446.84831940109251</c:v>
                </c:pt>
                <c:pt idx="96">
                  <c:v>446.84831940109251</c:v>
                </c:pt>
                <c:pt idx="97">
                  <c:v>446.84831940109251</c:v>
                </c:pt>
                <c:pt idx="98">
                  <c:v>446.84831940109251</c:v>
                </c:pt>
                <c:pt idx="99">
                  <c:v>446.84831940109251</c:v>
                </c:pt>
                <c:pt idx="100">
                  <c:v>446.84831940109251</c:v>
                </c:pt>
                <c:pt idx="101">
                  <c:v>446.84831940109251</c:v>
                </c:pt>
                <c:pt idx="102">
                  <c:v>446.84831940109251</c:v>
                </c:pt>
                <c:pt idx="103">
                  <c:v>446.84831940109251</c:v>
                </c:pt>
                <c:pt idx="104">
                  <c:v>446.84831940109251</c:v>
                </c:pt>
                <c:pt idx="105">
                  <c:v>446.84831940109251</c:v>
                </c:pt>
                <c:pt idx="106">
                  <c:v>446.84831940109251</c:v>
                </c:pt>
                <c:pt idx="107">
                  <c:v>446.84831940109251</c:v>
                </c:pt>
                <c:pt idx="108">
                  <c:v>446.84831940109251</c:v>
                </c:pt>
                <c:pt idx="109">
                  <c:v>446.84831940109251</c:v>
                </c:pt>
                <c:pt idx="110">
                  <c:v>446.84831940109251</c:v>
                </c:pt>
                <c:pt idx="111">
                  <c:v>446.84831940109251</c:v>
                </c:pt>
                <c:pt idx="112">
                  <c:v>446.84831940109251</c:v>
                </c:pt>
                <c:pt idx="113">
                  <c:v>446.84831940109251</c:v>
                </c:pt>
                <c:pt idx="114">
                  <c:v>446.84831940109251</c:v>
                </c:pt>
                <c:pt idx="115">
                  <c:v>446.84831940109251</c:v>
                </c:pt>
                <c:pt idx="116">
                  <c:v>446.84831940109251</c:v>
                </c:pt>
                <c:pt idx="117">
                  <c:v>446.84831940109251</c:v>
                </c:pt>
                <c:pt idx="118">
                  <c:v>446.84831940109251</c:v>
                </c:pt>
                <c:pt idx="119">
                  <c:v>446.84831940109251</c:v>
                </c:pt>
                <c:pt idx="120">
                  <c:v>446.84831940109251</c:v>
                </c:pt>
                <c:pt idx="121">
                  <c:v>446.84831940109251</c:v>
                </c:pt>
                <c:pt idx="122">
                  <c:v>446.84831940109251</c:v>
                </c:pt>
                <c:pt idx="123">
                  <c:v>446.84831940109251</c:v>
                </c:pt>
                <c:pt idx="124">
                  <c:v>446.84831940109251</c:v>
                </c:pt>
                <c:pt idx="125">
                  <c:v>446.84831940109251</c:v>
                </c:pt>
                <c:pt idx="126">
                  <c:v>446.84831940109251</c:v>
                </c:pt>
                <c:pt idx="127">
                  <c:v>446.84831940109251</c:v>
                </c:pt>
                <c:pt idx="128">
                  <c:v>446.84831940109251</c:v>
                </c:pt>
                <c:pt idx="129">
                  <c:v>446.84831940109251</c:v>
                </c:pt>
                <c:pt idx="130">
                  <c:v>446.84831940109251</c:v>
                </c:pt>
                <c:pt idx="131">
                  <c:v>446.84831940109251</c:v>
                </c:pt>
                <c:pt idx="132">
                  <c:v>446.84831940109251</c:v>
                </c:pt>
                <c:pt idx="133">
                  <c:v>446.84831940109251</c:v>
                </c:pt>
                <c:pt idx="134">
                  <c:v>446.84831940109251</c:v>
                </c:pt>
                <c:pt idx="135">
                  <c:v>446.84831940109251</c:v>
                </c:pt>
                <c:pt idx="136">
                  <c:v>446.84831940109251</c:v>
                </c:pt>
                <c:pt idx="137">
                  <c:v>446.84831940109251</c:v>
                </c:pt>
                <c:pt idx="138">
                  <c:v>446.84831940109251</c:v>
                </c:pt>
                <c:pt idx="139">
                  <c:v>446.84831940109251</c:v>
                </c:pt>
                <c:pt idx="140">
                  <c:v>446.84831940109251</c:v>
                </c:pt>
                <c:pt idx="141">
                  <c:v>446.84831940109251</c:v>
                </c:pt>
                <c:pt idx="142">
                  <c:v>446.84831940109251</c:v>
                </c:pt>
                <c:pt idx="143">
                  <c:v>446.84831940109251</c:v>
                </c:pt>
                <c:pt idx="144">
                  <c:v>446.84831940109251</c:v>
                </c:pt>
                <c:pt idx="145">
                  <c:v>446.84831940109251</c:v>
                </c:pt>
                <c:pt idx="146">
                  <c:v>446.84831940109251</c:v>
                </c:pt>
                <c:pt idx="147">
                  <c:v>446.84831940109251</c:v>
                </c:pt>
                <c:pt idx="148">
                  <c:v>446.84831940109251</c:v>
                </c:pt>
                <c:pt idx="149">
                  <c:v>446.84831940109251</c:v>
                </c:pt>
                <c:pt idx="150">
                  <c:v>446.84831940109251</c:v>
                </c:pt>
                <c:pt idx="151">
                  <c:v>446.84831940109251</c:v>
                </c:pt>
                <c:pt idx="152">
                  <c:v>446.84831940109251</c:v>
                </c:pt>
                <c:pt idx="153">
                  <c:v>446.84831940109251</c:v>
                </c:pt>
                <c:pt idx="154">
                  <c:v>446.84831940109251</c:v>
                </c:pt>
                <c:pt idx="155">
                  <c:v>446.84831940109251</c:v>
                </c:pt>
                <c:pt idx="156">
                  <c:v>446.84831940109251</c:v>
                </c:pt>
                <c:pt idx="157">
                  <c:v>446.84831940109251</c:v>
                </c:pt>
                <c:pt idx="158">
                  <c:v>446.84831940109251</c:v>
                </c:pt>
                <c:pt idx="159">
                  <c:v>446.84831940109251</c:v>
                </c:pt>
                <c:pt idx="160">
                  <c:v>446.84831940109251</c:v>
                </c:pt>
                <c:pt idx="161">
                  <c:v>446.84831940109251</c:v>
                </c:pt>
                <c:pt idx="162">
                  <c:v>446.84831940109251</c:v>
                </c:pt>
                <c:pt idx="163">
                  <c:v>446.84831940109251</c:v>
                </c:pt>
                <c:pt idx="164">
                  <c:v>446.84831940109251</c:v>
                </c:pt>
                <c:pt idx="165">
                  <c:v>446.84831940109251</c:v>
                </c:pt>
                <c:pt idx="166">
                  <c:v>446.84831940109251</c:v>
                </c:pt>
                <c:pt idx="167">
                  <c:v>446.84831940109251</c:v>
                </c:pt>
                <c:pt idx="168">
                  <c:v>446.84831940109251</c:v>
                </c:pt>
                <c:pt idx="169">
                  <c:v>446.84831940109251</c:v>
                </c:pt>
                <c:pt idx="170">
                  <c:v>446.84831940109251</c:v>
                </c:pt>
                <c:pt idx="171">
                  <c:v>446.84831940109251</c:v>
                </c:pt>
                <c:pt idx="172">
                  <c:v>446.84831940109251</c:v>
                </c:pt>
                <c:pt idx="173">
                  <c:v>446.84831940109251</c:v>
                </c:pt>
                <c:pt idx="174">
                  <c:v>446.84831940109251</c:v>
                </c:pt>
                <c:pt idx="175">
                  <c:v>446.84831940109251</c:v>
                </c:pt>
                <c:pt idx="176">
                  <c:v>446.84831940109251</c:v>
                </c:pt>
                <c:pt idx="177">
                  <c:v>446.84831940109251</c:v>
                </c:pt>
                <c:pt idx="178">
                  <c:v>446.84831940109251</c:v>
                </c:pt>
                <c:pt idx="179">
                  <c:v>446.84831940109251</c:v>
                </c:pt>
                <c:pt idx="180">
                  <c:v>446.84831940109251</c:v>
                </c:pt>
                <c:pt idx="181">
                  <c:v>446.84831940109251</c:v>
                </c:pt>
                <c:pt idx="182">
                  <c:v>446.84831940109251</c:v>
                </c:pt>
                <c:pt idx="183">
                  <c:v>446.84831940109251</c:v>
                </c:pt>
                <c:pt idx="184">
                  <c:v>446.84831940109251</c:v>
                </c:pt>
                <c:pt idx="185">
                  <c:v>446.84831940109251</c:v>
                </c:pt>
                <c:pt idx="186">
                  <c:v>446.84831940109251</c:v>
                </c:pt>
                <c:pt idx="187">
                  <c:v>446.84831940109251</c:v>
                </c:pt>
                <c:pt idx="188">
                  <c:v>446.84831940109251</c:v>
                </c:pt>
                <c:pt idx="189">
                  <c:v>446.84831940109251</c:v>
                </c:pt>
                <c:pt idx="190">
                  <c:v>446.84831940109251</c:v>
                </c:pt>
                <c:pt idx="191">
                  <c:v>446.84831940109251</c:v>
                </c:pt>
                <c:pt idx="192">
                  <c:v>446.84831940109251</c:v>
                </c:pt>
                <c:pt idx="193">
                  <c:v>446.84831940109251</c:v>
                </c:pt>
                <c:pt idx="194">
                  <c:v>446.84831940109251</c:v>
                </c:pt>
                <c:pt idx="195">
                  <c:v>446.84831940109251</c:v>
                </c:pt>
                <c:pt idx="196">
                  <c:v>446.84831940109251</c:v>
                </c:pt>
                <c:pt idx="197">
                  <c:v>446.84831940109251</c:v>
                </c:pt>
                <c:pt idx="198">
                  <c:v>446.84831940109251</c:v>
                </c:pt>
                <c:pt idx="199">
                  <c:v>446.84831940109251</c:v>
                </c:pt>
                <c:pt idx="200">
                  <c:v>446.84831940109251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1.4728508782729406</c:v>
                </c:pt>
                <c:pt idx="2">
                  <c:v>1.7704035628789072</c:v>
                </c:pt>
                <c:pt idx="3">
                  <c:v>2.1283008135719341</c:v>
                </c:pt>
                <c:pt idx="4">
                  <c:v>2.5588251737076502</c:v>
                </c:pt>
                <c:pt idx="5">
                  <c:v>3.0767676941081041</c:v>
                </c:pt>
                <c:pt idx="6">
                  <c:v>3.6999418789387284</c:v>
                </c:pt>
                <c:pt idx="7">
                  <c:v>4.4498032382160977</c:v>
                </c:pt>
                <c:pt idx="8">
                  <c:v>5.3521962057282009</c:v>
                </c:pt>
                <c:pt idx="9">
                  <c:v>6.4382546753009526</c:v>
                </c:pt>
                <c:pt idx="10">
                  <c:v>7.7454878328216212</c:v>
                </c:pt>
                <c:pt idx="11">
                  <c:v>9.319089509207938</c:v>
                </c:pt>
                <c:pt idx="12">
                  <c:v>11.213517183669381</c:v>
                </c:pt>
                <c:pt idx="13">
                  <c:v>13.494396308672835</c:v>
                </c:pt>
                <c:pt idx="14">
                  <c:v>16.240817148063527</c:v>
                </c:pt>
                <c:pt idx="15">
                  <c:v>19.548105228597759</c:v>
                </c:pt>
                <c:pt idx="16">
                  <c:v>23.531163298970075</c:v>
                </c:pt>
                <c:pt idx="17">
                  <c:v>28.328502968787358</c:v>
                </c:pt>
                <c:pt idx="18">
                  <c:v>34.107108687167404</c:v>
                </c:pt>
                <c:pt idx="19">
                  <c:v>41.068306291833686</c:v>
                </c:pt>
                <c:pt idx="20">
                  <c:v>49.454844072104059</c:v>
                </c:pt>
                <c:pt idx="21">
                  <c:v>59.559437420639647</c:v>
                </c:pt>
                <c:pt idx="22">
                  <c:v>71.735080243046241</c:v>
                </c:pt>
                <c:pt idx="23">
                  <c:v>86.407489216949159</c:v>
                </c:pt>
                <c:pt idx="24">
                  <c:v>104.09012299742415</c:v>
                </c:pt>
                <c:pt idx="25">
                  <c:v>125.40231027813816</c:v>
                </c:pt>
                <c:pt idx="26">
                  <c:v>129.61324379386602</c:v>
                </c:pt>
                <c:pt idx="27">
                  <c:v>146.00210594528244</c:v>
                </c:pt>
                <c:pt idx="28">
                  <c:v>162.34697102583507</c:v>
                </c:pt>
                <c:pt idx="29">
                  <c:v>178.65289565657488</c:v>
                </c:pt>
                <c:pt idx="30">
                  <c:v>194.92393619559149</c:v>
                </c:pt>
                <c:pt idx="31">
                  <c:v>211.16341549441429</c:v>
                </c:pt>
                <c:pt idx="32">
                  <c:v>227.37410300985164</c:v>
                </c:pt>
                <c:pt idx="33">
                  <c:v>243.55834071961166</c:v>
                </c:pt>
                <c:pt idx="34">
                  <c:v>259.71813374410618</c:v>
                </c:pt>
                <c:pt idx="35">
                  <c:v>275.85521719386452</c:v>
                </c:pt>
                <c:pt idx="36">
                  <c:v>291.97110653451392</c:v>
                </c:pt>
                <c:pt idx="37">
                  <c:v>308.06713623755621</c:v>
                </c:pt>
                <c:pt idx="38">
                  <c:v>295.61967617725571</c:v>
                </c:pt>
                <c:pt idx="39">
                  <c:v>313.25525898533971</c:v>
                </c:pt>
                <c:pt idx="40">
                  <c:v>330.86883016079906</c:v>
                </c:pt>
                <c:pt idx="41">
                  <c:v>348.46172607667501</c:v>
                </c:pt>
                <c:pt idx="42">
                  <c:v>366.03513716933247</c:v>
                </c:pt>
                <c:pt idx="43">
                  <c:v>383.59013026238807</c:v>
                </c:pt>
                <c:pt idx="44">
                  <c:v>401.12766658954007</c:v>
                </c:pt>
                <c:pt idx="45">
                  <c:v>418.64861650055155</c:v>
                </c:pt>
                <c:pt idx="46">
                  <c:v>436.15377157683207</c:v>
                </c:pt>
                <c:pt idx="47">
                  <c:v>453.64385470062672</c:v>
                </c:pt>
                <c:pt idx="48">
                  <c:v>471.11952849059395</c:v>
                </c:pt>
                <c:pt idx="49">
                  <c:v>488.5814024207736</c:v>
                </c:pt>
                <c:pt idx="50">
                  <c:v>455.51787231757334</c:v>
                </c:pt>
                <c:pt idx="51">
                  <c:v>470.22953444659919</c:v>
                </c:pt>
                <c:pt idx="52">
                  <c:v>484.93139596404654</c:v>
                </c:pt>
                <c:pt idx="53">
                  <c:v>499.62379576257518</c:v>
                </c:pt>
                <c:pt idx="54">
                  <c:v>514.3070511840574</c:v>
                </c:pt>
                <c:pt idx="55">
                  <c:v>528.981459978967</c:v>
                </c:pt>
                <c:pt idx="56">
                  <c:v>543.64730203709667</c:v>
                </c:pt>
                <c:pt idx="57">
                  <c:v>558.30484092186816</c:v>
                </c:pt>
                <c:pt idx="58">
                  <c:v>572.95432523519332</c:v>
                </c:pt>
                <c:pt idx="59">
                  <c:v>587.59598983554554</c:v>
                </c:pt>
                <c:pt idx="60">
                  <c:v>602.23005692836307</c:v>
                </c:pt>
                <c:pt idx="61">
                  <c:v>616.85673704500607</c:v>
                </c:pt>
                <c:pt idx="62">
                  <c:v>571.22448287306202</c:v>
                </c:pt>
                <c:pt idx="63">
                  <c:v>585.94939168882786</c:v>
                </c:pt>
                <c:pt idx="64">
                  <c:v>600.66659261404402</c:v>
                </c:pt>
                <c:pt idx="65">
                  <c:v>615.37630101025945</c:v>
                </c:pt>
                <c:pt idx="66">
                  <c:v>630.07872110930919</c:v>
                </c:pt>
                <c:pt idx="67">
                  <c:v>644.77404684014698</c:v>
                </c:pt>
                <c:pt idx="68">
                  <c:v>659.46246257642076</c:v>
                </c:pt>
                <c:pt idx="69">
                  <c:v>674.14414381402571</c:v>
                </c:pt>
                <c:pt idx="70">
                  <c:v>688.81925778659979</c:v>
                </c:pt>
                <c:pt idx="71">
                  <c:v>703.48796402588039</c:v>
                </c:pt>
                <c:pt idx="72">
                  <c:v>718.1504148729249</c:v>
                </c:pt>
                <c:pt idx="73">
                  <c:v>732.8067559454438</c:v>
                </c:pt>
                <c:pt idx="74">
                  <c:v>675.74985917003823</c:v>
                </c:pt>
                <c:pt idx="75">
                  <c:v>690.42426452464724</c:v>
                </c:pt>
                <c:pt idx="76">
                  <c:v>705.09227915297481</c:v>
                </c:pt>
                <c:pt idx="77">
                  <c:v>719.75405463855031</c:v>
                </c:pt>
                <c:pt idx="78">
                  <c:v>734.40973589021826</c:v>
                </c:pt>
                <c:pt idx="79">
                  <c:v>749.0594615661231</c:v>
                </c:pt>
                <c:pt idx="80">
                  <c:v>763.70336446282818</c:v>
                </c:pt>
                <c:pt idx="81">
                  <c:v>763.70336446282818</c:v>
                </c:pt>
                <c:pt idx="82">
                  <c:v>763.70336446282818</c:v>
                </c:pt>
                <c:pt idx="83">
                  <c:v>763.70336446282818</c:v>
                </c:pt>
                <c:pt idx="84">
                  <c:v>763.70336446282818</c:v>
                </c:pt>
                <c:pt idx="85">
                  <c:v>763.70336446282818</c:v>
                </c:pt>
                <c:pt idx="86">
                  <c:v>763.70336446282818</c:v>
                </c:pt>
                <c:pt idx="87">
                  <c:v>763.70336446282818</c:v>
                </c:pt>
                <c:pt idx="88">
                  <c:v>763.70336446282818</c:v>
                </c:pt>
                <c:pt idx="89">
                  <c:v>763.70336446282818</c:v>
                </c:pt>
                <c:pt idx="90">
                  <c:v>763.70336446282818</c:v>
                </c:pt>
                <c:pt idx="91">
                  <c:v>763.70336446282818</c:v>
                </c:pt>
                <c:pt idx="92">
                  <c:v>763.70336446282818</c:v>
                </c:pt>
                <c:pt idx="93">
                  <c:v>763.70336446282818</c:v>
                </c:pt>
                <c:pt idx="94">
                  <c:v>763.70336446282818</c:v>
                </c:pt>
                <c:pt idx="95">
                  <c:v>763.70336446282818</c:v>
                </c:pt>
                <c:pt idx="96">
                  <c:v>763.70336446282818</c:v>
                </c:pt>
                <c:pt idx="97">
                  <c:v>763.70336446282818</c:v>
                </c:pt>
                <c:pt idx="98">
                  <c:v>763.70336446282818</c:v>
                </c:pt>
                <c:pt idx="99">
                  <c:v>763.70336446282818</c:v>
                </c:pt>
                <c:pt idx="100">
                  <c:v>763.70336446282818</c:v>
                </c:pt>
                <c:pt idx="101">
                  <c:v>763.70336446282818</c:v>
                </c:pt>
                <c:pt idx="102">
                  <c:v>763.70336446282818</c:v>
                </c:pt>
                <c:pt idx="103">
                  <c:v>763.70336446282818</c:v>
                </c:pt>
                <c:pt idx="104">
                  <c:v>763.70336446282818</c:v>
                </c:pt>
                <c:pt idx="105">
                  <c:v>763.70336446282818</c:v>
                </c:pt>
                <c:pt idx="106">
                  <c:v>763.70336446282818</c:v>
                </c:pt>
                <c:pt idx="107">
                  <c:v>763.70336446282818</c:v>
                </c:pt>
                <c:pt idx="108">
                  <c:v>763.70336446282818</c:v>
                </c:pt>
                <c:pt idx="109">
                  <c:v>763.70336446282818</c:v>
                </c:pt>
                <c:pt idx="110">
                  <c:v>763.70336446282818</c:v>
                </c:pt>
                <c:pt idx="111">
                  <c:v>763.70336446282818</c:v>
                </c:pt>
                <c:pt idx="112">
                  <c:v>763.70336446282818</c:v>
                </c:pt>
                <c:pt idx="113">
                  <c:v>763.70336446282818</c:v>
                </c:pt>
                <c:pt idx="114">
                  <c:v>763.70336446282818</c:v>
                </c:pt>
                <c:pt idx="115">
                  <c:v>763.70336446282818</c:v>
                </c:pt>
                <c:pt idx="116">
                  <c:v>763.70336446282818</c:v>
                </c:pt>
                <c:pt idx="117">
                  <c:v>763.70336446282818</c:v>
                </c:pt>
                <c:pt idx="118">
                  <c:v>763.70336446282818</c:v>
                </c:pt>
                <c:pt idx="119">
                  <c:v>763.70336446282818</c:v>
                </c:pt>
                <c:pt idx="120">
                  <c:v>763.70336446282818</c:v>
                </c:pt>
                <c:pt idx="121">
                  <c:v>763.70336446282818</c:v>
                </c:pt>
                <c:pt idx="122">
                  <c:v>763.70336446282818</c:v>
                </c:pt>
                <c:pt idx="123">
                  <c:v>763.70336446282818</c:v>
                </c:pt>
                <c:pt idx="124">
                  <c:v>763.70336446282818</c:v>
                </c:pt>
                <c:pt idx="125">
                  <c:v>763.70336446282818</c:v>
                </c:pt>
                <c:pt idx="126">
                  <c:v>763.70336446282818</c:v>
                </c:pt>
                <c:pt idx="127">
                  <c:v>763.70336446282818</c:v>
                </c:pt>
                <c:pt idx="128">
                  <c:v>763.70336446282818</c:v>
                </c:pt>
                <c:pt idx="129">
                  <c:v>763.70336446282818</c:v>
                </c:pt>
                <c:pt idx="130">
                  <c:v>763.70336446282818</c:v>
                </c:pt>
                <c:pt idx="131">
                  <c:v>763.70336446282818</c:v>
                </c:pt>
                <c:pt idx="132">
                  <c:v>763.70336446282818</c:v>
                </c:pt>
                <c:pt idx="133">
                  <c:v>763.70336446282818</c:v>
                </c:pt>
                <c:pt idx="134">
                  <c:v>763.70336446282818</c:v>
                </c:pt>
                <c:pt idx="135">
                  <c:v>763.70336446282818</c:v>
                </c:pt>
                <c:pt idx="136">
                  <c:v>763.70336446282818</c:v>
                </c:pt>
                <c:pt idx="137">
                  <c:v>763.70336446282818</c:v>
                </c:pt>
                <c:pt idx="138">
                  <c:v>763.70336446282818</c:v>
                </c:pt>
                <c:pt idx="139">
                  <c:v>763.70336446282818</c:v>
                </c:pt>
                <c:pt idx="140">
                  <c:v>763.70336446282818</c:v>
                </c:pt>
                <c:pt idx="141">
                  <c:v>763.70336446282818</c:v>
                </c:pt>
                <c:pt idx="142">
                  <c:v>763.70336446282818</c:v>
                </c:pt>
                <c:pt idx="143">
                  <c:v>763.70336446282818</c:v>
                </c:pt>
                <c:pt idx="144">
                  <c:v>763.70336446282818</c:v>
                </c:pt>
                <c:pt idx="145">
                  <c:v>763.70336446282818</c:v>
                </c:pt>
                <c:pt idx="146">
                  <c:v>763.70336446282818</c:v>
                </c:pt>
                <c:pt idx="147">
                  <c:v>763.70336446282818</c:v>
                </c:pt>
                <c:pt idx="148">
                  <c:v>763.70336446282818</c:v>
                </c:pt>
                <c:pt idx="149">
                  <c:v>763.70336446282818</c:v>
                </c:pt>
                <c:pt idx="150">
                  <c:v>763.70336446282818</c:v>
                </c:pt>
                <c:pt idx="151">
                  <c:v>763.70336446282818</c:v>
                </c:pt>
                <c:pt idx="152">
                  <c:v>763.70336446282818</c:v>
                </c:pt>
                <c:pt idx="153">
                  <c:v>763.70336446282818</c:v>
                </c:pt>
                <c:pt idx="154">
                  <c:v>763.70336446282818</c:v>
                </c:pt>
                <c:pt idx="155">
                  <c:v>763.70336446282818</c:v>
                </c:pt>
                <c:pt idx="156">
                  <c:v>763.70336446282818</c:v>
                </c:pt>
                <c:pt idx="157">
                  <c:v>763.70336446282818</c:v>
                </c:pt>
                <c:pt idx="158">
                  <c:v>763.70336446282818</c:v>
                </c:pt>
                <c:pt idx="159">
                  <c:v>763.70336446282818</c:v>
                </c:pt>
                <c:pt idx="160">
                  <c:v>763.70336446282818</c:v>
                </c:pt>
                <c:pt idx="161">
                  <c:v>763.70336446282818</c:v>
                </c:pt>
                <c:pt idx="162">
                  <c:v>763.70336446282818</c:v>
                </c:pt>
                <c:pt idx="163">
                  <c:v>763.70336446282818</c:v>
                </c:pt>
                <c:pt idx="164">
                  <c:v>763.70336446282818</c:v>
                </c:pt>
                <c:pt idx="165">
                  <c:v>763.70336446282818</c:v>
                </c:pt>
                <c:pt idx="166">
                  <c:v>763.70336446282818</c:v>
                </c:pt>
                <c:pt idx="167">
                  <c:v>763.70336446282818</c:v>
                </c:pt>
                <c:pt idx="168">
                  <c:v>763.70336446282818</c:v>
                </c:pt>
                <c:pt idx="169">
                  <c:v>763.70336446282818</c:v>
                </c:pt>
                <c:pt idx="170">
                  <c:v>763.70336446282818</c:v>
                </c:pt>
                <c:pt idx="171">
                  <c:v>763.70336446282818</c:v>
                </c:pt>
                <c:pt idx="172">
                  <c:v>763.70336446282818</c:v>
                </c:pt>
                <c:pt idx="173">
                  <c:v>763.70336446282818</c:v>
                </c:pt>
                <c:pt idx="174">
                  <c:v>763.70336446282818</c:v>
                </c:pt>
                <c:pt idx="175">
                  <c:v>763.70336446282818</c:v>
                </c:pt>
                <c:pt idx="176">
                  <c:v>763.70336446282818</c:v>
                </c:pt>
                <c:pt idx="177">
                  <c:v>763.70336446282818</c:v>
                </c:pt>
                <c:pt idx="178">
                  <c:v>763.70336446282818</c:v>
                </c:pt>
                <c:pt idx="179">
                  <c:v>763.70336446282818</c:v>
                </c:pt>
                <c:pt idx="180">
                  <c:v>763.70336446282818</c:v>
                </c:pt>
                <c:pt idx="181">
                  <c:v>763.70336446282818</c:v>
                </c:pt>
                <c:pt idx="182">
                  <c:v>763.70336446282818</c:v>
                </c:pt>
                <c:pt idx="183">
                  <c:v>763.70336446282818</c:v>
                </c:pt>
                <c:pt idx="184">
                  <c:v>763.70336446282818</c:v>
                </c:pt>
                <c:pt idx="185">
                  <c:v>763.70336446282818</c:v>
                </c:pt>
                <c:pt idx="186">
                  <c:v>763.70336446282818</c:v>
                </c:pt>
                <c:pt idx="187">
                  <c:v>763.70336446282818</c:v>
                </c:pt>
                <c:pt idx="188">
                  <c:v>763.70336446282818</c:v>
                </c:pt>
                <c:pt idx="189">
                  <c:v>763.70336446282818</c:v>
                </c:pt>
                <c:pt idx="190">
                  <c:v>763.70336446282818</c:v>
                </c:pt>
                <c:pt idx="191">
                  <c:v>763.70336446282818</c:v>
                </c:pt>
                <c:pt idx="192">
                  <c:v>763.70336446282818</c:v>
                </c:pt>
                <c:pt idx="193">
                  <c:v>763.70336446282818</c:v>
                </c:pt>
                <c:pt idx="194">
                  <c:v>763.70336446282818</c:v>
                </c:pt>
                <c:pt idx="195">
                  <c:v>763.70336446282818</c:v>
                </c:pt>
                <c:pt idx="196">
                  <c:v>763.70336446282818</c:v>
                </c:pt>
                <c:pt idx="197">
                  <c:v>763.70336446282818</c:v>
                </c:pt>
                <c:pt idx="198">
                  <c:v>763.70336446282818</c:v>
                </c:pt>
                <c:pt idx="199">
                  <c:v>763.70336446282818</c:v>
                </c:pt>
                <c:pt idx="200">
                  <c:v>763.70336446282818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3.0234728462882638</c:v>
                </c:pt>
                <c:pt idx="2">
                  <c:v>3.7106664237009728</c:v>
                </c:pt>
                <c:pt idx="3">
                  <c:v>4.5546406220448397</c:v>
                </c:pt>
                <c:pt idx="4">
                  <c:v>5.5912914223991459</c:v>
                </c:pt>
                <c:pt idx="5">
                  <c:v>6.8647606518574165</c:v>
                </c:pt>
                <c:pt idx="6">
                  <c:v>8.4293359877886171</c:v>
                </c:pt>
                <c:pt idx="7">
                  <c:v>10.351789996152855</c:v>
                </c:pt>
                <c:pt idx="8">
                  <c:v>12.714259913600626</c:v>
                </c:pt>
                <c:pt idx="9">
                  <c:v>15.617793501312086</c:v>
                </c:pt>
                <c:pt idx="10">
                  <c:v>19.186715412891616</c:v>
                </c:pt>
                <c:pt idx="11">
                  <c:v>23.574004410572261</c:v>
                </c:pt>
                <c:pt idx="12">
                  <c:v>28.967916014248264</c:v>
                </c:pt>
                <c:pt idx="13">
                  <c:v>35.600139726488102</c:v>
                </c:pt>
                <c:pt idx="14">
                  <c:v>43.755847249446198</c:v>
                </c:pt>
                <c:pt idx="15">
                  <c:v>53.786071064619783</c:v>
                </c:pt>
                <c:pt idx="16">
                  <c:v>66.122955045840015</c:v>
                </c:pt>
                <c:pt idx="17">
                  <c:v>81.298544938427014</c:v>
                </c:pt>
                <c:pt idx="18">
                  <c:v>99.967942138905769</c:v>
                </c:pt>
                <c:pt idx="19">
                  <c:v>122.93783613070275</c:v>
                </c:pt>
                <c:pt idx="20">
                  <c:v>151.2016676629992</c:v>
                </c:pt>
                <c:pt idx="21">
                  <c:v>185.9829667816125</c:v>
                </c:pt>
                <c:pt idx="22">
                  <c:v>228.78877006568499</c:v>
                </c:pt>
                <c:pt idx="23">
                  <c:v>281.47546585487538</c:v>
                </c:pt>
                <c:pt idx="24">
                  <c:v>346.32996457147902</c:v>
                </c:pt>
                <c:pt idx="25">
                  <c:v>426.16976777061012</c:v>
                </c:pt>
                <c:pt idx="26">
                  <c:v>401.1774651163621</c:v>
                </c:pt>
                <c:pt idx="27">
                  <c:v>417.84260712247328</c:v>
                </c:pt>
                <c:pt idx="28">
                  <c:v>434.49342913355554</c:v>
                </c:pt>
                <c:pt idx="29">
                  <c:v>451.13055698265504</c:v>
                </c:pt>
                <c:pt idx="30">
                  <c:v>467.75456659461747</c:v>
                </c:pt>
                <c:pt idx="31">
                  <c:v>484.36598963502939</c:v>
                </c:pt>
                <c:pt idx="32">
                  <c:v>500.96531834404749</c:v>
                </c:pt>
                <c:pt idx="33">
                  <c:v>517.55300969638222</c:v>
                </c:pt>
                <c:pt idx="34">
                  <c:v>534.12948900038316</c:v>
                </c:pt>
                <c:pt idx="35">
                  <c:v>550.69515302725915</c:v>
                </c:pt>
                <c:pt idx="36">
                  <c:v>567.25037274434442</c:v>
                </c:pt>
                <c:pt idx="37">
                  <c:v>583.79549571283451</c:v>
                </c:pt>
                <c:pt idx="38">
                  <c:v>543.23339716621001</c:v>
                </c:pt>
                <c:pt idx="39">
                  <c:v>559.79498098506247</c:v>
                </c:pt>
                <c:pt idx="40">
                  <c:v>576.3463121559688</c:v>
                </c:pt>
                <c:pt idx="41">
                  <c:v>592.88772639473655</c:v>
                </c:pt>
                <c:pt idx="42">
                  <c:v>609.41953916899001</c:v>
                </c:pt>
                <c:pt idx="43">
                  <c:v>625.94204744682656</c:v>
                </c:pt>
                <c:pt idx="44">
                  <c:v>642.45553125135518</c:v>
                </c:pt>
                <c:pt idx="45">
                  <c:v>658.96025504720205</c:v>
                </c:pt>
                <c:pt idx="46">
                  <c:v>675.45646898097982</c:v>
                </c:pt>
                <c:pt idx="47">
                  <c:v>691.9444099943662</c:v>
                </c:pt>
                <c:pt idx="48">
                  <c:v>708.42430282565783</c:v>
                </c:pt>
                <c:pt idx="49">
                  <c:v>724.89636091335854</c:v>
                </c:pt>
                <c:pt idx="50">
                  <c:v>670.43094043203973</c:v>
                </c:pt>
                <c:pt idx="51">
                  <c:v>686.91798596103729</c:v>
                </c:pt>
                <c:pt idx="52">
                  <c:v>703.39691936038764</c:v>
                </c:pt>
                <c:pt idx="53">
                  <c:v>719.86795729092375</c:v>
                </c:pt>
                <c:pt idx="54">
                  <c:v>736.33130569893865</c:v>
                </c:pt>
                <c:pt idx="55">
                  <c:v>752.78716057866143</c:v>
                </c:pt>
                <c:pt idx="56">
                  <c:v>769.23570866465718</c:v>
                </c:pt>
                <c:pt idx="57">
                  <c:v>785.67712806198153</c:v>
                </c:pt>
                <c:pt idx="58">
                  <c:v>802.11158882089637</c:v>
                </c:pt>
                <c:pt idx="59">
                  <c:v>818.53925346208246</c:v>
                </c:pt>
                <c:pt idx="60">
                  <c:v>834.96027745754088</c:v>
                </c:pt>
                <c:pt idx="61">
                  <c:v>851.37480967173678</c:v>
                </c:pt>
                <c:pt idx="62">
                  <c:v>784.45259505359081</c:v>
                </c:pt>
                <c:pt idx="63">
                  <c:v>800.88925915360358</c:v>
                </c:pt>
                <c:pt idx="64">
                  <c:v>817.31911389311836</c:v>
                </c:pt>
                <c:pt idx="65">
                  <c:v>833.74231530064787</c:v>
                </c:pt>
                <c:pt idx="66">
                  <c:v>850.15901276293846</c:v>
                </c:pt>
                <c:pt idx="67">
                  <c:v>866.56934943309977</c:v>
                </c:pt>
                <c:pt idx="68">
                  <c:v>882.97346260624329</c:v>
                </c:pt>
                <c:pt idx="69">
                  <c:v>899.37148406579115</c:v>
                </c:pt>
                <c:pt idx="70">
                  <c:v>915.76354040323895</c:v>
                </c:pt>
                <c:pt idx="71">
                  <c:v>932.14975331386916</c:v>
                </c:pt>
                <c:pt idx="72">
                  <c:v>948.53023987060681</c:v>
                </c:pt>
                <c:pt idx="73">
                  <c:v>964.90511277800488</c:v>
                </c:pt>
                <c:pt idx="74">
                  <c:v>886.8002077463384</c:v>
                </c:pt>
                <c:pt idx="75">
                  <c:v>903.19682620583535</c:v>
                </c:pt>
                <c:pt idx="76">
                  <c:v>919.58750836632771</c:v>
                </c:pt>
                <c:pt idx="77">
                  <c:v>935.97237482081346</c:v>
                </c:pt>
                <c:pt idx="78">
                  <c:v>952.35154160090713</c:v>
                </c:pt>
                <c:pt idx="79">
                  <c:v>968.72512042644564</c:v>
                </c:pt>
                <c:pt idx="80">
                  <c:v>985.09321893736342</c:v>
                </c:pt>
                <c:pt idx="81">
                  <c:v>985.09321893736342</c:v>
                </c:pt>
                <c:pt idx="82">
                  <c:v>985.09321893736342</c:v>
                </c:pt>
                <c:pt idx="83">
                  <c:v>985.09321893736342</c:v>
                </c:pt>
                <c:pt idx="84">
                  <c:v>985.09321893736342</c:v>
                </c:pt>
                <c:pt idx="85">
                  <c:v>985.09321893736342</c:v>
                </c:pt>
                <c:pt idx="86">
                  <c:v>985.09321893736342</c:v>
                </c:pt>
                <c:pt idx="87">
                  <c:v>985.09321893736342</c:v>
                </c:pt>
                <c:pt idx="88">
                  <c:v>985.09321893736342</c:v>
                </c:pt>
                <c:pt idx="89">
                  <c:v>985.09321893736342</c:v>
                </c:pt>
                <c:pt idx="90">
                  <c:v>985.09321893736342</c:v>
                </c:pt>
                <c:pt idx="91">
                  <c:v>985.09321893736342</c:v>
                </c:pt>
                <c:pt idx="92">
                  <c:v>985.09321893736342</c:v>
                </c:pt>
                <c:pt idx="93">
                  <c:v>985.09321893736342</c:v>
                </c:pt>
                <c:pt idx="94">
                  <c:v>985.09321893736342</c:v>
                </c:pt>
                <c:pt idx="95">
                  <c:v>985.09321893736342</c:v>
                </c:pt>
                <c:pt idx="96">
                  <c:v>985.09321893736342</c:v>
                </c:pt>
                <c:pt idx="97">
                  <c:v>985.09321893736342</c:v>
                </c:pt>
                <c:pt idx="98">
                  <c:v>985.09321893736342</c:v>
                </c:pt>
                <c:pt idx="99">
                  <c:v>985.09321893736342</c:v>
                </c:pt>
                <c:pt idx="100">
                  <c:v>985.09321893736342</c:v>
                </c:pt>
                <c:pt idx="101">
                  <c:v>985.09321893736342</c:v>
                </c:pt>
                <c:pt idx="102">
                  <c:v>985.09321893736342</c:v>
                </c:pt>
                <c:pt idx="103">
                  <c:v>985.09321893736342</c:v>
                </c:pt>
                <c:pt idx="104">
                  <c:v>985.09321893736342</c:v>
                </c:pt>
                <c:pt idx="105">
                  <c:v>985.09321893736342</c:v>
                </c:pt>
                <c:pt idx="106">
                  <c:v>985.09321893736342</c:v>
                </c:pt>
                <c:pt idx="107">
                  <c:v>985.09321893736342</c:v>
                </c:pt>
                <c:pt idx="108">
                  <c:v>985.09321893736342</c:v>
                </c:pt>
                <c:pt idx="109">
                  <c:v>985.09321893736342</c:v>
                </c:pt>
                <c:pt idx="110">
                  <c:v>985.09321893736342</c:v>
                </c:pt>
                <c:pt idx="111">
                  <c:v>985.09321893736342</c:v>
                </c:pt>
                <c:pt idx="112">
                  <c:v>985.09321893736342</c:v>
                </c:pt>
                <c:pt idx="113">
                  <c:v>985.09321893736342</c:v>
                </c:pt>
                <c:pt idx="114">
                  <c:v>985.09321893736342</c:v>
                </c:pt>
                <c:pt idx="115">
                  <c:v>985.09321893736342</c:v>
                </c:pt>
                <c:pt idx="116">
                  <c:v>985.09321893736342</c:v>
                </c:pt>
                <c:pt idx="117">
                  <c:v>985.09321893736342</c:v>
                </c:pt>
                <c:pt idx="118">
                  <c:v>985.09321893736342</c:v>
                </c:pt>
                <c:pt idx="119">
                  <c:v>985.09321893736342</c:v>
                </c:pt>
                <c:pt idx="120">
                  <c:v>985.09321893736342</c:v>
                </c:pt>
                <c:pt idx="121">
                  <c:v>985.09321893736342</c:v>
                </c:pt>
                <c:pt idx="122">
                  <c:v>985.09321893736342</c:v>
                </c:pt>
                <c:pt idx="123">
                  <c:v>985.09321893736342</c:v>
                </c:pt>
                <c:pt idx="124">
                  <c:v>985.09321893736342</c:v>
                </c:pt>
                <c:pt idx="125">
                  <c:v>985.09321893736342</c:v>
                </c:pt>
                <c:pt idx="126">
                  <c:v>985.09321893736342</c:v>
                </c:pt>
                <c:pt idx="127">
                  <c:v>985.09321893736342</c:v>
                </c:pt>
                <c:pt idx="128">
                  <c:v>985.09321893736342</c:v>
                </c:pt>
                <c:pt idx="129">
                  <c:v>985.09321893736342</c:v>
                </c:pt>
                <c:pt idx="130">
                  <c:v>985.09321893736342</c:v>
                </c:pt>
                <c:pt idx="131">
                  <c:v>985.09321893736342</c:v>
                </c:pt>
                <c:pt idx="132">
                  <c:v>985.09321893736342</c:v>
                </c:pt>
                <c:pt idx="133">
                  <c:v>985.09321893736342</c:v>
                </c:pt>
                <c:pt idx="134">
                  <c:v>985.09321893736342</c:v>
                </c:pt>
                <c:pt idx="135">
                  <c:v>985.09321893736342</c:v>
                </c:pt>
                <c:pt idx="136">
                  <c:v>985.09321893736342</c:v>
                </c:pt>
                <c:pt idx="137">
                  <c:v>985.09321893736342</c:v>
                </c:pt>
                <c:pt idx="138">
                  <c:v>985.09321893736342</c:v>
                </c:pt>
                <c:pt idx="139">
                  <c:v>985.09321893736342</c:v>
                </c:pt>
                <c:pt idx="140">
                  <c:v>985.09321893736342</c:v>
                </c:pt>
                <c:pt idx="141">
                  <c:v>985.09321893736342</c:v>
                </c:pt>
                <c:pt idx="142">
                  <c:v>985.09321893736342</c:v>
                </c:pt>
                <c:pt idx="143">
                  <c:v>985.09321893736342</c:v>
                </c:pt>
                <c:pt idx="144">
                  <c:v>985.09321893736342</c:v>
                </c:pt>
                <c:pt idx="145">
                  <c:v>985.09321893736342</c:v>
                </c:pt>
                <c:pt idx="146">
                  <c:v>985.09321893736342</c:v>
                </c:pt>
                <c:pt idx="147">
                  <c:v>985.09321893736342</c:v>
                </c:pt>
                <c:pt idx="148">
                  <c:v>985.09321893736342</c:v>
                </c:pt>
                <c:pt idx="149">
                  <c:v>985.09321893736342</c:v>
                </c:pt>
                <c:pt idx="150">
                  <c:v>985.09321893736342</c:v>
                </c:pt>
                <c:pt idx="151">
                  <c:v>985.09321893736342</c:v>
                </c:pt>
                <c:pt idx="152">
                  <c:v>985.09321893736342</c:v>
                </c:pt>
                <c:pt idx="153">
                  <c:v>985.09321893736342</c:v>
                </c:pt>
                <c:pt idx="154">
                  <c:v>985.09321893736342</c:v>
                </c:pt>
                <c:pt idx="155">
                  <c:v>985.09321893736342</c:v>
                </c:pt>
                <c:pt idx="156">
                  <c:v>985.09321893736342</c:v>
                </c:pt>
                <c:pt idx="157">
                  <c:v>985.09321893736342</c:v>
                </c:pt>
                <c:pt idx="158">
                  <c:v>985.09321893736342</c:v>
                </c:pt>
                <c:pt idx="159">
                  <c:v>985.09321893736342</c:v>
                </c:pt>
                <c:pt idx="160">
                  <c:v>985.09321893736342</c:v>
                </c:pt>
                <c:pt idx="161">
                  <c:v>985.09321893736342</c:v>
                </c:pt>
                <c:pt idx="162">
                  <c:v>985.09321893736342</c:v>
                </c:pt>
                <c:pt idx="163">
                  <c:v>985.09321893736342</c:v>
                </c:pt>
                <c:pt idx="164">
                  <c:v>985.09321893736342</c:v>
                </c:pt>
                <c:pt idx="165">
                  <c:v>985.09321893736342</c:v>
                </c:pt>
                <c:pt idx="166">
                  <c:v>985.09321893736342</c:v>
                </c:pt>
                <c:pt idx="167">
                  <c:v>985.09321893736342</c:v>
                </c:pt>
                <c:pt idx="168">
                  <c:v>985.09321893736342</c:v>
                </c:pt>
                <c:pt idx="169">
                  <c:v>985.09321893736342</c:v>
                </c:pt>
                <c:pt idx="170">
                  <c:v>985.09321893736342</c:v>
                </c:pt>
                <c:pt idx="171">
                  <c:v>985.09321893736342</c:v>
                </c:pt>
                <c:pt idx="172">
                  <c:v>985.09321893736342</c:v>
                </c:pt>
                <c:pt idx="173">
                  <c:v>985.09321893736342</c:v>
                </c:pt>
                <c:pt idx="174">
                  <c:v>985.09321893736342</c:v>
                </c:pt>
                <c:pt idx="175">
                  <c:v>985.09321893736342</c:v>
                </c:pt>
                <c:pt idx="176">
                  <c:v>985.09321893736342</c:v>
                </c:pt>
                <c:pt idx="177">
                  <c:v>985.09321893736342</c:v>
                </c:pt>
                <c:pt idx="178">
                  <c:v>985.09321893736342</c:v>
                </c:pt>
                <c:pt idx="179">
                  <c:v>985.09321893736342</c:v>
                </c:pt>
                <c:pt idx="180">
                  <c:v>985.09321893736342</c:v>
                </c:pt>
                <c:pt idx="181">
                  <c:v>985.09321893736342</c:v>
                </c:pt>
                <c:pt idx="182">
                  <c:v>985.09321893736342</c:v>
                </c:pt>
                <c:pt idx="183">
                  <c:v>985.09321893736342</c:v>
                </c:pt>
                <c:pt idx="184">
                  <c:v>985.09321893736342</c:v>
                </c:pt>
                <c:pt idx="185">
                  <c:v>985.09321893736342</c:v>
                </c:pt>
                <c:pt idx="186">
                  <c:v>985.09321893736342</c:v>
                </c:pt>
                <c:pt idx="187">
                  <c:v>985.09321893736342</c:v>
                </c:pt>
                <c:pt idx="188">
                  <c:v>985.09321893736342</c:v>
                </c:pt>
                <c:pt idx="189">
                  <c:v>985.09321893736342</c:v>
                </c:pt>
                <c:pt idx="190">
                  <c:v>985.09321893736342</c:v>
                </c:pt>
                <c:pt idx="191">
                  <c:v>985.09321893736342</c:v>
                </c:pt>
                <c:pt idx="192">
                  <c:v>985.09321893736342</c:v>
                </c:pt>
                <c:pt idx="193">
                  <c:v>985.09321893736342</c:v>
                </c:pt>
                <c:pt idx="194">
                  <c:v>985.09321893736342</c:v>
                </c:pt>
                <c:pt idx="195">
                  <c:v>985.09321893736342</c:v>
                </c:pt>
                <c:pt idx="196">
                  <c:v>985.09321893736342</c:v>
                </c:pt>
                <c:pt idx="197">
                  <c:v>985.09321893736342</c:v>
                </c:pt>
                <c:pt idx="198">
                  <c:v>985.09321893736342</c:v>
                </c:pt>
                <c:pt idx="199">
                  <c:v>985.09321893736342</c:v>
                </c:pt>
                <c:pt idx="200">
                  <c:v>985.09321893736342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3.351884240739313</c:v>
                </c:pt>
                <c:pt idx="2">
                  <c:v>4.1139906614920978</c:v>
                </c:pt>
                <c:pt idx="3">
                  <c:v>5.050026724570607</c:v>
                </c:pt>
                <c:pt idx="4">
                  <c:v>6.1998272055771828</c:v>
                </c:pt>
                <c:pt idx="5">
                  <c:v>7.6123801752444962</c:v>
                </c:pt>
                <c:pt idx="6">
                  <c:v>9.34793666123044</c:v>
                </c:pt>
                <c:pt idx="7">
                  <c:v>11.480607909051336</c:v>
                </c:pt>
                <c:pt idx="8">
                  <c:v>14.101563228087299</c:v>
                </c:pt>
                <c:pt idx="9">
                  <c:v>17.322967650623784</c:v>
                </c:pt>
                <c:pt idx="10">
                  <c:v>21.282830981754127</c:v>
                </c:pt>
                <c:pt idx="11">
                  <c:v>26.150979699965422</c:v>
                </c:pt>
                <c:pt idx="12">
                  <c:v>32.136412339379071</c:v>
                </c:pt>
                <c:pt idx="13">
                  <c:v>39.496359612476404</c:v>
                </c:pt>
                <c:pt idx="14">
                  <c:v>48.547445290885854</c:v>
                </c:pt>
                <c:pt idx="15">
                  <c:v>59.679436050820584</c:v>
                </c:pt>
                <c:pt idx="16">
                  <c:v>73.372182179993771</c:v>
                </c:pt>
                <c:pt idx="17">
                  <c:v>90.216491257536731</c:v>
                </c:pt>
                <c:pt idx="18">
                  <c:v>110.93984985617659</c:v>
                </c:pt>
                <c:pt idx="19">
                  <c:v>136.43812162598374</c:v>
                </c:pt>
                <c:pt idx="20">
                  <c:v>167.81461324135844</c:v>
                </c:pt>
                <c:pt idx="21">
                  <c:v>206.42822427801795</c:v>
                </c:pt>
                <c:pt idx="22">
                  <c:v>253.95279751368003</c:v>
                </c:pt>
                <c:pt idx="23">
                  <c:v>312.45028016261415</c:v>
                </c:pt>
                <c:pt idx="24">
                  <c:v>384.46091606664919</c:v>
                </c:pt>
                <c:pt idx="25">
                  <c:v>473.11444091432713</c:v>
                </c:pt>
                <c:pt idx="26">
                  <c:v>445.36274447483993</c:v>
                </c:pt>
                <c:pt idx="27">
                  <c:v>463.86783989647046</c:v>
                </c:pt>
                <c:pt idx="28">
                  <c:v>482.35719575667054</c:v>
                </c:pt>
                <c:pt idx="29">
                  <c:v>500.83149992842147</c:v>
                </c:pt>
                <c:pt idx="30">
                  <c:v>519.29138542901649</c:v>
                </c:pt>
                <c:pt idx="31">
                  <c:v>537.73743662899074</c:v>
                </c:pt>
                <c:pt idx="32">
                  <c:v>556.17019456513719</c:v>
                </c:pt>
                <c:pt idx="33">
                  <c:v>574.59016151287642</c:v>
                </c:pt>
                <c:pt idx="34">
                  <c:v>592.99780494212564</c:v>
                </c:pt>
                <c:pt idx="35">
                  <c:v>611.39356095672497</c:v>
                </c:pt>
                <c:pt idx="36">
                  <c:v>629.77783729865575</c:v>
                </c:pt>
                <c:pt idx="37">
                  <c:v>648.15101598346814</c:v>
                </c:pt>
                <c:pt idx="38">
                  <c:v>603.10745259298085</c:v>
                </c:pt>
                <c:pt idx="39">
                  <c:v>621.49874325347366</c:v>
                </c:pt>
                <c:pt idx="40">
                  <c:v>639.87876490291922</c:v>
                </c:pt>
                <c:pt idx="41">
                  <c:v>658.24788653722624</c:v>
                </c:pt>
                <c:pt idx="42">
                  <c:v>676.60645489688227</c:v>
                </c:pt>
                <c:pt idx="43">
                  <c:v>694.9547963889562</c:v>
                </c:pt>
                <c:pt idx="44">
                  <c:v>713.29321879574275</c:v>
                </c:pt>
                <c:pt idx="45">
                  <c:v>731.62201279871385</c:v>
                </c:pt>
                <c:pt idx="46">
                  <c:v>749.94145334195684</c:v>
                </c:pt>
                <c:pt idx="47">
                  <c:v>768.25180085559759</c:v>
                </c:pt>
                <c:pt idx="48">
                  <c:v>786.55330235663621</c:v>
                </c:pt>
                <c:pt idx="49">
                  <c:v>804.84619244211251</c:v>
                </c:pt>
                <c:pt idx="50">
                  <c:v>744.3604734568429</c:v>
                </c:pt>
                <c:pt idx="51">
                  <c:v>762.66979805085475</c:v>
                </c:pt>
                <c:pt idx="52">
                  <c:v>780.97020634547835</c:v>
                </c:pt>
                <c:pt idx="53">
                  <c:v>799.26193647951823</c:v>
                </c:pt>
                <c:pt idx="54">
                  <c:v>817.54521481508664</c:v>
                </c:pt>
                <c:pt idx="55">
                  <c:v>835.82025677566719</c:v>
                </c:pt>
                <c:pt idx="56">
                  <c:v>854.08726760715206</c:v>
                </c:pt>
                <c:pt idx="57">
                  <c:v>872.34644307046574</c:v>
                </c:pt>
                <c:pt idx="58">
                  <c:v>890.5979700732529</c:v>
                </c:pt>
                <c:pt idx="59">
                  <c:v>908.84202724715635</c:v>
                </c:pt>
                <c:pt idx="60">
                  <c:v>927.07878547639109</c:v>
                </c:pt>
                <c:pt idx="61">
                  <c:v>945.30840838262009</c:v>
                </c:pt>
                <c:pt idx="62">
                  <c:v>870.98652346882739</c:v>
                </c:pt>
                <c:pt idx="63">
                  <c:v>889.24049156595254</c:v>
                </c:pt>
                <c:pt idx="64">
                  <c:v>907.48697527864579</c:v>
                </c:pt>
                <c:pt idx="65">
                  <c:v>925.72614610280164</c:v>
                </c:pt>
                <c:pt idx="66">
                  <c:v>943.95816823413895</c:v>
                </c:pt>
                <c:pt idx="67">
                  <c:v>962.1831990167874</c:v>
                </c:pt>
                <c:pt idx="68">
                  <c:v>980.40138935616631</c:v>
                </c:pt>
                <c:pt idx="69">
                  <c:v>998.61288409961981</c:v>
                </c:pt>
                <c:pt idx="70">
                  <c:v>1016.8178223878836</c:v>
                </c:pt>
                <c:pt idx="71">
                  <c:v>1035.0163379801074</c:v>
                </c:pt>
                <c:pt idx="72">
                  <c:v>1053.2085595548626</c:v>
                </c:pt>
                <c:pt idx="73">
                  <c:v>1071.3946109893034</c:v>
                </c:pt>
                <c:pt idx="74">
                  <c:v>984.65133180683108</c:v>
                </c:pt>
                <c:pt idx="75">
                  <c:v>1002.8612844683611</c:v>
                </c:pt>
                <c:pt idx="76">
                  <c:v>1021.0647123550802</c:v>
                </c:pt>
                <c:pt idx="77">
                  <c:v>1039.2617480145834</c:v>
                </c:pt>
                <c:pt idx="78">
                  <c:v>1057.4525189809044</c:v>
                </c:pt>
                <c:pt idx="79">
                  <c:v>1075.6371480488651</c:v>
                </c:pt>
                <c:pt idx="80">
                  <c:v>1093.8157535289363</c:v>
                </c:pt>
                <c:pt idx="81">
                  <c:v>1093.8157535289363</c:v>
                </c:pt>
                <c:pt idx="82">
                  <c:v>1093.8157535289363</c:v>
                </c:pt>
                <c:pt idx="83">
                  <c:v>1093.8157535289363</c:v>
                </c:pt>
                <c:pt idx="84">
                  <c:v>1093.8157535289363</c:v>
                </c:pt>
                <c:pt idx="85">
                  <c:v>1093.8157535289363</c:v>
                </c:pt>
                <c:pt idx="86">
                  <c:v>1093.8157535289363</c:v>
                </c:pt>
                <c:pt idx="87">
                  <c:v>1093.8157535289363</c:v>
                </c:pt>
                <c:pt idx="88">
                  <c:v>1093.8157535289363</c:v>
                </c:pt>
                <c:pt idx="89">
                  <c:v>1093.8157535289363</c:v>
                </c:pt>
                <c:pt idx="90">
                  <c:v>1093.8157535289363</c:v>
                </c:pt>
                <c:pt idx="91">
                  <c:v>1093.8157535289363</c:v>
                </c:pt>
                <c:pt idx="92">
                  <c:v>1093.8157535289363</c:v>
                </c:pt>
                <c:pt idx="93">
                  <c:v>1093.8157535289363</c:v>
                </c:pt>
                <c:pt idx="94">
                  <c:v>1093.8157535289363</c:v>
                </c:pt>
                <c:pt idx="95">
                  <c:v>1093.8157535289363</c:v>
                </c:pt>
                <c:pt idx="96">
                  <c:v>1093.8157535289363</c:v>
                </c:pt>
                <c:pt idx="97">
                  <c:v>1093.8157535289363</c:v>
                </c:pt>
                <c:pt idx="98">
                  <c:v>1093.8157535289363</c:v>
                </c:pt>
                <c:pt idx="99">
                  <c:v>1093.8157535289363</c:v>
                </c:pt>
                <c:pt idx="100">
                  <c:v>1093.8157535289363</c:v>
                </c:pt>
                <c:pt idx="101">
                  <c:v>1093.8157535289363</c:v>
                </c:pt>
                <c:pt idx="102">
                  <c:v>1093.8157535289363</c:v>
                </c:pt>
                <c:pt idx="103">
                  <c:v>1093.8157535289363</c:v>
                </c:pt>
                <c:pt idx="104">
                  <c:v>1093.8157535289363</c:v>
                </c:pt>
                <c:pt idx="105">
                  <c:v>1093.8157535289363</c:v>
                </c:pt>
                <c:pt idx="106">
                  <c:v>1093.8157535289363</c:v>
                </c:pt>
                <c:pt idx="107">
                  <c:v>1093.8157535289363</c:v>
                </c:pt>
                <c:pt idx="108">
                  <c:v>1093.8157535289363</c:v>
                </c:pt>
                <c:pt idx="109">
                  <c:v>1093.8157535289363</c:v>
                </c:pt>
                <c:pt idx="110">
                  <c:v>1093.8157535289363</c:v>
                </c:pt>
                <c:pt idx="111">
                  <c:v>1093.8157535289363</c:v>
                </c:pt>
                <c:pt idx="112">
                  <c:v>1093.8157535289363</c:v>
                </c:pt>
                <c:pt idx="113">
                  <c:v>1093.8157535289363</c:v>
                </c:pt>
                <c:pt idx="114">
                  <c:v>1093.8157535289363</c:v>
                </c:pt>
                <c:pt idx="115">
                  <c:v>1093.8157535289363</c:v>
                </c:pt>
                <c:pt idx="116">
                  <c:v>1093.8157535289363</c:v>
                </c:pt>
                <c:pt idx="117">
                  <c:v>1093.8157535289363</c:v>
                </c:pt>
                <c:pt idx="118">
                  <c:v>1093.8157535289363</c:v>
                </c:pt>
                <c:pt idx="119">
                  <c:v>1093.8157535289363</c:v>
                </c:pt>
                <c:pt idx="120">
                  <c:v>1093.8157535289363</c:v>
                </c:pt>
                <c:pt idx="121">
                  <c:v>1093.8157535289363</c:v>
                </c:pt>
                <c:pt idx="122">
                  <c:v>1093.8157535289363</c:v>
                </c:pt>
                <c:pt idx="123">
                  <c:v>1093.8157535289363</c:v>
                </c:pt>
                <c:pt idx="124">
                  <c:v>1093.8157535289363</c:v>
                </c:pt>
                <c:pt idx="125">
                  <c:v>1093.8157535289363</c:v>
                </c:pt>
                <c:pt idx="126">
                  <c:v>1093.8157535289363</c:v>
                </c:pt>
                <c:pt idx="127">
                  <c:v>1093.8157535289363</c:v>
                </c:pt>
                <c:pt idx="128">
                  <c:v>1093.8157535289363</c:v>
                </c:pt>
                <c:pt idx="129">
                  <c:v>1093.8157535289363</c:v>
                </c:pt>
                <c:pt idx="130">
                  <c:v>1093.8157535289363</c:v>
                </c:pt>
                <c:pt idx="131">
                  <c:v>1093.8157535289363</c:v>
                </c:pt>
                <c:pt idx="132">
                  <c:v>1093.8157535289363</c:v>
                </c:pt>
                <c:pt idx="133">
                  <c:v>1093.8157535289363</c:v>
                </c:pt>
                <c:pt idx="134">
                  <c:v>1093.8157535289363</c:v>
                </c:pt>
                <c:pt idx="135">
                  <c:v>1093.8157535289363</c:v>
                </c:pt>
                <c:pt idx="136">
                  <c:v>1093.8157535289363</c:v>
                </c:pt>
                <c:pt idx="137">
                  <c:v>1093.8157535289363</c:v>
                </c:pt>
                <c:pt idx="138">
                  <c:v>1093.8157535289363</c:v>
                </c:pt>
                <c:pt idx="139">
                  <c:v>1093.8157535289363</c:v>
                </c:pt>
                <c:pt idx="140">
                  <c:v>1093.8157535289363</c:v>
                </c:pt>
                <c:pt idx="141">
                  <c:v>1093.8157535289363</c:v>
                </c:pt>
                <c:pt idx="142">
                  <c:v>1093.8157535289363</c:v>
                </c:pt>
                <c:pt idx="143">
                  <c:v>1093.8157535289363</c:v>
                </c:pt>
                <c:pt idx="144">
                  <c:v>1093.8157535289363</c:v>
                </c:pt>
                <c:pt idx="145">
                  <c:v>1093.8157535289363</c:v>
                </c:pt>
                <c:pt idx="146">
                  <c:v>1093.8157535289363</c:v>
                </c:pt>
                <c:pt idx="147">
                  <c:v>1093.8157535289363</c:v>
                </c:pt>
                <c:pt idx="148">
                  <c:v>1093.8157535289363</c:v>
                </c:pt>
                <c:pt idx="149">
                  <c:v>1093.8157535289363</c:v>
                </c:pt>
                <c:pt idx="150">
                  <c:v>1093.8157535289363</c:v>
                </c:pt>
                <c:pt idx="151">
                  <c:v>1093.8157535289363</c:v>
                </c:pt>
                <c:pt idx="152">
                  <c:v>1093.8157535289363</c:v>
                </c:pt>
                <c:pt idx="153">
                  <c:v>1093.8157535289363</c:v>
                </c:pt>
                <c:pt idx="154">
                  <c:v>1093.8157535289363</c:v>
                </c:pt>
                <c:pt idx="155">
                  <c:v>1093.8157535289363</c:v>
                </c:pt>
                <c:pt idx="156">
                  <c:v>1093.8157535289363</c:v>
                </c:pt>
                <c:pt idx="157">
                  <c:v>1093.8157535289363</c:v>
                </c:pt>
                <c:pt idx="158">
                  <c:v>1093.8157535289363</c:v>
                </c:pt>
                <c:pt idx="159">
                  <c:v>1093.8157535289363</c:v>
                </c:pt>
                <c:pt idx="160">
                  <c:v>1093.8157535289363</c:v>
                </c:pt>
                <c:pt idx="161">
                  <c:v>1093.8157535289363</c:v>
                </c:pt>
                <c:pt idx="162">
                  <c:v>1093.8157535289363</c:v>
                </c:pt>
                <c:pt idx="163">
                  <c:v>1093.8157535289363</c:v>
                </c:pt>
                <c:pt idx="164">
                  <c:v>1093.8157535289363</c:v>
                </c:pt>
                <c:pt idx="165">
                  <c:v>1093.8157535289363</c:v>
                </c:pt>
                <c:pt idx="166">
                  <c:v>1093.8157535289363</c:v>
                </c:pt>
                <c:pt idx="167">
                  <c:v>1093.8157535289363</c:v>
                </c:pt>
                <c:pt idx="168">
                  <c:v>1093.8157535289363</c:v>
                </c:pt>
                <c:pt idx="169">
                  <c:v>1093.8157535289363</c:v>
                </c:pt>
                <c:pt idx="170">
                  <c:v>1093.8157535289363</c:v>
                </c:pt>
                <c:pt idx="171">
                  <c:v>1093.8157535289363</c:v>
                </c:pt>
                <c:pt idx="172">
                  <c:v>1093.8157535289363</c:v>
                </c:pt>
                <c:pt idx="173">
                  <c:v>1093.8157535289363</c:v>
                </c:pt>
                <c:pt idx="174">
                  <c:v>1093.8157535289363</c:v>
                </c:pt>
                <c:pt idx="175">
                  <c:v>1093.8157535289363</c:v>
                </c:pt>
                <c:pt idx="176">
                  <c:v>1093.8157535289363</c:v>
                </c:pt>
                <c:pt idx="177">
                  <c:v>1093.8157535289363</c:v>
                </c:pt>
                <c:pt idx="178">
                  <c:v>1093.8157535289363</c:v>
                </c:pt>
                <c:pt idx="179">
                  <c:v>1093.8157535289363</c:v>
                </c:pt>
                <c:pt idx="180">
                  <c:v>1093.8157535289363</c:v>
                </c:pt>
                <c:pt idx="181">
                  <c:v>1093.8157535289363</c:v>
                </c:pt>
                <c:pt idx="182">
                  <c:v>1093.8157535289363</c:v>
                </c:pt>
                <c:pt idx="183">
                  <c:v>1093.8157535289363</c:v>
                </c:pt>
                <c:pt idx="184">
                  <c:v>1093.8157535289363</c:v>
                </c:pt>
                <c:pt idx="185">
                  <c:v>1093.8157535289363</c:v>
                </c:pt>
                <c:pt idx="186">
                  <c:v>1093.8157535289363</c:v>
                </c:pt>
                <c:pt idx="187">
                  <c:v>1093.8157535289363</c:v>
                </c:pt>
                <c:pt idx="188">
                  <c:v>1093.8157535289363</c:v>
                </c:pt>
                <c:pt idx="189">
                  <c:v>1093.8157535289363</c:v>
                </c:pt>
                <c:pt idx="190">
                  <c:v>1093.8157535289363</c:v>
                </c:pt>
                <c:pt idx="191">
                  <c:v>1093.8157535289363</c:v>
                </c:pt>
                <c:pt idx="192">
                  <c:v>1093.8157535289363</c:v>
                </c:pt>
                <c:pt idx="193">
                  <c:v>1093.8157535289363</c:v>
                </c:pt>
                <c:pt idx="194">
                  <c:v>1093.8157535289363</c:v>
                </c:pt>
                <c:pt idx="195">
                  <c:v>1093.8157535289363</c:v>
                </c:pt>
                <c:pt idx="196">
                  <c:v>1093.8157535289363</c:v>
                </c:pt>
                <c:pt idx="197">
                  <c:v>1093.8157535289363</c:v>
                </c:pt>
                <c:pt idx="198">
                  <c:v>1093.8157535289363</c:v>
                </c:pt>
                <c:pt idx="199">
                  <c:v>1093.8157535289363</c:v>
                </c:pt>
                <c:pt idx="200">
                  <c:v>1093.8157535289363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abSelected="1" zoomScale="80" zoomScaleNormal="80" workbookViewId="0">
      <selection activeCell="B12" sqref="B12:M16"/>
    </sheetView>
  </sheetViews>
  <sheetFormatPr baseColWidth="10" defaultRowHeight="15"/>
  <cols>
    <col min="1" max="1" width="6.6640625" customWidth="1"/>
    <col min="2" max="13" width="15.83203125" customWidth="1"/>
  </cols>
  <sheetData>
    <row r="12" spans="2:13" ht="15" customHeight="1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B159" sqref="B159"/>
    </sheetView>
  </sheetViews>
  <sheetFormatPr baseColWidth="10" defaultColWidth="11.5" defaultRowHeight="15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>
      <c r="A5" s="304" t="s">
        <v>231</v>
      </c>
      <c r="B5" s="304"/>
      <c r="C5" s="26">
        <v>8.1999999999999993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>
      <c r="A9" s="33" t="s">
        <v>165</v>
      </c>
      <c r="B9" s="34" t="s">
        <v>14</v>
      </c>
      <c r="C9" s="35">
        <v>0.28000000000000003</v>
      </c>
      <c r="D9" s="36">
        <f t="shared" ref="D9:D18" si="0">C9*$C$5</f>
        <v>2.2959999999999998</v>
      </c>
      <c r="E9" s="37">
        <v>157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>
      <c r="A10" s="33" t="s">
        <v>166</v>
      </c>
      <c r="B10" s="34" t="s">
        <v>12</v>
      </c>
      <c r="C10" s="35">
        <v>0.28000000000000003</v>
      </c>
      <c r="D10" s="36">
        <f t="shared" si="0"/>
        <v>2.2959999999999998</v>
      </c>
      <c r="E10" s="37">
        <v>157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>
      <c r="A11" s="33" t="s">
        <v>167</v>
      </c>
      <c r="B11" s="34" t="s">
        <v>38</v>
      </c>
      <c r="C11" s="35">
        <v>0.17</v>
      </c>
      <c r="D11" s="36">
        <f t="shared" si="0"/>
        <v>1.3939999999999999</v>
      </c>
      <c r="E11" s="37">
        <v>50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>
      <c r="A12" s="33" t="s">
        <v>168</v>
      </c>
      <c r="B12" s="34" t="s">
        <v>164</v>
      </c>
      <c r="C12" s="35">
        <v>0.16</v>
      </c>
      <c r="D12" s="36">
        <f t="shared" si="0"/>
        <v>1.3119999999999998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>
      <c r="A13" s="33" t="s">
        <v>169</v>
      </c>
      <c r="B13" s="34" t="s">
        <v>1</v>
      </c>
      <c r="C13" s="35">
        <v>5.5E-2</v>
      </c>
      <c r="D13" s="36">
        <f t="shared" si="0"/>
        <v>0.45099999999999996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>
      <c r="A14" s="33" t="s">
        <v>170</v>
      </c>
      <c r="B14" s="34" t="s">
        <v>52</v>
      </c>
      <c r="C14" s="35">
        <v>5.5E-2</v>
      </c>
      <c r="D14" s="36">
        <f t="shared" si="0"/>
        <v>0.45099999999999996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>
      <c r="A19" s="100"/>
      <c r="B19" s="39" t="s">
        <v>175</v>
      </c>
      <c r="C19" s="40">
        <f>SUM(C9:C18)</f>
        <v>1.0000000000000002</v>
      </c>
      <c r="D19" s="41">
        <f>SUM(D9:D18)</f>
        <v>8.1999999999999993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>
      <c r="A36" s="53">
        <v>25</v>
      </c>
      <c r="B36" s="63">
        <v>85</v>
      </c>
      <c r="C36" s="63">
        <v>1</v>
      </c>
      <c r="D36" s="63">
        <v>8.5</v>
      </c>
      <c r="E36" s="54">
        <v>0</v>
      </c>
      <c r="F36" s="54">
        <v>0</v>
      </c>
      <c r="G36" s="54">
        <v>0</v>
      </c>
      <c r="H36" s="54">
        <v>1</v>
      </c>
      <c r="I36" s="52">
        <f>IFERROR(B36/A36,"")</f>
        <v>3.4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>
      <c r="A37" s="53">
        <v>37</v>
      </c>
      <c r="B37" s="63">
        <v>138.5</v>
      </c>
      <c r="C37" s="63">
        <v>2</v>
      </c>
      <c r="D37" s="63">
        <v>13.85</v>
      </c>
      <c r="E37" s="54">
        <v>0</v>
      </c>
      <c r="F37" s="54">
        <v>0</v>
      </c>
      <c r="G37" s="54">
        <v>0</v>
      </c>
      <c r="H37" s="54">
        <v>1</v>
      </c>
      <c r="I37" s="56">
        <f t="shared" ref="I37:I55" si="1">IF(A37&lt;&gt;0,(B37-(B36-D36))/(A37-A36),"")</f>
        <v>5.166666666666667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>
      <c r="A38" s="53">
        <v>49</v>
      </c>
      <c r="B38" s="63">
        <v>191.55</v>
      </c>
      <c r="C38" s="63">
        <v>3</v>
      </c>
      <c r="D38" s="63">
        <v>19.16</v>
      </c>
      <c r="E38" s="54">
        <v>0.12</v>
      </c>
      <c r="F38" s="54">
        <v>0.16</v>
      </c>
      <c r="G38" s="54">
        <v>0</v>
      </c>
      <c r="H38" s="54">
        <v>0.72</v>
      </c>
      <c r="I38" s="56">
        <f t="shared" si="1"/>
        <v>5.5750000000000002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>
      <c r="A39" s="53">
        <v>61</v>
      </c>
      <c r="B39" s="63">
        <v>238.2</v>
      </c>
      <c r="C39" s="63">
        <v>4</v>
      </c>
      <c r="D39" s="63">
        <v>23.82</v>
      </c>
      <c r="E39" s="54">
        <v>0.15</v>
      </c>
      <c r="F39" s="54">
        <v>0.17</v>
      </c>
      <c r="G39" s="54">
        <v>0</v>
      </c>
      <c r="H39" s="54">
        <v>0.68</v>
      </c>
      <c r="I39" s="52">
        <f t="shared" si="1"/>
        <v>5.4841666666666642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>
      <c r="A40" s="53">
        <v>73</v>
      </c>
      <c r="B40" s="63">
        <v>274.58</v>
      </c>
      <c r="C40" s="63">
        <v>5</v>
      </c>
      <c r="D40" s="63">
        <v>27.46</v>
      </c>
      <c r="E40" s="54">
        <v>0.18</v>
      </c>
      <c r="F40" s="54">
        <v>0.18</v>
      </c>
      <c r="G40" s="54">
        <v>0</v>
      </c>
      <c r="H40" s="54">
        <v>0.65</v>
      </c>
      <c r="I40" s="52">
        <f t="shared" si="1"/>
        <v>5.0166666666666657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>
      <c r="A41" s="53">
        <v>85</v>
      </c>
      <c r="B41" s="63">
        <v>300.72000000000003</v>
      </c>
      <c r="C41" s="63">
        <v>6</v>
      </c>
      <c r="D41" s="63">
        <v>30.07</v>
      </c>
      <c r="E41" s="54">
        <v>0.19</v>
      </c>
      <c r="F41" s="54">
        <v>0.18</v>
      </c>
      <c r="G41" s="54">
        <v>0</v>
      </c>
      <c r="H41" s="54">
        <v>0.63</v>
      </c>
      <c r="I41" s="56">
        <f t="shared" si="1"/>
        <v>4.4666666666666712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>
      <c r="A42" s="53">
        <v>97</v>
      </c>
      <c r="B42" s="63">
        <v>316.64999999999998</v>
      </c>
      <c r="C42" s="63">
        <v>7</v>
      </c>
      <c r="D42" s="63">
        <v>31.66</v>
      </c>
      <c r="E42" s="54">
        <v>0.2</v>
      </c>
      <c r="F42" s="54">
        <v>0.18</v>
      </c>
      <c r="G42" s="54">
        <v>0</v>
      </c>
      <c r="H42" s="54">
        <v>0.62</v>
      </c>
      <c r="I42" s="56">
        <f t="shared" si="1"/>
        <v>3.8333333333333286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>
      <c r="A43" s="283">
        <v>109</v>
      </c>
      <c r="B43" s="63">
        <v>323.08</v>
      </c>
      <c r="C43" s="63">
        <v>8</v>
      </c>
      <c r="D43" s="63">
        <v>32.31</v>
      </c>
      <c r="E43" s="54">
        <v>0.2</v>
      </c>
      <c r="F43" s="54">
        <v>0.18</v>
      </c>
      <c r="G43" s="54">
        <v>0</v>
      </c>
      <c r="H43" s="54">
        <v>0.61</v>
      </c>
      <c r="I43" s="52">
        <f t="shared" si="1"/>
        <v>3.1741666666666695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>
      <c r="A44" s="283">
        <v>121</v>
      </c>
      <c r="B44" s="63">
        <v>321.37</v>
      </c>
      <c r="C44" s="63">
        <v>9</v>
      </c>
      <c r="D44" s="63">
        <v>32.14</v>
      </c>
      <c r="E44" s="54">
        <v>0.21</v>
      </c>
      <c r="F44" s="54">
        <v>0.19</v>
      </c>
      <c r="G44" s="54">
        <v>0</v>
      </c>
      <c r="H44" s="54">
        <v>0.61</v>
      </c>
      <c r="I44" s="52">
        <f t="shared" si="1"/>
        <v>2.550000000000002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>
      <c r="A45" s="283">
        <v>133</v>
      </c>
      <c r="B45" s="63">
        <v>313.44</v>
      </c>
      <c r="C45" s="63">
        <v>10</v>
      </c>
      <c r="D45" s="63">
        <v>31.34</v>
      </c>
      <c r="E45" s="54">
        <v>0.21</v>
      </c>
      <c r="F45" s="54">
        <v>0.19</v>
      </c>
      <c r="G45" s="54">
        <v>0</v>
      </c>
      <c r="H45" s="54">
        <v>0.6</v>
      </c>
      <c r="I45" s="52">
        <f t="shared" si="1"/>
        <v>2.0174999999999983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>
      <c r="A46" s="283">
        <v>145</v>
      </c>
      <c r="B46" s="63">
        <v>300.69</v>
      </c>
      <c r="C46" s="63">
        <v>11</v>
      </c>
      <c r="D46" s="63">
        <v>30.07</v>
      </c>
      <c r="E46" s="54">
        <v>0.21</v>
      </c>
      <c r="F46" s="54">
        <v>0.19</v>
      </c>
      <c r="G46" s="54">
        <v>0</v>
      </c>
      <c r="H46" s="54">
        <v>0.6</v>
      </c>
      <c r="I46" s="52">
        <f t="shared" si="1"/>
        <v>1.5491666666666646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>
      <c r="A47" s="283">
        <v>157</v>
      </c>
      <c r="B47" s="63">
        <v>285.02</v>
      </c>
      <c r="C47" s="63">
        <v>12</v>
      </c>
      <c r="D47" s="63">
        <v>28.5</v>
      </c>
      <c r="E47" s="54">
        <v>0.22</v>
      </c>
      <c r="F47" s="54">
        <v>0.19</v>
      </c>
      <c r="G47" s="54">
        <v>0</v>
      </c>
      <c r="H47" s="54">
        <v>0.6</v>
      </c>
      <c r="I47" s="52">
        <f t="shared" si="1"/>
        <v>1.1999999999999982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>
      <c r="A62" s="53">
        <v>25</v>
      </c>
      <c r="B62" s="63">
        <v>111.25</v>
      </c>
      <c r="C62" s="63">
        <v>1</v>
      </c>
      <c r="D62" s="63">
        <v>11.13</v>
      </c>
      <c r="E62" s="54">
        <v>0</v>
      </c>
      <c r="F62" s="54">
        <v>0</v>
      </c>
      <c r="G62" s="54">
        <v>0</v>
      </c>
      <c r="H62" s="54">
        <v>1</v>
      </c>
      <c r="I62" s="56">
        <f>IFERROR(B62/A62,"")</f>
        <v>4.45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>
      <c r="A63" s="53">
        <v>37</v>
      </c>
      <c r="B63" s="63">
        <v>153.53</v>
      </c>
      <c r="C63" s="63">
        <v>2</v>
      </c>
      <c r="D63" s="63">
        <v>15.35</v>
      </c>
      <c r="E63" s="54">
        <v>0</v>
      </c>
      <c r="F63" s="54">
        <v>0</v>
      </c>
      <c r="G63" s="54">
        <v>0</v>
      </c>
      <c r="H63" s="54">
        <v>1</v>
      </c>
      <c r="I63" s="52">
        <f>IF(A63&lt;&gt;0,(B63-(B62-D62))/(A63-A62),"")</f>
        <v>4.4508333333333328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>
      <c r="A64" s="53">
        <v>49</v>
      </c>
      <c r="B64" s="63">
        <v>191.57</v>
      </c>
      <c r="C64" s="63">
        <v>3</v>
      </c>
      <c r="D64" s="63">
        <v>19.16</v>
      </c>
      <c r="E64" s="54">
        <v>0.09</v>
      </c>
      <c r="F64" s="54">
        <v>0.14000000000000001</v>
      </c>
      <c r="G64" s="54">
        <v>0</v>
      </c>
      <c r="H64" s="54">
        <v>0.77</v>
      </c>
      <c r="I64" s="52">
        <f>IF(A64&lt;&gt;0,(B64-(B63-D63))/(A64-A63),"")</f>
        <v>4.4491666666666658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>
      <c r="A65" s="53">
        <v>61</v>
      </c>
      <c r="B65" s="63">
        <v>225.82</v>
      </c>
      <c r="C65" s="63">
        <v>4</v>
      </c>
      <c r="D65" s="63">
        <v>22.58</v>
      </c>
      <c r="E65" s="54">
        <v>0.12</v>
      </c>
      <c r="F65" s="54">
        <v>0.14000000000000001</v>
      </c>
      <c r="G65" s="54">
        <v>0</v>
      </c>
      <c r="H65" s="54">
        <v>0.74</v>
      </c>
      <c r="I65" s="52">
        <f>IF(A65&lt;&gt;0,(B65-(B64-D64))/(A65-A64),"")</f>
        <v>4.4508333333333328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>
      <c r="A66" s="53">
        <v>73</v>
      </c>
      <c r="B66" s="63">
        <v>256.63</v>
      </c>
      <c r="C66" s="63">
        <v>5</v>
      </c>
      <c r="D66" s="63">
        <v>25.66</v>
      </c>
      <c r="E66" s="54">
        <v>0.14000000000000001</v>
      </c>
      <c r="F66" s="54">
        <v>0.14000000000000001</v>
      </c>
      <c r="G66" s="54">
        <v>0</v>
      </c>
      <c r="H66" s="54">
        <v>0.72</v>
      </c>
      <c r="I66" s="52">
        <f t="shared" ref="I66:I81" si="2">IF(A66&lt;&gt;0,(B66-(B65-D65))/(A66-A65),"")</f>
        <v>4.4491666666666658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>
      <c r="A67" s="53">
        <v>85</v>
      </c>
      <c r="B67" s="63">
        <v>284.37</v>
      </c>
      <c r="C67" s="63">
        <v>6</v>
      </c>
      <c r="D67" s="63">
        <v>28.44</v>
      </c>
      <c r="E67" s="54">
        <v>0.15</v>
      </c>
      <c r="F67" s="54">
        <v>0.14000000000000001</v>
      </c>
      <c r="G67" s="54">
        <v>0</v>
      </c>
      <c r="H67" s="54">
        <v>0.71</v>
      </c>
      <c r="I67" s="52">
        <f t="shared" si="2"/>
        <v>4.45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>
      <c r="A68" s="53">
        <v>97</v>
      </c>
      <c r="B68" s="63">
        <v>309.33</v>
      </c>
      <c r="C68" s="63">
        <v>7</v>
      </c>
      <c r="D68" s="63">
        <v>30.93</v>
      </c>
      <c r="E68" s="54">
        <v>0.16</v>
      </c>
      <c r="F68" s="54">
        <v>0.14000000000000001</v>
      </c>
      <c r="G68" s="54">
        <v>0</v>
      </c>
      <c r="H68" s="54">
        <v>0.7</v>
      </c>
      <c r="I68" s="52">
        <f t="shared" si="2"/>
        <v>4.4499999999999984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>
      <c r="A69" s="53">
        <v>109</v>
      </c>
      <c r="B69" s="53">
        <v>331.8</v>
      </c>
      <c r="C69" s="53">
        <v>8</v>
      </c>
      <c r="D69" s="53">
        <v>33.18</v>
      </c>
      <c r="E69" s="54">
        <v>0.16</v>
      </c>
      <c r="F69" s="54">
        <v>0.15</v>
      </c>
      <c r="G69" s="54">
        <v>0</v>
      </c>
      <c r="H69" s="54">
        <v>0.69</v>
      </c>
      <c r="I69" s="52">
        <f t="shared" si="2"/>
        <v>4.4500000000000028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>
      <c r="A70" s="53">
        <v>121</v>
      </c>
      <c r="B70" s="53">
        <v>352.02</v>
      </c>
      <c r="C70" s="53">
        <v>9</v>
      </c>
      <c r="D70" s="53">
        <v>35.200000000000003</v>
      </c>
      <c r="E70" s="54">
        <v>0.17</v>
      </c>
      <c r="F70" s="54">
        <v>0.15</v>
      </c>
      <c r="G70" s="54">
        <v>0</v>
      </c>
      <c r="H70" s="54">
        <v>0.68</v>
      </c>
      <c r="I70" s="52">
        <f t="shared" si="2"/>
        <v>4.4499999999999984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>
      <c r="A71" s="53">
        <v>133</v>
      </c>
      <c r="B71" s="53">
        <v>370.22</v>
      </c>
      <c r="C71" s="53">
        <v>10</v>
      </c>
      <c r="D71" s="53">
        <v>37.020000000000003</v>
      </c>
      <c r="E71" s="54">
        <v>0.17</v>
      </c>
      <c r="F71" s="54">
        <v>0.15</v>
      </c>
      <c r="G71" s="54">
        <v>0</v>
      </c>
      <c r="H71" s="54">
        <v>0.68</v>
      </c>
      <c r="I71" s="52">
        <f t="shared" si="2"/>
        <v>4.4500000000000028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>
      <c r="A72" s="53">
        <v>145</v>
      </c>
      <c r="B72" s="53">
        <v>386.6</v>
      </c>
      <c r="C72" s="53">
        <v>11</v>
      </c>
      <c r="D72" s="53">
        <v>38.659999999999997</v>
      </c>
      <c r="E72" s="54">
        <v>0.18</v>
      </c>
      <c r="F72" s="54">
        <v>0.15</v>
      </c>
      <c r="G72" s="54">
        <v>0</v>
      </c>
      <c r="H72" s="54">
        <v>0.68</v>
      </c>
      <c r="I72" s="52">
        <f t="shared" si="2"/>
        <v>4.4499999999999984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>
      <c r="A73" s="53">
        <v>157</v>
      </c>
      <c r="B73" s="53">
        <v>401.34</v>
      </c>
      <c r="C73" s="53">
        <v>12</v>
      </c>
      <c r="D73" s="53">
        <v>40.130000000000003</v>
      </c>
      <c r="E73" s="54">
        <v>0.18</v>
      </c>
      <c r="F73" s="54">
        <v>0.15</v>
      </c>
      <c r="G73" s="54">
        <v>0</v>
      </c>
      <c r="H73" s="54">
        <v>0.67</v>
      </c>
      <c r="I73" s="52">
        <f t="shared" si="2"/>
        <v>4.4499999999999931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>
      <c r="A84" s="49" t="s">
        <v>167</v>
      </c>
      <c r="B84" s="55" t="str">
        <f>IF(B11="","",B11)</f>
        <v>Pin noir d'Autriche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>
      <c r="A88" s="53">
        <v>25</v>
      </c>
      <c r="B88" s="63">
        <v>87</v>
      </c>
      <c r="C88" s="63">
        <v>1</v>
      </c>
      <c r="D88" s="63">
        <v>8.6999999999999993</v>
      </c>
      <c r="E88" s="54">
        <v>0</v>
      </c>
      <c r="F88" s="54">
        <v>0.13</v>
      </c>
      <c r="G88" s="54">
        <v>0</v>
      </c>
      <c r="H88" s="93">
        <v>0.87</v>
      </c>
      <c r="I88" s="56">
        <f>IFERROR(B88/A88,"")</f>
        <v>3.48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>
      <c r="A89" s="53">
        <v>37</v>
      </c>
      <c r="B89" s="63">
        <v>255.8</v>
      </c>
      <c r="C89" s="63">
        <v>2</v>
      </c>
      <c r="D89" s="63">
        <v>25.58</v>
      </c>
      <c r="E89" s="54">
        <v>0.24</v>
      </c>
      <c r="F89" s="54">
        <v>0.26</v>
      </c>
      <c r="G89" s="54">
        <v>0</v>
      </c>
      <c r="H89" s="93">
        <v>0.5</v>
      </c>
      <c r="I89" s="56">
        <f t="shared" ref="I89:I107" si="3">IF(A89&lt;&gt;0,(B89-(B88-D88))/(A89-A88),"")</f>
        <v>14.791666666666666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>
      <c r="A90" s="53">
        <v>49</v>
      </c>
      <c r="B90" s="63">
        <v>374.22</v>
      </c>
      <c r="C90" s="63">
        <v>3</v>
      </c>
      <c r="D90" s="63">
        <v>37.42</v>
      </c>
      <c r="E90" s="93">
        <v>0.36</v>
      </c>
      <c r="F90" s="93">
        <v>0.28999999999999998</v>
      </c>
      <c r="G90" s="93">
        <v>0</v>
      </c>
      <c r="H90" s="93">
        <v>0.34</v>
      </c>
      <c r="I90" s="56">
        <f t="shared" si="3"/>
        <v>12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>
      <c r="A91" s="53">
        <v>50</v>
      </c>
      <c r="B91" s="63">
        <v>343.8</v>
      </c>
      <c r="C91" s="63">
        <v>4</v>
      </c>
      <c r="D91" s="63">
        <v>0</v>
      </c>
      <c r="E91" s="93">
        <v>0.37</v>
      </c>
      <c r="F91" s="93">
        <v>0.3</v>
      </c>
      <c r="G91" s="93">
        <v>0</v>
      </c>
      <c r="H91" s="93">
        <v>0.34</v>
      </c>
      <c r="I91" s="56">
        <f t="shared" si="3"/>
        <v>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>
      <c r="A110" s="49" t="s">
        <v>168</v>
      </c>
      <c r="B110" s="55" t="str">
        <f>IF(B12="","",B12)</f>
        <v>Cèdre de l'Atlas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>
      <c r="A114" s="53">
        <v>25</v>
      </c>
      <c r="B114" s="63">
        <v>119.4</v>
      </c>
      <c r="C114" s="53">
        <v>1</v>
      </c>
      <c r="D114" s="63">
        <v>11.94</v>
      </c>
      <c r="E114" s="54">
        <v>0</v>
      </c>
      <c r="F114" s="54">
        <v>0.25</v>
      </c>
      <c r="G114" s="54">
        <v>0</v>
      </c>
      <c r="H114" s="54">
        <v>0.75</v>
      </c>
      <c r="I114" s="56">
        <f>IFERROR(B114/A114,"")</f>
        <v>4.7759999999999998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>
      <c r="A115" s="53">
        <v>37</v>
      </c>
      <c r="B115" s="63">
        <v>300.16000000000003</v>
      </c>
      <c r="C115" s="53">
        <v>2</v>
      </c>
      <c r="D115" s="63">
        <v>30.02</v>
      </c>
      <c r="E115" s="54">
        <v>0</v>
      </c>
      <c r="F115" s="54">
        <v>0.47</v>
      </c>
      <c r="G115" s="54">
        <v>0</v>
      </c>
      <c r="H115" s="54">
        <v>0.53</v>
      </c>
      <c r="I115" s="56">
        <f t="shared" ref="I115:I133" si="4">IF(A115&lt;&gt;0,(B115-(B114-D114))/(A115-A114),"")</f>
        <v>16.058333333333334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>
      <c r="A116" s="53">
        <v>49</v>
      </c>
      <c r="B116" s="63">
        <v>481.34</v>
      </c>
      <c r="C116" s="53">
        <v>3</v>
      </c>
      <c r="D116" s="63">
        <v>48.13</v>
      </c>
      <c r="E116" s="54">
        <v>7.0000000000000007E-2</v>
      </c>
      <c r="F116" s="54">
        <v>0.51</v>
      </c>
      <c r="G116" s="54">
        <v>0</v>
      </c>
      <c r="H116" s="54">
        <v>0.42</v>
      </c>
      <c r="I116" s="56">
        <f t="shared" si="4"/>
        <v>17.599999999999994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>
      <c r="A117" s="53">
        <v>61</v>
      </c>
      <c r="B117" s="63">
        <v>611.01</v>
      </c>
      <c r="C117" s="53">
        <v>4</v>
      </c>
      <c r="D117" s="63">
        <v>61.1</v>
      </c>
      <c r="E117" s="54">
        <v>0.09</v>
      </c>
      <c r="F117" s="54">
        <v>0.54</v>
      </c>
      <c r="G117" s="54">
        <v>0</v>
      </c>
      <c r="H117" s="54">
        <v>0.37</v>
      </c>
      <c r="I117" s="56">
        <f t="shared" si="4"/>
        <v>14.816666666666668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>
      <c r="A118" s="53">
        <v>73</v>
      </c>
      <c r="B118" s="63">
        <v>728.71</v>
      </c>
      <c r="C118" s="53">
        <v>5</v>
      </c>
      <c r="D118" s="63">
        <v>72.87</v>
      </c>
      <c r="E118" s="54">
        <v>0.11</v>
      </c>
      <c r="F118" s="54">
        <v>0.55000000000000004</v>
      </c>
      <c r="G118" s="54">
        <v>0</v>
      </c>
      <c r="H118" s="54">
        <v>0.34</v>
      </c>
      <c r="I118" s="56">
        <f t="shared" si="4"/>
        <v>14.900000000000006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>
      <c r="A119" s="53">
        <v>80</v>
      </c>
      <c r="B119" s="63">
        <v>760.14</v>
      </c>
      <c r="C119" s="53">
        <v>6</v>
      </c>
      <c r="D119" s="63">
        <v>0</v>
      </c>
      <c r="E119" s="54">
        <v>0.11</v>
      </c>
      <c r="F119" s="54">
        <v>0.56000000000000005</v>
      </c>
      <c r="G119" s="54">
        <v>0</v>
      </c>
      <c r="H119" s="54">
        <v>0.33</v>
      </c>
      <c r="I119" s="56">
        <f t="shared" si="4"/>
        <v>14.899999999999993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>
      <c r="A136" s="49" t="s">
        <v>169</v>
      </c>
      <c r="B136" s="55" t="str">
        <f>IF(B13="","",B13)</f>
        <v>Alisier torminal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>
      <c r="A140" s="53">
        <v>25</v>
      </c>
      <c r="B140" s="63">
        <v>202.5</v>
      </c>
      <c r="C140" s="53">
        <v>1</v>
      </c>
      <c r="D140" s="63">
        <v>20.25</v>
      </c>
      <c r="E140" s="54">
        <v>0</v>
      </c>
      <c r="F140" s="54">
        <v>0</v>
      </c>
      <c r="G140" s="54">
        <v>0</v>
      </c>
      <c r="H140" s="54">
        <v>1</v>
      </c>
      <c r="I140" s="60">
        <f>IFERROR(B140/A140,"")</f>
        <v>8.1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>
      <c r="A141" s="53">
        <v>37</v>
      </c>
      <c r="B141" s="63">
        <v>279.45</v>
      </c>
      <c r="C141" s="53">
        <v>2</v>
      </c>
      <c r="D141" s="63">
        <v>27.95</v>
      </c>
      <c r="E141" s="54">
        <v>0</v>
      </c>
      <c r="F141" s="54">
        <v>0</v>
      </c>
      <c r="G141" s="54">
        <v>0</v>
      </c>
      <c r="H141" s="54">
        <v>1</v>
      </c>
      <c r="I141" s="60">
        <f t="shared" ref="I141:I159" si="5">IF(A141&lt;&gt;0,(B141-(B140-D140))/(A141-A140),"")</f>
        <v>8.1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>
      <c r="A142" s="53">
        <v>49</v>
      </c>
      <c r="B142" s="63">
        <v>348.71</v>
      </c>
      <c r="C142" s="53">
        <v>3</v>
      </c>
      <c r="D142" s="63">
        <v>34.869999999999997</v>
      </c>
      <c r="E142" s="54">
        <v>0.06</v>
      </c>
      <c r="F142" s="54">
        <v>0.09</v>
      </c>
      <c r="G142" s="54">
        <v>0</v>
      </c>
      <c r="H142" s="54">
        <v>0.86</v>
      </c>
      <c r="I142" s="60">
        <f t="shared" si="5"/>
        <v>8.1008333333333322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>
      <c r="A143" s="53">
        <v>61</v>
      </c>
      <c r="B143" s="63">
        <v>411.03</v>
      </c>
      <c r="C143" s="53">
        <v>4</v>
      </c>
      <c r="D143" s="63">
        <v>41.1</v>
      </c>
      <c r="E143" s="54">
        <v>0.09</v>
      </c>
      <c r="F143" s="54">
        <v>0.1</v>
      </c>
      <c r="G143" s="54">
        <v>0</v>
      </c>
      <c r="H143" s="54">
        <v>0.81</v>
      </c>
      <c r="I143" s="60">
        <f t="shared" si="5"/>
        <v>8.0991666666666671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>
      <c r="A144" s="53">
        <v>73</v>
      </c>
      <c r="B144" s="63">
        <v>467.13</v>
      </c>
      <c r="C144" s="53">
        <v>5</v>
      </c>
      <c r="D144" s="63">
        <v>46.71</v>
      </c>
      <c r="E144" s="54">
        <v>0.11</v>
      </c>
      <c r="F144" s="54">
        <v>0.11</v>
      </c>
      <c r="G144" s="54">
        <v>0</v>
      </c>
      <c r="H144" s="54">
        <v>0.77</v>
      </c>
      <c r="I144" s="60">
        <f t="shared" si="5"/>
        <v>8.1000000000000032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>
      <c r="A145" s="53">
        <v>80</v>
      </c>
      <c r="B145" s="63">
        <v>477.12</v>
      </c>
      <c r="C145" s="53">
        <v>6</v>
      </c>
      <c r="D145" s="63">
        <v>0</v>
      </c>
      <c r="E145" s="54">
        <v>0.12</v>
      </c>
      <c r="F145" s="54">
        <v>0.12</v>
      </c>
      <c r="G145" s="54">
        <v>0</v>
      </c>
      <c r="H145" s="54">
        <v>0.76</v>
      </c>
      <c r="I145" s="60">
        <f t="shared" si="5"/>
        <v>8.0999999999999979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>
      <c r="A162" s="49" t="s">
        <v>170</v>
      </c>
      <c r="B162" s="55" t="str">
        <f>IF(B14="","",B14)</f>
        <v>Cormier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>
      <c r="A166" s="53">
        <v>25</v>
      </c>
      <c r="B166" s="63">
        <v>202.5</v>
      </c>
      <c r="C166" s="53">
        <v>1</v>
      </c>
      <c r="D166" s="63">
        <v>20.25</v>
      </c>
      <c r="E166" s="54">
        <v>0</v>
      </c>
      <c r="F166" s="54">
        <v>0</v>
      </c>
      <c r="G166" s="54">
        <v>0</v>
      </c>
      <c r="H166" s="54">
        <v>1</v>
      </c>
      <c r="I166" s="52">
        <f>IFERROR(B166/A166,"")</f>
        <v>8.1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>
      <c r="A167" s="53">
        <v>37</v>
      </c>
      <c r="B167" s="63">
        <v>279.45</v>
      </c>
      <c r="C167" s="53">
        <v>2</v>
      </c>
      <c r="D167" s="63">
        <v>27.95</v>
      </c>
      <c r="E167" s="54">
        <v>0</v>
      </c>
      <c r="F167" s="54">
        <v>0</v>
      </c>
      <c r="G167" s="54">
        <v>0</v>
      </c>
      <c r="H167" s="54">
        <v>1</v>
      </c>
      <c r="I167" s="52">
        <f t="shared" ref="I167:I185" si="6">IF(A167&lt;&gt;0,(B167-(B166-D166))/(A167-A166),"")</f>
        <v>8.1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>
      <c r="A168" s="53">
        <v>49</v>
      </c>
      <c r="B168" s="63">
        <v>348.71</v>
      </c>
      <c r="C168" s="53">
        <v>3</v>
      </c>
      <c r="D168" s="63">
        <v>34.869999999999997</v>
      </c>
      <c r="E168" s="54">
        <v>0.06</v>
      </c>
      <c r="F168" s="54">
        <v>0.09</v>
      </c>
      <c r="G168" s="54">
        <v>0</v>
      </c>
      <c r="H168" s="54">
        <v>0.86</v>
      </c>
      <c r="I168" s="52">
        <f t="shared" si="6"/>
        <v>8.1008333333333322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>
      <c r="A169" s="53">
        <v>61</v>
      </c>
      <c r="B169" s="63">
        <v>411.03</v>
      </c>
      <c r="C169" s="53">
        <v>4</v>
      </c>
      <c r="D169" s="63">
        <v>41.1</v>
      </c>
      <c r="E169" s="54">
        <v>0.09</v>
      </c>
      <c r="F169" s="54">
        <v>0.1</v>
      </c>
      <c r="G169" s="54">
        <v>0</v>
      </c>
      <c r="H169" s="54">
        <v>0.81</v>
      </c>
      <c r="I169" s="52">
        <f t="shared" si="6"/>
        <v>8.0991666666666671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>
      <c r="A170" s="53">
        <v>73</v>
      </c>
      <c r="B170" s="63">
        <v>467.13</v>
      </c>
      <c r="C170" s="53">
        <v>5</v>
      </c>
      <c r="D170" s="63">
        <v>46.71</v>
      </c>
      <c r="E170" s="54">
        <v>0.11</v>
      </c>
      <c r="F170" s="54">
        <v>0.11</v>
      </c>
      <c r="G170" s="54">
        <v>0</v>
      </c>
      <c r="H170" s="54">
        <v>0.77</v>
      </c>
      <c r="I170" s="52">
        <f t="shared" si="6"/>
        <v>8.1000000000000032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>
      <c r="A171" s="53">
        <v>80</v>
      </c>
      <c r="B171" s="63">
        <v>477.12</v>
      </c>
      <c r="C171" s="53">
        <v>6</v>
      </c>
      <c r="D171" s="63">
        <v>0</v>
      </c>
      <c r="E171" s="54">
        <v>0.12</v>
      </c>
      <c r="F171" s="54">
        <v>0.12</v>
      </c>
      <c r="G171" s="54">
        <v>0</v>
      </c>
      <c r="H171" s="54">
        <v>0.76</v>
      </c>
      <c r="I171" s="52">
        <f t="shared" si="6"/>
        <v>8.0999999999999979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D1" zoomScaleNormal="100" workbookViewId="0">
      <selection activeCell="G15" sqref="G15"/>
    </sheetView>
  </sheetViews>
  <sheetFormatPr baseColWidth="10" defaultColWidth="11.5" defaultRowHeight="15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>
      <c r="C104" s="5"/>
      <c r="F104" s="5"/>
    </row>
    <row r="105" spans="3:35">
      <c r="C105" s="5"/>
      <c r="F105" s="5"/>
    </row>
    <row r="106" spans="3:35">
      <c r="C106" s="5"/>
      <c r="F106" s="5"/>
    </row>
    <row r="107" spans="3:35">
      <c r="C107" s="5"/>
      <c r="F107" s="5"/>
    </row>
    <row r="108" spans="3:35">
      <c r="C108" s="5"/>
      <c r="F108" s="5"/>
    </row>
    <row r="109" spans="3:35">
      <c r="C109" s="5"/>
      <c r="F109" s="5"/>
    </row>
    <row r="110" spans="3:35">
      <c r="C110" s="5"/>
      <c r="F110" s="5"/>
    </row>
    <row r="111" spans="3:35">
      <c r="C111" s="5"/>
      <c r="F111" s="5"/>
    </row>
    <row r="112" spans="3:35">
      <c r="C112" s="5"/>
      <c r="F112" s="5"/>
    </row>
    <row r="113" spans="3:6">
      <c r="C113" s="5"/>
      <c r="F113" s="5"/>
    </row>
    <row r="114" spans="3:6">
      <c r="C114" s="5"/>
      <c r="F114" s="5"/>
    </row>
    <row r="115" spans="3:6">
      <c r="C115" s="5"/>
      <c r="F115" s="5"/>
    </row>
    <row r="116" spans="3:6">
      <c r="C116" s="5"/>
      <c r="F116" s="5"/>
    </row>
    <row r="117" spans="3:6">
      <c r="C117" s="5"/>
      <c r="F117" s="5"/>
    </row>
    <row r="118" spans="3:6">
      <c r="C118" s="5"/>
      <c r="F118" s="5"/>
    </row>
    <row r="119" spans="3:6">
      <c r="C119" s="5"/>
      <c r="F119" s="5"/>
    </row>
    <row r="120" spans="3:6">
      <c r="C120" s="5"/>
      <c r="F120" s="5"/>
    </row>
    <row r="121" spans="3:6">
      <c r="C121" s="5"/>
      <c r="F121" s="5"/>
    </row>
    <row r="122" spans="3:6">
      <c r="C122" s="5"/>
      <c r="F122" s="5"/>
    </row>
    <row r="123" spans="3:6">
      <c r="C123" s="5"/>
      <c r="F123" s="5"/>
    </row>
    <row r="124" spans="3:6">
      <c r="C124" s="5"/>
      <c r="F124" s="5"/>
    </row>
    <row r="125" spans="3:6">
      <c r="C125" s="5"/>
      <c r="F125" s="5"/>
    </row>
    <row r="126" spans="3:6">
      <c r="C126" s="5"/>
      <c r="F126" s="5"/>
    </row>
    <row r="127" spans="3:6">
      <c r="C127" s="5"/>
      <c r="F127" s="5"/>
    </row>
    <row r="128" spans="3:6">
      <c r="C128" s="5"/>
      <c r="F128" s="5"/>
    </row>
    <row r="129" spans="3:6">
      <c r="C129" s="5"/>
      <c r="F129" s="5"/>
    </row>
    <row r="130" spans="3:6">
      <c r="C130" s="5"/>
      <c r="F130" s="5"/>
    </row>
    <row r="131" spans="3:6">
      <c r="C131" s="5"/>
      <c r="F131" s="5"/>
    </row>
    <row r="132" spans="3:6">
      <c r="F132" s="5"/>
    </row>
    <row r="133" spans="3:6">
      <c r="F133" s="5"/>
    </row>
    <row r="134" spans="3:6">
      <c r="F134" s="5"/>
    </row>
    <row r="135" spans="3:6">
      <c r="F135" s="5"/>
    </row>
    <row r="136" spans="3:6">
      <c r="F136" s="5"/>
    </row>
    <row r="137" spans="3:6">
      <c r="F137" s="5"/>
    </row>
    <row r="138" spans="3:6">
      <c r="F138" s="5"/>
    </row>
    <row r="139" spans="3:6">
      <c r="F139" s="5"/>
    </row>
    <row r="140" spans="3:6">
      <c r="F140" s="5"/>
    </row>
    <row r="141" spans="3:6">
      <c r="F141" s="5"/>
    </row>
    <row r="142" spans="3:6">
      <c r="F142" s="5"/>
    </row>
    <row r="143" spans="3:6">
      <c r="F143" s="5"/>
    </row>
    <row r="144" spans="3:6">
      <c r="F144" s="5"/>
    </row>
    <row r="145" spans="6:6">
      <c r="F145" s="5"/>
    </row>
    <row r="146" spans="6:6">
      <c r="F146" s="5"/>
    </row>
    <row r="147" spans="6:6">
      <c r="F147" s="5"/>
    </row>
    <row r="148" spans="6:6">
      <c r="F148" s="5"/>
    </row>
    <row r="149" spans="6:6">
      <c r="F149" s="5"/>
    </row>
    <row r="150" spans="6:6">
      <c r="F150" s="5"/>
    </row>
    <row r="151" spans="6:6">
      <c r="F151" s="5"/>
    </row>
    <row r="152" spans="6:6">
      <c r="F152" s="5"/>
    </row>
    <row r="153" spans="6:6">
      <c r="F153" s="5"/>
    </row>
    <row r="154" spans="6:6">
      <c r="F154" s="5"/>
    </row>
    <row r="155" spans="6:6">
      <c r="F155" s="5"/>
    </row>
    <row r="156" spans="6:6">
      <c r="F156" s="5"/>
    </row>
    <row r="157" spans="6:6">
      <c r="F157" s="5"/>
    </row>
    <row r="158" spans="6:6">
      <c r="F158" s="5"/>
    </row>
    <row r="159" spans="6:6">
      <c r="F159" s="5"/>
    </row>
    <row r="160" spans="6:6">
      <c r="F160" s="5"/>
    </row>
    <row r="161" spans="6:6">
      <c r="F161" s="5"/>
    </row>
    <row r="162" spans="6:6">
      <c r="F162" s="5"/>
    </row>
    <row r="163" spans="6:6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pubescent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noir d'Autriche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Cèdre de l'Atlas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Alisier torminal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Cormier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65" thickBot="1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299.17641394512162</v>
      </c>
      <c r="T3" s="62">
        <f>IF('Données projet'!E9&gt;30,$R$33-$H$33,LOOKUP('Données projet'!$E$9,$A$3:$A$203,R3:R203)-LOOKUP('Données projet'!$E$9,$A$3:$A$203,$H$3:$H$203))</f>
        <v>180.73046320039873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384.66322295929552</v>
      </c>
      <c r="AO3" s="62">
        <f>IF('Données projet'!E10&gt;30,$AM$33-$H$33,LOOKUP('Données projet'!$E$10,$A$3:$A$203,AM3:AM203)-LOOKUP('Données projet'!$E$10,$A$3:$A$203,$H$3:$H$203))</f>
        <v>248.53970183513286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146.25807703055079</v>
      </c>
      <c r="BJ3" s="62">
        <f>IF('Données projet'!E11&gt;30,$BH$33-$H$33,LOOKUP('Données projet'!$E$11,$A$3:$A$203,BH3:BH203)-LOOKUP('Données projet'!$E$11,$A$3:$A$203,$H$3:$H$203))</f>
        <v>177.40137940534413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287.12723448949828</v>
      </c>
      <c r="CE3" s="62">
        <f>IF('Données projet'!E12&gt;30,$CC$33-$H$33,LOOKUP('Données projet'!$E$12,$A$3:$A$203,CC3:CC203)-LOOKUP('Données projet'!$E$12,$A$3:$A$203,$H$3:$H$203))</f>
        <v>170.5203352323382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467.37715054082025</v>
      </c>
      <c r="CZ3" s="62">
        <f>IF('Données projet'!E13&gt;30,$CX$33-$H$33,LOOKUP('Données projet'!$E$13,$A$3:$A$203,CX3:CX203)-LOOKUP('Données projet'!$E$13,$A$3:$A$203,$H$3:$H$203))</f>
        <v>443.35096563136415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524.51242549438939</v>
      </c>
      <c r="DU3" s="62">
        <f>IF('Données projet'!E14&gt;30,$DS$33-$H$33,LOOKUP('Données projet'!$E$14,$A$3:$A$203,DS3:DS203)-LOOKUP('Données projet'!$E$14,$A$3:$A$203,$H$3:$H$203))</f>
        <v>494.88778446576327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258.93888080135036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3.4</v>
      </c>
      <c r="N4" s="14">
        <f>IF('Données projet'!$A$36&gt;35,N3+M4-V3,IF(A4&lt;'Données projet'!$A$36,$K$205^A4,IF(A4='Données projet'!$A$36,'Données projet'!$B$36,N3+M4-V3)))</f>
        <v>1.1944741542570652</v>
      </c>
      <c r="O4" s="14">
        <f>N4*VLOOKUP('Données projet'!$B$9,Paramètres!$A$1:$I$89,3,0)*VLOOKUP('Données projet'!$B$9,Paramètres!$A$1:$I$89,5,0)</f>
        <v>1.0807602147717925</v>
      </c>
      <c r="P4" s="14">
        <f>EXP(-1.0587+0.8836*LN(O4)+0.284)</f>
        <v>0.4935774587142468</v>
      </c>
      <c r="Q4" s="22">
        <f t="shared" ref="Q4:Q34" si="2">(O4+P4)*0.475*44/12</f>
        <v>2.7419714479881852</v>
      </c>
      <c r="R4" s="62">
        <f t="shared" si="0"/>
        <v>260.63086033687705</v>
      </c>
      <c r="S4" s="62">
        <f ca="1">AVERAGE(OFFSET($R$3,0,0,'Données projet'!$E$9+1,1))-AVERAGE(OFFSET($H$3,0,0,'Données projet'!$E$9+1,1))</f>
        <v>299.17641394512162</v>
      </c>
      <c r="T4" s="62">
        <f>$T$3</f>
        <v>180.73046320039873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4.45</v>
      </c>
      <c r="AI4" s="14">
        <f>IF('Données projet'!$A$62&gt;35,AI3+AH4-AQ3,IF(A4&lt;'Données projet'!$A$62,$AF$205^A4,IF(A4='Données projet'!$A$62,'Données projet'!$B$62,AI3+AH4-AQ3)))</f>
        <v>1.2074023054862157</v>
      </c>
      <c r="AJ4" s="14">
        <f>AI4*VLOOKUP('Données projet'!$B$10,Paramètres!$A$1:$I$89,3,0)*VLOOKUP('Données projet'!$B$10,Paramètres!$A$1:$I$89,5,0)</f>
        <v>1.2243059377630228</v>
      </c>
      <c r="AK4" s="14">
        <f>EXP(-1.0587+0.8836*LN(AJ4)+0.284)</f>
        <v>0.55107616799176018</v>
      </c>
      <c r="AL4" s="22">
        <f t="shared" ref="AL4:AL67" si="4">(AJ4+AK4)*0.475*44/12</f>
        <v>3.09212383418958</v>
      </c>
      <c r="AM4" s="62">
        <f t="shared" ref="AM4:AM67" si="5">AL4+(AD4+AE4)*44/12</f>
        <v>260.98101272307844</v>
      </c>
      <c r="AN4" s="62">
        <f ca="1">AVERAGE(OFFSET($AM$3,0,0,'Données projet'!$E$10+1,1))-AVERAGE(OFFSET($H$3,0,0,'Données projet'!$E$10+1,1))</f>
        <v>384.66322295929552</v>
      </c>
      <c r="AO4" s="62">
        <f>$AO$3</f>
        <v>248.53970183513286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3.48</v>
      </c>
      <c r="BD4" s="13">
        <f>IF('Données projet'!$A$88&gt;35,BD3+BC4-BL3,IF(A4&lt;'Données projet'!$A$88,$BA$205^A4,IF(A4='Données projet'!$A$88,'Données projet'!$B$88,BD3+BC4-BL3)))</f>
        <v>1.1955858601032578</v>
      </c>
      <c r="BE4" s="14">
        <f>BD4*VLOOKUP('Données projet'!$B$11,Paramètres!$A$1:$I$89,3,0)*VLOOKUP('Données projet'!$B$11,Paramètres!$A$1:$I$89,5,0)</f>
        <v>0.71496034434174827</v>
      </c>
      <c r="BF4" s="14">
        <f>EXP(-1.0587+0.8836*LN(BE4)+0.284)</f>
        <v>0.34260650100631362</v>
      </c>
      <c r="BG4" s="22">
        <f t="shared" ref="BG4:BG67" si="7">(BE4+BF4)*0.475*44/12</f>
        <v>1.8419289223145412</v>
      </c>
      <c r="BH4" s="62">
        <f t="shared" ref="BH4:BH67" si="8">BG4+(AY4+AZ4)*44/12</f>
        <v>259.73081781120339</v>
      </c>
      <c r="BI4" s="62">
        <f ca="1">AVERAGE(OFFSET($BH$3,0,0,'Données projet'!$E$11+1,1))-AVERAGE(OFFSET($H$3,0,0,'Données projet'!$E$11+1,1))</f>
        <v>146.25807703055079</v>
      </c>
      <c r="BJ4" s="62">
        <f>$BJ$3</f>
        <v>177.40137940534413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4.7759999999999998</v>
      </c>
      <c r="BY4" s="13">
        <f>IF('Données projet'!$A$114&gt;35,BY3+BX4-CG3,IF(A4&lt;'Données projet'!$A$114,$BV$205^A4,IF(A4='Données projet'!$A$114,'Données projet'!$B$114,BY3+BX4-CG3)))</f>
        <v>1.2108216370354488</v>
      </c>
      <c r="BZ4" s="14">
        <f>BY4*VLOOKUP('Données projet'!$B$12,Paramètres!$A$1:$I$89,3,0)*VLOOKUP('Données projet'!$B$12,Paramètres!$A$1:$I$89,5,0)</f>
        <v>0.56666452613259</v>
      </c>
      <c r="CA4" s="14">
        <f>EXP(-1.0587+0.8836*LN(BZ4)+0.284)</f>
        <v>0.2789914805312993</v>
      </c>
      <c r="CB4" s="22">
        <f t="shared" ref="CB4:CB67" si="10">(BZ4+CA4)*0.475*44/12</f>
        <v>1.4728508782729406</v>
      </c>
      <c r="CC4" s="62">
        <f t="shared" ref="CC4:CC67" si="11">CB4+(BT4+BU4)*44/12</f>
        <v>259.36173976716179</v>
      </c>
      <c r="CD4" s="62">
        <f ca="1">AVERAGE(OFFSET($CC$3,0,0,'Données projet'!$E$12+1,1))-AVERAGE(OFFSET($H$3,0,0,'Données projet'!$E$12+1,1))</f>
        <v>287.12723448949828</v>
      </c>
      <c r="CE4" s="62">
        <f>$CE$3</f>
        <v>170.5203352323382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8.1</v>
      </c>
      <c r="CT4" s="13">
        <f>IF('Données projet'!$A$140&gt;35,CT3+CS4-DB3,IF(A4&lt;'Données projet'!$A$140,$CQ$205^A4,IF(A4='Données projet'!$A$140,'Données projet'!$B$140,CT3+CS4-DB3)))</f>
        <v>1.2366790426834051</v>
      </c>
      <c r="CU4" s="18">
        <f>CT4*VLOOKUP('Données projet'!$B$13,Paramètres!$A$1:$I$89,3,0)*VLOOKUP('Données projet'!$B$13,Paramètres!$A$1:$I$89,5,0)</f>
        <v>1.1961159700833894</v>
      </c>
      <c r="CV4" s="14">
        <f>EXP(-1.0587+0.8836*LN(CU4)+0.284)</f>
        <v>0.53984930051274271</v>
      </c>
      <c r="CW4" s="22">
        <f t="shared" ref="CW4:CW67" si="13">(CU4+CV4)*0.475*44/12</f>
        <v>3.0234728462882638</v>
      </c>
      <c r="CX4" s="62">
        <f t="shared" ref="CX4:CX67" si="14">CW4+(CO4+CP4)*44/12</f>
        <v>260.91236173517711</v>
      </c>
      <c r="CY4" s="62">
        <f ca="1">AVERAGE(OFFSET($CX$3,0,0,'Données projet'!$E$13+1,1))-AVERAGE(OFFSET($H$3,0,0,'Données projet'!$E$13+1,1))</f>
        <v>467.37715054082025</v>
      </c>
      <c r="CZ4" s="62">
        <f>$CZ$3</f>
        <v>443.35096563136415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8.1</v>
      </c>
      <c r="DO4" s="13">
        <f>IF('Données projet'!$A$166&gt;35,DO3+DN4-DW3,IF(A4&lt;'Données projet'!$A$166,$DL$205^A4,IF(A4='Données projet'!$A$166,'Données projet'!$B$166,DO3+DN4-DW3)))</f>
        <v>1.2366790426834051</v>
      </c>
      <c r="DP4" s="18">
        <f>DO4*VLOOKUP('Données projet'!$B$14,Paramètres!$A$1:$I$89,3,0)*VLOOKUP('Données projet'!$B$14,Paramètres!$A$1:$I$89,5,0)</f>
        <v>1.3311613215444174</v>
      </c>
      <c r="DQ4" s="14">
        <f>EXP(-1.0587+0.8836*LN(DP4)+0.284)</f>
        <v>0.59336551524370507</v>
      </c>
      <c r="DR4" s="22">
        <f t="shared" ref="DR4:DR67" si="16">(DP4+DQ4)*0.475*44/12</f>
        <v>3.351884240739313</v>
      </c>
      <c r="DS4" s="62">
        <f t="shared" ref="DS4:DS67" si="17">DR4+(DJ4+DK4)*44/12</f>
        <v>261.24077312962817</v>
      </c>
      <c r="DT4" s="62">
        <f ca="1">AVERAGE(OFFSET($DS$3,0,0,'Données projet'!$E$14+1,1))-AVERAGE(OFFSET($H$3,0,0,'Données projet'!$E$14+1,1))</f>
        <v>524.51242549438939</v>
      </c>
      <c r="DU4" s="62">
        <f>$DU$3</f>
        <v>494.88778446576327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261.0989294343297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3.4</v>
      </c>
      <c r="N5" s="14">
        <f>IF('Données projet'!$A$36&gt;35,N4+M5-V4,IF(A5&lt;'Données projet'!$A$36,$K$205^A5,IF(A5='Données projet'!$A$36,'Données projet'!$B$36,N4+M5-V4)))</f>
        <v>1.4267685051881311</v>
      </c>
      <c r="O5" s="14">
        <f>N5*VLOOKUP('Données projet'!$B$9,Paramètres!$A$1:$I$89,3,0)*VLOOKUP('Données projet'!$B$9,Paramètres!$A$1:$I$89,5,0)</f>
        <v>1.2909401434942211</v>
      </c>
      <c r="P5" s="14">
        <f t="shared" ref="P5:P68" si="33">EXP(-1.0587+0.8836*LN(O5)+0.284)</f>
        <v>0.57749562721619729</v>
      </c>
      <c r="Q5" s="22">
        <f t="shared" si="2"/>
        <v>3.2541923006539784</v>
      </c>
      <c r="R5" s="62">
        <f t="shared" si="0"/>
        <v>262.36530341176513</v>
      </c>
      <c r="S5" s="62">
        <f ca="1">AVERAGE(OFFSET($R$3,0,0,'Données projet'!$E$9+1,1))-AVERAGE(OFFSET($H$3,0,0,'Données projet'!$E$9+1,1))</f>
        <v>299.17641394512162</v>
      </c>
      <c r="T5" s="62">
        <f t="shared" ref="T5:T68" si="34">$T$3</f>
        <v>180.73046320039873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4.45</v>
      </c>
      <c r="AI5" s="14">
        <f>IF('Données projet'!$A$62&gt;35,AI4+AH5-AQ4,IF(A5&lt;'Données projet'!$A$62,$AF$205^A5,IF(A5='Données projet'!$A$62,'Données projet'!$B$62,AI4+AH5-AQ4)))</f>
        <v>1.4578203272934291</v>
      </c>
      <c r="AJ5" s="14">
        <f>AI5*VLOOKUP('Données projet'!$B$10,Paramètres!$A$1:$I$89,3,0)*VLOOKUP('Données projet'!$B$10,Paramètres!$A$1:$I$89,5,0)</f>
        <v>1.4782298118755373</v>
      </c>
      <c r="AK5" s="14">
        <f t="shared" ref="AK5:AK68" si="35">EXP(-1.0587+0.8836*LN(AJ5)+0.284)</f>
        <v>0.65093265287254964</v>
      </c>
      <c r="AL5" s="22">
        <f t="shared" si="4"/>
        <v>3.7082912927695841</v>
      </c>
      <c r="AM5" s="62">
        <f t="shared" si="5"/>
        <v>262.8194024038807</v>
      </c>
      <c r="AN5" s="62">
        <f ca="1">AVERAGE(OFFSET($AM$3,0,0,'Données projet'!$E$10+1,1))-AVERAGE(OFFSET($H$3,0,0,'Données projet'!$E$10+1,1))</f>
        <v>384.66322295929552</v>
      </c>
      <c r="AO5" s="62">
        <f t="shared" ref="AO5:AO68" si="36">$AO$3</f>
        <v>248.53970183513286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3.48</v>
      </c>
      <c r="BD5" s="13">
        <f>IF('Données projet'!$A$88&gt;35,BD4+BC5-BL4,IF(A5&lt;'Données projet'!$A$88,$BA$205^A5,IF(A5='Données projet'!$A$88,'Données projet'!$B$88,BD4+BC5-BL4)))</f>
        <v>1.4294255488788468</v>
      </c>
      <c r="BE5" s="14">
        <f>BD5*VLOOKUP('Données projet'!$B$11,Paramètres!$A$1:$I$89,3,0)*VLOOKUP('Données projet'!$B$11,Paramètres!$A$1:$I$89,5,0)</f>
        <v>0.8547964782295504</v>
      </c>
      <c r="BF5" s="14">
        <f t="shared" ref="BF5:BF68" si="37">EXP(-1.0587+0.8836*LN(BE5)+0.284)</f>
        <v>0.40118618357909969</v>
      </c>
      <c r="BG5" s="22">
        <f t="shared" si="7"/>
        <v>2.1875031359833987</v>
      </c>
      <c r="BH5" s="62">
        <f t="shared" si="8"/>
        <v>261.29861424709452</v>
      </c>
      <c r="BI5" s="62">
        <f ca="1">AVERAGE(OFFSET($BH$3,0,0,'Données projet'!$E$11+1,1))-AVERAGE(OFFSET($H$3,0,0,'Données projet'!$E$11+1,1))</f>
        <v>146.25807703055079</v>
      </c>
      <c r="BJ5" s="62">
        <f t="shared" ref="BJ5:BJ68" si="38">$BJ$3</f>
        <v>177.40137940534413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4.7759999999999998</v>
      </c>
      <c r="BY5" s="13">
        <f>IF('Données projet'!$A$114&gt;35,BY4+BX5-CG4,IF(A5&lt;'Données projet'!$A$114,$BV$205^A5,IF(A5='Données projet'!$A$114,'Données projet'!$B$114,BY4+BX5-CG4)))</f>
        <v>1.466089036713204</v>
      </c>
      <c r="BZ5" s="14">
        <f>BY5*VLOOKUP('Données projet'!$B$12,Paramètres!$A$1:$I$89,3,0)*VLOOKUP('Données projet'!$B$12,Paramètres!$A$1:$I$89,5,0)</f>
        <v>0.68612966918177942</v>
      </c>
      <c r="CA5" s="14">
        <f t="shared" ref="CA5:CA68" si="39">EXP(-1.0587+0.8836*LN(BZ5)+0.284)</f>
        <v>0.3303699841458228</v>
      </c>
      <c r="CB5" s="22">
        <f t="shared" si="10"/>
        <v>1.7704035628789072</v>
      </c>
      <c r="CC5" s="62">
        <f t="shared" si="11"/>
        <v>260.88151467399007</v>
      </c>
      <c r="CD5" s="62">
        <f ca="1">AVERAGE(OFFSET($CC$3,0,0,'Données projet'!$E$12+1,1))-AVERAGE(OFFSET($H$3,0,0,'Données projet'!$E$12+1,1))</f>
        <v>287.12723448949828</v>
      </c>
      <c r="CE5" s="62">
        <f t="shared" ref="CE5:CE68" si="40">$CE$3</f>
        <v>170.5203352323382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8.1</v>
      </c>
      <c r="CT5" s="13">
        <f>IF('Données projet'!$A$140&gt;35,CT4+CS5-DB4,IF(A5&lt;'Données projet'!$A$140,$CQ$205^A5,IF(A5='Données projet'!$A$140,'Données projet'!$B$140,CT4+CS5-DB4)))</f>
        <v>1.5293750546123432</v>
      </c>
      <c r="CU5" s="18">
        <f>CT5*VLOOKUP('Données projet'!$B$13,Paramètres!$A$1:$I$89,3,0)*VLOOKUP('Données projet'!$B$13,Paramètres!$A$1:$I$89,5,0)</f>
        <v>1.4792115528210583</v>
      </c>
      <c r="CV5" s="14">
        <f t="shared" ref="CV5:CV68" si="41">EXP(-1.0587+0.8836*LN(CU5)+0.284)</f>
        <v>0.65131462346658187</v>
      </c>
      <c r="CW5" s="22">
        <f t="shared" si="13"/>
        <v>3.7106664237009728</v>
      </c>
      <c r="CX5" s="62">
        <f t="shared" si="14"/>
        <v>262.8217775348121</v>
      </c>
      <c r="CY5" s="62">
        <f ca="1">AVERAGE(OFFSET($CX$3,0,0,'Données projet'!$E$13+1,1))-AVERAGE(OFFSET($H$3,0,0,'Données projet'!$E$13+1,1))</f>
        <v>467.37715054082025</v>
      </c>
      <c r="CZ5" s="62">
        <f t="shared" ref="CZ5:CZ68" si="42">$CZ$3</f>
        <v>443.35096563136415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8.1</v>
      </c>
      <c r="DO5" s="13">
        <f>IF('Données projet'!$A$166&gt;35,DO4+DN5-DW4,IF(A5&lt;'Données projet'!$A$166,$DL$205^A5,IF(A5='Données projet'!$A$166,'Données projet'!$B$166,DO4+DN5-DW4)))</f>
        <v>1.5293750546123432</v>
      </c>
      <c r="DP5" s="18">
        <f>DO5*VLOOKUP('Données projet'!$B$14,Paramètres!$A$1:$I$89,3,0)*VLOOKUP('Données projet'!$B$14,Paramètres!$A$1:$I$89,5,0)</f>
        <v>1.6462193087847263</v>
      </c>
      <c r="DQ5" s="14">
        <f t="shared" ref="DQ5:DQ68" si="43">EXP(-1.0587+0.8836*LN(DP5)+0.284)</f>
        <v>0.71588059255044989</v>
      </c>
      <c r="DR5" s="22">
        <f t="shared" si="16"/>
        <v>4.1139906614920978</v>
      </c>
      <c r="DS5" s="62">
        <f t="shared" si="17"/>
        <v>263.22510177260324</v>
      </c>
      <c r="DT5" s="62">
        <f ca="1">AVERAGE(OFFSET($DS$3,0,0,'Données projet'!$E$14+1,1))-AVERAGE(OFFSET($H$3,0,0,'Données projet'!$E$14+1,1))</f>
        <v>524.51242549438939</v>
      </c>
      <c r="DU5" s="62">
        <f t="shared" ref="DU5:DU68" si="44">$DU$3</f>
        <v>494.88778446576327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263.22275424061456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3.4</v>
      </c>
      <c r="N6" s="14">
        <f>IF('Données projet'!$A$36&gt;35,N5+M6-V5,IF(A6&lt;'Données projet'!$A$36,$K$205^A6,IF(A6='Données projet'!$A$36,'Données projet'!$B$36,N5+M6-V5)))</f>
        <v>1.7042381035552101</v>
      </c>
      <c r="O6" s="14">
        <f>N6*VLOOKUP('Données projet'!$B$9,Paramètres!$A$1:$I$89,3,0)*VLOOKUP('Données projet'!$B$9,Paramètres!$A$1:$I$89,5,0)</f>
        <v>1.541994636096754</v>
      </c>
      <c r="P6" s="14">
        <f t="shared" si="33"/>
        <v>0.67568158465459238</v>
      </c>
      <c r="Q6" s="22">
        <f t="shared" si="2"/>
        <v>3.862452751141928</v>
      </c>
      <c r="R6" s="62">
        <f t="shared" si="0"/>
        <v>264.19578608447523</v>
      </c>
      <c r="S6" s="62">
        <f ca="1">AVERAGE(OFFSET($R$3,0,0,'Données projet'!$E$9+1,1))-AVERAGE(OFFSET($H$3,0,0,'Données projet'!$E$9+1,1))</f>
        <v>299.17641394512162</v>
      </c>
      <c r="T6" s="62">
        <f t="shared" si="34"/>
        <v>180.73046320039873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4.45</v>
      </c>
      <c r="AI6" s="14">
        <f>IF('Données projet'!$A$62&gt;35,AI5+AH6-AQ5,IF(A6&lt;'Données projet'!$A$62,$AF$205^A6,IF(A6='Données projet'!$A$62,'Données projet'!$B$62,AI5+AH6-AQ5)))</f>
        <v>1.7601756241587561</v>
      </c>
      <c r="AJ6" s="14">
        <f>AI6*VLOOKUP('Données projet'!$B$10,Paramètres!$A$1:$I$89,3,0)*VLOOKUP('Données projet'!$B$10,Paramètres!$A$1:$I$89,5,0)</f>
        <v>1.7848180828969789</v>
      </c>
      <c r="AK6" s="14">
        <f t="shared" si="35"/>
        <v>0.76888340158094215</v>
      </c>
      <c r="AL6" s="22">
        <f t="shared" si="4"/>
        <v>4.4476967521323791</v>
      </c>
      <c r="AM6" s="62">
        <f t="shared" si="5"/>
        <v>264.78103008546572</v>
      </c>
      <c r="AN6" s="62">
        <f ca="1">AVERAGE(OFFSET($AM$3,0,0,'Données projet'!$E$10+1,1))-AVERAGE(OFFSET($H$3,0,0,'Données projet'!$E$10+1,1))</f>
        <v>384.66322295929552</v>
      </c>
      <c r="AO6" s="62">
        <f t="shared" si="36"/>
        <v>248.53970183513286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3.48</v>
      </c>
      <c r="BD6" s="13">
        <f>IF('Données projet'!$A$88&gt;35,BD5+BC6-BL5,IF(A6&lt;'Données projet'!$A$88,$BA$205^A6,IF(A6='Données projet'!$A$88,'Données projet'!$B$88,BD5+BC6-BL5)))</f>
        <v>1.7090009743098875</v>
      </c>
      <c r="BE6" s="14">
        <f>BD6*VLOOKUP('Données projet'!$B$11,Paramètres!$A$1:$I$89,3,0)*VLOOKUP('Données projet'!$B$11,Paramètres!$A$1:$I$89,5,0)</f>
        <v>1.0219825826373128</v>
      </c>
      <c r="BF6" s="14">
        <f t="shared" si="37"/>
        <v>0.46978196100195163</v>
      </c>
      <c r="BG6" s="22">
        <f t="shared" si="7"/>
        <v>2.5981565801717186</v>
      </c>
      <c r="BH6" s="62">
        <f t="shared" si="8"/>
        <v>262.93148991350506</v>
      </c>
      <c r="BI6" s="62">
        <f ca="1">AVERAGE(OFFSET($BH$3,0,0,'Données projet'!$E$11+1,1))-AVERAGE(OFFSET($H$3,0,0,'Données projet'!$E$11+1,1))</f>
        <v>146.25807703055079</v>
      </c>
      <c r="BJ6" s="62">
        <f t="shared" si="38"/>
        <v>177.40137940534413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4.7759999999999998</v>
      </c>
      <c r="BY6" s="13">
        <f>IF('Données projet'!$A$114&gt;35,BY5+BX6-CG5,IF(A6&lt;'Données projet'!$A$114,$BV$205^A6,IF(A6='Données projet'!$A$114,'Données projet'!$B$114,BY5+BX6-CG5)))</f>
        <v>1.7751723274728057</v>
      </c>
      <c r="BZ6" s="14">
        <f>BY6*VLOOKUP('Données projet'!$B$12,Paramètres!$A$1:$I$89,3,0)*VLOOKUP('Données projet'!$B$12,Paramètres!$A$1:$I$89,5,0)</f>
        <v>0.83078064925727302</v>
      </c>
      <c r="CA6" s="14">
        <f t="shared" si="39"/>
        <v>0.39121024848737845</v>
      </c>
      <c r="CB6" s="22">
        <f t="shared" si="10"/>
        <v>2.1283008135719341</v>
      </c>
      <c r="CC6" s="62">
        <f t="shared" si="11"/>
        <v>262.46163414690523</v>
      </c>
      <c r="CD6" s="62">
        <f ca="1">AVERAGE(OFFSET($CC$3,0,0,'Données projet'!$E$12+1,1))-AVERAGE(OFFSET($H$3,0,0,'Données projet'!$E$12+1,1))</f>
        <v>287.12723448949828</v>
      </c>
      <c r="CE6" s="62">
        <f t="shared" si="40"/>
        <v>170.5203352323382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8.1</v>
      </c>
      <c r="CT6" s="13">
        <f>IF('Données projet'!$A$140&gt;35,CT5+CS6-DB5,IF(A6&lt;'Données projet'!$A$140,$CQ$205^A6,IF(A6='Données projet'!$A$140,'Données projet'!$B$140,CT5+CS6-DB5)))</f>
        <v>1.891346078441873</v>
      </c>
      <c r="CU6" s="18">
        <f>CT6*VLOOKUP('Données projet'!$B$13,Paramètres!$A$1:$I$89,3,0)*VLOOKUP('Données projet'!$B$13,Paramètres!$A$1:$I$89,5,0)</f>
        <v>1.8293099270689794</v>
      </c>
      <c r="CV6" s="14">
        <f t="shared" si="41"/>
        <v>0.78579473630604846</v>
      </c>
      <c r="CW6" s="22">
        <f t="shared" si="13"/>
        <v>4.5546406220448397</v>
      </c>
      <c r="CX6" s="62">
        <f t="shared" si="14"/>
        <v>264.88797395537813</v>
      </c>
      <c r="CY6" s="62">
        <f ca="1">AVERAGE(OFFSET($CX$3,0,0,'Données projet'!$E$13+1,1))-AVERAGE(OFFSET($H$3,0,0,'Données projet'!$E$13+1,1))</f>
        <v>467.37715054082025</v>
      </c>
      <c r="CZ6" s="62">
        <f t="shared" si="42"/>
        <v>443.35096563136415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8.1</v>
      </c>
      <c r="DO6" s="13">
        <f>IF('Données projet'!$A$166&gt;35,DO5+DN6-DW5,IF(A6&lt;'Données projet'!$A$166,$DL$205^A6,IF(A6='Données projet'!$A$166,'Données projet'!$B$166,DO5+DN6-DW5)))</f>
        <v>1.891346078441873</v>
      </c>
      <c r="DP6" s="18">
        <f>DO6*VLOOKUP('Données projet'!$B$14,Paramètres!$A$1:$I$89,3,0)*VLOOKUP('Données projet'!$B$14,Paramètres!$A$1:$I$89,5,0)</f>
        <v>2.0358449188348318</v>
      </c>
      <c r="DQ6" s="14">
        <f t="shared" si="43"/>
        <v>0.86369195651671316</v>
      </c>
      <c r="DR6" s="22">
        <f t="shared" si="16"/>
        <v>5.050026724570607</v>
      </c>
      <c r="DS6" s="62">
        <f t="shared" si="17"/>
        <v>265.38336005790393</v>
      </c>
      <c r="DT6" s="62">
        <f ca="1">AVERAGE(OFFSET($DS$3,0,0,'Données projet'!$E$14+1,1))-AVERAGE(OFFSET($H$3,0,0,'Données projet'!$E$14+1,1))</f>
        <v>524.51242549438939</v>
      </c>
      <c r="DU6" s="62">
        <f t="shared" si="44"/>
        <v>494.88778446576327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265.32424983728947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3.4</v>
      </c>
      <c r="N7" s="14">
        <f>IF('Données projet'!$A$36&gt;35,N6+M7-V6,IF(A7&lt;'Données projet'!$A$36,$K$205^A7,IF(A7='Données projet'!$A$36,'Données projet'!$B$36,N6+M7-V6)))</f>
        <v>2.0356683673967741</v>
      </c>
      <c r="O7" s="14">
        <f>N7*VLOOKUP('Données projet'!$B$9,Paramètres!$A$1:$I$89,3,0)*VLOOKUP('Données projet'!$B$9,Paramètres!$A$1:$I$89,5,0)</f>
        <v>1.8418727388206011</v>
      </c>
      <c r="P7" s="14">
        <f t="shared" si="33"/>
        <v>0.79056114423256763</v>
      </c>
      <c r="Q7" s="22">
        <f t="shared" si="2"/>
        <v>4.5848223463176021</v>
      </c>
      <c r="R7" s="62">
        <f t="shared" si="0"/>
        <v>266.14037790187314</v>
      </c>
      <c r="S7" s="62">
        <f ca="1">AVERAGE(OFFSET($R$3,0,0,'Données projet'!$E$9+1,1))-AVERAGE(OFFSET($H$3,0,0,'Données projet'!$E$9+1,1))</f>
        <v>299.17641394512162</v>
      </c>
      <c r="T7" s="62">
        <f t="shared" si="34"/>
        <v>180.73046320039873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4.45</v>
      </c>
      <c r="AI7" s="14">
        <f>IF('Données projet'!$A$62&gt;35,AI6+AH7-AQ6,IF(A7&lt;'Données projet'!$A$62,$AF$205^A7,IF(A7='Données projet'!$A$62,'Données projet'!$B$62,AI6+AH7-AQ6)))</f>
        <v>2.1252401066699207</v>
      </c>
      <c r="AJ7" s="14">
        <f>AI7*VLOOKUP('Données projet'!$B$10,Paramètres!$A$1:$I$89,3,0)*VLOOKUP('Données projet'!$B$10,Paramètres!$A$1:$I$89,5,0)</f>
        <v>2.1549934681632994</v>
      </c>
      <c r="AK7" s="14">
        <f t="shared" si="35"/>
        <v>0.90820714342383968</v>
      </c>
      <c r="AL7" s="22">
        <f t="shared" si="4"/>
        <v>5.3350743985142683</v>
      </c>
      <c r="AM7" s="62">
        <f t="shared" si="5"/>
        <v>266.89062995406982</v>
      </c>
      <c r="AN7" s="62">
        <f ca="1">AVERAGE(OFFSET($AM$3,0,0,'Données projet'!$E$10+1,1))-AVERAGE(OFFSET($H$3,0,0,'Données projet'!$E$10+1,1))</f>
        <v>384.66322295929552</v>
      </c>
      <c r="AO7" s="62">
        <f t="shared" si="36"/>
        <v>248.53970183513286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3.48</v>
      </c>
      <c r="BD7" s="13">
        <f>IF('Données projet'!$A$88&gt;35,BD6+BC7-BL6,IF(A7&lt;'Données projet'!$A$88,$BA$205^A7,IF(A7='Données projet'!$A$88,'Données projet'!$B$88,BD6+BC7-BL6)))</f>
        <v>2.0432573997875925</v>
      </c>
      <c r="BE7" s="14">
        <f>BD7*VLOOKUP('Données projet'!$B$11,Paramètres!$A$1:$I$89,3,0)*VLOOKUP('Données projet'!$B$11,Paramètres!$A$1:$I$89,5,0)</f>
        <v>1.2218679250729805</v>
      </c>
      <c r="BF7" s="14">
        <f t="shared" si="37"/>
        <v>0.55010640923362186</v>
      </c>
      <c r="BG7" s="22">
        <f t="shared" si="7"/>
        <v>3.0861886322506655</v>
      </c>
      <c r="BH7" s="62">
        <f t="shared" si="8"/>
        <v>264.64174418780618</v>
      </c>
      <c r="BI7" s="62">
        <f ca="1">AVERAGE(OFFSET($BH$3,0,0,'Données projet'!$E$11+1,1))-AVERAGE(OFFSET($H$3,0,0,'Données projet'!$E$11+1,1))</f>
        <v>146.25807703055079</v>
      </c>
      <c r="BJ7" s="62">
        <f t="shared" si="38"/>
        <v>177.40137940534413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4.7759999999999998</v>
      </c>
      <c r="BY7" s="13">
        <f>IF('Données projet'!$A$114&gt;35,BY6+BX7-CG6,IF(A7&lt;'Données projet'!$A$114,$BV$205^A7,IF(A7='Données projet'!$A$114,'Données projet'!$B$114,BY6+BX7-CG6)))</f>
        <v>2.1494170635706507</v>
      </c>
      <c r="BZ7" s="14">
        <f>BY7*VLOOKUP('Données projet'!$B$12,Paramètres!$A$1:$I$89,3,0)*VLOOKUP('Données projet'!$B$12,Paramètres!$A$1:$I$89,5,0)</f>
        <v>1.0059271857510645</v>
      </c>
      <c r="CA7" s="14">
        <f t="shared" si="39"/>
        <v>0.46325473216720353</v>
      </c>
      <c r="CB7" s="22">
        <f t="shared" si="10"/>
        <v>2.5588251737076502</v>
      </c>
      <c r="CC7" s="62">
        <f t="shared" si="11"/>
        <v>264.11438072926319</v>
      </c>
      <c r="CD7" s="62">
        <f ca="1">AVERAGE(OFFSET($CC$3,0,0,'Données projet'!$E$12+1,1))-AVERAGE(OFFSET($H$3,0,0,'Données projet'!$E$12+1,1))</f>
        <v>287.12723448949828</v>
      </c>
      <c r="CE7" s="62">
        <f t="shared" si="40"/>
        <v>170.5203352323382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8.1</v>
      </c>
      <c r="CT7" s="13">
        <f>IF('Données projet'!$A$140&gt;35,CT6+CS7-DB6,IF(A7&lt;'Données projet'!$A$140,$CQ$205^A7,IF(A7='Données projet'!$A$140,'Données projet'!$B$140,CT6+CS7-DB6)))</f>
        <v>2.338988057670508</v>
      </c>
      <c r="CU7" s="18">
        <f>CT7*VLOOKUP('Données projet'!$B$13,Paramètres!$A$1:$I$89,3,0)*VLOOKUP('Données projet'!$B$13,Paramètres!$A$1:$I$89,5,0)</f>
        <v>2.2622692493789156</v>
      </c>
      <c r="CV7" s="14">
        <f t="shared" si="41"/>
        <v>0.94804161515647922</v>
      </c>
      <c r="CW7" s="22">
        <f t="shared" si="13"/>
        <v>5.5912914223991459</v>
      </c>
      <c r="CX7" s="62">
        <f t="shared" si="14"/>
        <v>267.14684697795468</v>
      </c>
      <c r="CY7" s="62">
        <f ca="1">AVERAGE(OFFSET($CX$3,0,0,'Données projet'!$E$13+1,1))-AVERAGE(OFFSET($H$3,0,0,'Données projet'!$E$13+1,1))</f>
        <v>467.37715054082025</v>
      </c>
      <c r="CZ7" s="62">
        <f t="shared" si="42"/>
        <v>443.35096563136415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8.1</v>
      </c>
      <c r="DO7" s="13">
        <f>IF('Données projet'!$A$166&gt;35,DO6+DN7-DW6,IF(A7&lt;'Données projet'!$A$166,$DL$205^A7,IF(A7='Données projet'!$A$166,'Données projet'!$B$166,DO6+DN7-DW6)))</f>
        <v>2.338988057670508</v>
      </c>
      <c r="DP7" s="18">
        <f>DO7*VLOOKUP('Données projet'!$B$14,Paramètres!$A$1:$I$89,3,0)*VLOOKUP('Données projet'!$B$14,Paramètres!$A$1:$I$89,5,0)</f>
        <v>2.5176867452765346</v>
      </c>
      <c r="DQ7" s="14">
        <f t="shared" si="43"/>
        <v>1.0420226550548628</v>
      </c>
      <c r="DR7" s="22">
        <f t="shared" si="16"/>
        <v>6.1998272055771828</v>
      </c>
      <c r="DS7" s="62">
        <f t="shared" si="17"/>
        <v>267.75538276113275</v>
      </c>
      <c r="DT7" s="62">
        <f ca="1">AVERAGE(OFFSET($DS$3,0,0,'Données projet'!$E$14+1,1))-AVERAGE(OFFSET($H$3,0,0,'Données projet'!$E$14+1,1))</f>
        <v>524.51242549438939</v>
      </c>
      <c r="DU7" s="62">
        <f t="shared" si="44"/>
        <v>494.88778446576327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267.40971372031277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3.4</v>
      </c>
      <c r="N8" s="14">
        <f>IF('Données projet'!$A$36&gt;35,N7+M8-V7,IF(A8&lt;'Données projet'!$A$36,$K$205^A8,IF(A8='Données projet'!$A$36,'Données projet'!$B$36,N7+M8-V7)))</f>
        <v>2.4315532514941225</v>
      </c>
      <c r="O8" s="14">
        <f>N8*VLOOKUP('Données projet'!$B$9,Paramètres!$A$1:$I$89,3,0)*VLOOKUP('Données projet'!$B$9,Paramètres!$A$1:$I$89,5,0)</f>
        <v>2.2000693819518817</v>
      </c>
      <c r="P8" s="14">
        <f t="shared" si="33"/>
        <v>0.92497255654791755</v>
      </c>
      <c r="Q8" s="22">
        <f t="shared" si="2"/>
        <v>5.4427813762204833</v>
      </c>
      <c r="R8" s="62">
        <f t="shared" si="0"/>
        <v>268.22055915399824</v>
      </c>
      <c r="S8" s="62">
        <f ca="1">AVERAGE(OFFSET($R$3,0,0,'Données projet'!$E$9+1,1))-AVERAGE(OFFSET($H$3,0,0,'Données projet'!$E$9+1,1))</f>
        <v>299.17641394512162</v>
      </c>
      <c r="T8" s="62">
        <f t="shared" si="34"/>
        <v>180.73046320039873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4.45</v>
      </c>
      <c r="AI8" s="14">
        <f>IF('Données projet'!$A$62&gt;35,AI7+AH8-AQ7,IF(A8&lt;'Données projet'!$A$62,$AF$205^A8,IF(A8='Données projet'!$A$62,'Données projet'!$B$62,AI7+AH8-AQ7)))</f>
        <v>2.5660198045050335</v>
      </c>
      <c r="AJ8" s="14">
        <f>AI8*VLOOKUP('Données projet'!$B$10,Paramètres!$A$1:$I$89,3,0)*VLOOKUP('Données projet'!$B$10,Paramètres!$A$1:$I$89,5,0)</f>
        <v>2.6019440817681043</v>
      </c>
      <c r="AK8" s="14">
        <f t="shared" si="35"/>
        <v>1.0727767222833702</v>
      </c>
      <c r="AL8" s="22">
        <f t="shared" si="4"/>
        <v>6.4001387337229838</v>
      </c>
      <c r="AM8" s="62">
        <f t="shared" si="5"/>
        <v>269.17791651150077</v>
      </c>
      <c r="AN8" s="62">
        <f ca="1">AVERAGE(OFFSET($AM$3,0,0,'Données projet'!$E$10+1,1))-AVERAGE(OFFSET($H$3,0,0,'Données projet'!$E$10+1,1))</f>
        <v>384.66322295929552</v>
      </c>
      <c r="AO8" s="62">
        <f t="shared" si="36"/>
        <v>248.53970183513286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3.48</v>
      </c>
      <c r="BD8" s="13">
        <f>IF('Données projet'!$A$88&gt;35,BD7+BC8-BL7,IF(A8&lt;'Données projet'!$A$88,$BA$205^A8,IF(A8='Données projet'!$A$88,'Données projet'!$B$88,BD7+BC8-BL7)))</f>
        <v>2.4428896557373947</v>
      </c>
      <c r="BE8" s="14">
        <f>BD8*VLOOKUP('Données projet'!$B$11,Paramètres!$A$1:$I$89,3,0)*VLOOKUP('Données projet'!$B$11,Paramètres!$A$1:$I$89,5,0)</f>
        <v>1.4608480141309621</v>
      </c>
      <c r="BF8" s="14">
        <f t="shared" si="37"/>
        <v>0.64416492458434749</v>
      </c>
      <c r="BG8" s="22">
        <f t="shared" si="7"/>
        <v>3.6662308682624971</v>
      </c>
      <c r="BH8" s="62">
        <f t="shared" si="8"/>
        <v>266.44400864604029</v>
      </c>
      <c r="BI8" s="62">
        <f ca="1">AVERAGE(OFFSET($BH$3,0,0,'Données projet'!$E$11+1,1))-AVERAGE(OFFSET($H$3,0,0,'Données projet'!$E$11+1,1))</f>
        <v>146.25807703055079</v>
      </c>
      <c r="BJ8" s="62">
        <f t="shared" si="38"/>
        <v>177.40137940534413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4.7759999999999998</v>
      </c>
      <c r="BY8" s="13">
        <f>IF('Données projet'!$A$114&gt;35,BY7+BX8-CG7,IF(A8&lt;'Données projet'!$A$114,$BV$205^A8,IF(A8='Données projet'!$A$114,'Données projet'!$B$114,BY7+BX8-CG7)))</f>
        <v>2.6025606875845426</v>
      </c>
      <c r="BZ8" s="14">
        <f>BY8*VLOOKUP('Données projet'!$B$12,Paramètres!$A$1:$I$89,3,0)*VLOOKUP('Données projet'!$B$12,Paramètres!$A$1:$I$89,5,0)</f>
        <v>1.217998401789566</v>
      </c>
      <c r="CA8" s="14">
        <f t="shared" si="39"/>
        <v>0.54856678143039805</v>
      </c>
      <c r="CB8" s="22">
        <f t="shared" si="10"/>
        <v>3.0767676941081041</v>
      </c>
      <c r="CC8" s="62">
        <f t="shared" si="11"/>
        <v>265.8545454718859</v>
      </c>
      <c r="CD8" s="62">
        <f ca="1">AVERAGE(OFFSET($CC$3,0,0,'Données projet'!$E$12+1,1))-AVERAGE(OFFSET($H$3,0,0,'Données projet'!$E$12+1,1))</f>
        <v>287.12723448949828</v>
      </c>
      <c r="CE8" s="62">
        <f t="shared" si="40"/>
        <v>170.5203352323382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8.1</v>
      </c>
      <c r="CT8" s="13">
        <f>IF('Données projet'!$A$140&gt;35,CT7+CS8-DB7,IF(A8&lt;'Données projet'!$A$140,$CQ$205^A8,IF(A8='Données projet'!$A$140,'Données projet'!$B$140,CT7+CS8-DB7)))</f>
        <v>2.8925775120078812</v>
      </c>
      <c r="CU8" s="18">
        <f>CT8*VLOOKUP('Données projet'!$B$13,Paramètres!$A$1:$I$89,3,0)*VLOOKUP('Données projet'!$B$13,Paramètres!$A$1:$I$89,5,0)</f>
        <v>2.7977009696140227</v>
      </c>
      <c r="CV8" s="14">
        <f t="shared" si="41"/>
        <v>1.1437883998734895</v>
      </c>
      <c r="CW8" s="22">
        <f t="shared" si="13"/>
        <v>6.8647606518574165</v>
      </c>
      <c r="CX8" s="62">
        <f t="shared" si="14"/>
        <v>269.64253842963518</v>
      </c>
      <c r="CY8" s="62">
        <f ca="1">AVERAGE(OFFSET($CX$3,0,0,'Données projet'!$E$13+1,1))-AVERAGE(OFFSET($H$3,0,0,'Données projet'!$E$13+1,1))</f>
        <v>467.37715054082025</v>
      </c>
      <c r="CZ8" s="62">
        <f t="shared" si="42"/>
        <v>443.35096563136415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8.1</v>
      </c>
      <c r="DO8" s="13">
        <f>IF('Données projet'!$A$166&gt;35,DO7+DN8-DW7,IF(A8&lt;'Données projet'!$A$166,$DL$205^A8,IF(A8='Données projet'!$A$166,'Données projet'!$B$166,DO7+DN8-DW7)))</f>
        <v>2.8925775120078812</v>
      </c>
      <c r="DP8" s="18">
        <f>DO8*VLOOKUP('Données projet'!$B$14,Paramètres!$A$1:$I$89,3,0)*VLOOKUP('Données projet'!$B$14,Paramètres!$A$1:$I$89,5,0)</f>
        <v>3.1135704339252834</v>
      </c>
      <c r="DQ8" s="14">
        <f t="shared" si="43"/>
        <v>1.2571741643012211</v>
      </c>
      <c r="DR8" s="22">
        <f t="shared" si="16"/>
        <v>7.6123801752444962</v>
      </c>
      <c r="DS8" s="62">
        <f t="shared" si="17"/>
        <v>270.39015795302225</v>
      </c>
      <c r="DT8" s="62">
        <f ca="1">AVERAGE(OFFSET($DS$3,0,0,'Données projet'!$E$14+1,1))-AVERAGE(OFFSET($H$3,0,0,'Données projet'!$E$14+1,1))</f>
        <v>524.51242549438939</v>
      </c>
      <c r="DU8" s="62">
        <f t="shared" si="44"/>
        <v>494.88778446576327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269.48273824430697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3.4</v>
      </c>
      <c r="N9" s="14">
        <f>IF('Données projet'!$A$36&gt;35,N8+M9-V8,IF(A9&lt;'Données projet'!$A$36,$K$205^A9,IF(A9='Données projet'!$A$36,'Données projet'!$B$36,N8+M9-V8)))</f>
        <v>2.9044275136094586</v>
      </c>
      <c r="O9" s="14">
        <f>N9*VLOOKUP('Données projet'!$B$9,Paramètres!$A$1:$I$89,3,0)*VLOOKUP('Données projet'!$B$9,Paramètres!$A$1:$I$89,5,0)</f>
        <v>2.6279260143138381</v>
      </c>
      <c r="P9" s="14">
        <f t="shared" si="33"/>
        <v>1.0822366323067067</v>
      </c>
      <c r="Q9" s="22">
        <f t="shared" si="2"/>
        <v>6.4618666095307828</v>
      </c>
      <c r="R9" s="62">
        <f t="shared" si="0"/>
        <v>270.46186660953077</v>
      </c>
      <c r="S9" s="62">
        <f ca="1">AVERAGE(OFFSET($R$3,0,0,'Données projet'!$E$9+1,1))-AVERAGE(OFFSET($H$3,0,0,'Données projet'!$E$9+1,1))</f>
        <v>299.17641394512162</v>
      </c>
      <c r="T9" s="62">
        <f t="shared" si="34"/>
        <v>180.73046320039873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4.45</v>
      </c>
      <c r="AI9" s="14">
        <f>IF('Données projet'!$A$62&gt;35,AI8+AH9-AQ8,IF(A9&lt;'Données projet'!$A$62,$AF$205^A9,IF(A9='Données projet'!$A$62,'Données projet'!$B$62,AI8+AH9-AQ8)))</f>
        <v>3.0982182278826662</v>
      </c>
      <c r="AJ9" s="14">
        <f>AI9*VLOOKUP('Données projet'!$B$10,Paramètres!$A$1:$I$89,3,0)*VLOOKUP('Données projet'!$B$10,Paramètres!$A$1:$I$89,5,0)</f>
        <v>3.141593283073024</v>
      </c>
      <c r="AK9" s="14">
        <f t="shared" si="35"/>
        <v>1.2671667517769956</v>
      </c>
      <c r="AL9" s="22">
        <f t="shared" si="4"/>
        <v>7.6785903940304507</v>
      </c>
      <c r="AM9" s="62">
        <f t="shared" si="5"/>
        <v>271.67859039403044</v>
      </c>
      <c r="AN9" s="62">
        <f ca="1">AVERAGE(OFFSET($AM$3,0,0,'Données projet'!$E$10+1,1))-AVERAGE(OFFSET($H$3,0,0,'Données projet'!$E$10+1,1))</f>
        <v>384.66322295929552</v>
      </c>
      <c r="AO9" s="62">
        <f t="shared" si="36"/>
        <v>248.53970183513286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3.48</v>
      </c>
      <c r="BD9" s="13">
        <f>IF('Données projet'!$A$88&gt;35,BD8+BC9-BL8,IF(A9&lt;'Données projet'!$A$88,$BA$205^A9,IF(A9='Données projet'!$A$88,'Données projet'!$B$88,BD8+BC9-BL8)))</f>
        <v>2.9206843301921448</v>
      </c>
      <c r="BE9" s="14">
        <f>BD9*VLOOKUP('Données projet'!$B$11,Paramètres!$A$1:$I$89,3,0)*VLOOKUP('Données projet'!$B$11,Paramètres!$A$1:$I$89,5,0)</f>
        <v>1.7465692294549029</v>
      </c>
      <c r="BF9" s="14">
        <f t="shared" si="37"/>
        <v>0.75430579084297844</v>
      </c>
      <c r="BG9" s="22">
        <f t="shared" si="7"/>
        <v>4.3556906603521428</v>
      </c>
      <c r="BH9" s="62">
        <f t="shared" si="8"/>
        <v>268.35569066035214</v>
      </c>
      <c r="BI9" s="62">
        <f ca="1">AVERAGE(OFFSET($BH$3,0,0,'Données projet'!$E$11+1,1))-AVERAGE(OFFSET($H$3,0,0,'Données projet'!$E$11+1,1))</f>
        <v>146.25807703055079</v>
      </c>
      <c r="BJ9" s="62">
        <f t="shared" si="38"/>
        <v>177.40137940534413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4.7759999999999998</v>
      </c>
      <c r="BY9" s="13">
        <f>IF('Données projet'!$A$114&gt;35,BY8+BX9-CG8,IF(A9&lt;'Données projet'!$A$114,$BV$205^A9,IF(A9='Données projet'!$A$114,'Données projet'!$B$114,BY8+BX9-CG8)))</f>
        <v>3.1512367922252187</v>
      </c>
      <c r="BZ9" s="14">
        <f>BY9*VLOOKUP('Données projet'!$B$12,Paramètres!$A$1:$I$89,3,0)*VLOOKUP('Données projet'!$B$12,Paramètres!$A$1:$I$89,5,0)</f>
        <v>1.4747788187614024</v>
      </c>
      <c r="CA9" s="14">
        <f t="shared" si="39"/>
        <v>0.64958972416992466</v>
      </c>
      <c r="CB9" s="22">
        <f t="shared" si="10"/>
        <v>3.6999418789387284</v>
      </c>
      <c r="CC9" s="62">
        <f t="shared" si="11"/>
        <v>267.69994187893872</v>
      </c>
      <c r="CD9" s="62">
        <f ca="1">AVERAGE(OFFSET($CC$3,0,0,'Données projet'!$E$12+1,1))-AVERAGE(OFFSET($H$3,0,0,'Données projet'!$E$12+1,1))</f>
        <v>287.12723448949828</v>
      </c>
      <c r="CE9" s="62">
        <f t="shared" si="40"/>
        <v>170.5203352323382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8.1</v>
      </c>
      <c r="CT9" s="13">
        <f>IF('Données projet'!$A$140&gt;35,CT8+CS9-DB8,IF(A9&lt;'Données projet'!$A$140,$CQ$205^A9,IF(A9='Données projet'!$A$140,'Données projet'!$B$140,CT8+CS9-DB8)))</f>
        <v>3.5771899884374516</v>
      </c>
      <c r="CU9" s="18">
        <f>CT9*VLOOKUP('Données projet'!$B$13,Paramètres!$A$1:$I$89,3,0)*VLOOKUP('Données projet'!$B$13,Paramètres!$A$1:$I$89,5,0)</f>
        <v>3.4598581568167037</v>
      </c>
      <c r="CV9" s="14">
        <f t="shared" si="41"/>
        <v>1.3799519797126454</v>
      </c>
      <c r="CW9" s="22">
        <f t="shared" si="13"/>
        <v>8.4293359877886171</v>
      </c>
      <c r="CX9" s="62">
        <f t="shared" si="14"/>
        <v>272.42933598778859</v>
      </c>
      <c r="CY9" s="62">
        <f ca="1">AVERAGE(OFFSET($CX$3,0,0,'Données projet'!$E$13+1,1))-AVERAGE(OFFSET($H$3,0,0,'Données projet'!$E$13+1,1))</f>
        <v>467.37715054082025</v>
      </c>
      <c r="CZ9" s="62">
        <f t="shared" si="42"/>
        <v>443.35096563136415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8.1</v>
      </c>
      <c r="DO9" s="13">
        <f>IF('Données projet'!$A$166&gt;35,DO8+DN9-DW8,IF(A9&lt;'Données projet'!$A$166,$DL$205^A9,IF(A9='Données projet'!$A$166,'Données projet'!$B$166,DO8+DN9-DW8)))</f>
        <v>3.5771899884374516</v>
      </c>
      <c r="DP9" s="18">
        <f>DO9*VLOOKUP('Données projet'!$B$14,Paramètres!$A$1:$I$89,3,0)*VLOOKUP('Données projet'!$B$14,Paramètres!$A$1:$I$89,5,0)</f>
        <v>3.8504873035540728</v>
      </c>
      <c r="DQ9" s="14">
        <f t="shared" si="43"/>
        <v>1.516749056961012</v>
      </c>
      <c r="DR9" s="22">
        <f t="shared" si="16"/>
        <v>9.34793666123044</v>
      </c>
      <c r="DS9" s="62">
        <f t="shared" si="17"/>
        <v>273.34793666123045</v>
      </c>
      <c r="DT9" s="62">
        <f ca="1">AVERAGE(OFFSET($DS$3,0,0,'Données projet'!$E$14+1,1))-AVERAGE(OFFSET($H$3,0,0,'Données projet'!$E$14+1,1))</f>
        <v>524.51242549438939</v>
      </c>
      <c r="DU9" s="62">
        <f t="shared" si="44"/>
        <v>494.88778446576327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271.54563926139667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3.4</v>
      </c>
      <c r="N10" s="14">
        <f>IF('Données projet'!$A$36&gt;35,N9+M10-V9,IF(A10&lt;'Données projet'!$A$36,$K$205^A10,IF(A10='Données projet'!$A$36,'Données projet'!$B$36,N9+M10-V9)))</f>
        <v>3.4692635979196091</v>
      </c>
      <c r="O10" s="14">
        <f>N10*VLOOKUP('Données projet'!$B$9,Paramètres!$A$1:$I$89,3,0)*VLOOKUP('Données projet'!$B$9,Paramètres!$A$1:$I$89,5,0)</f>
        <v>3.1389897033976619</v>
      </c>
      <c r="P10" s="14">
        <f t="shared" si="33"/>
        <v>1.2662387873189693</v>
      </c>
      <c r="Q10" s="22">
        <f t="shared" si="2"/>
        <v>7.6724396213314643</v>
      </c>
      <c r="R10" s="62">
        <f t="shared" si="0"/>
        <v>272.89466184355371</v>
      </c>
      <c r="S10" s="62">
        <f ca="1">AVERAGE(OFFSET($R$3,0,0,'Données projet'!$E$9+1,1))-AVERAGE(OFFSET($H$3,0,0,'Données projet'!$E$9+1,1))</f>
        <v>299.17641394512162</v>
      </c>
      <c r="T10" s="62">
        <f t="shared" si="34"/>
        <v>180.73046320039873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4.45</v>
      </c>
      <c r="AI10" s="14">
        <f>IF('Données projet'!$A$62&gt;35,AI9+AH10-AQ9,IF(A10&lt;'Données projet'!$A$62,$AF$205^A10,IF(A10='Données projet'!$A$62,'Données projet'!$B$62,AI9+AH10-AQ9)))</f>
        <v>3.7407958312449487</v>
      </c>
      <c r="AJ10" s="14">
        <f>AI10*VLOOKUP('Données projet'!$B$10,Paramètres!$A$1:$I$89,3,0)*VLOOKUP('Données projet'!$B$10,Paramètres!$A$1:$I$89,5,0)</f>
        <v>3.793166972882378</v>
      </c>
      <c r="AK10" s="14">
        <f t="shared" si="35"/>
        <v>1.496780777822394</v>
      </c>
      <c r="AL10" s="22">
        <f t="shared" si="4"/>
        <v>9.2133256658108102</v>
      </c>
      <c r="AM10" s="62">
        <f t="shared" si="5"/>
        <v>274.43554788803306</v>
      </c>
      <c r="AN10" s="62">
        <f ca="1">AVERAGE(OFFSET($AM$3,0,0,'Données projet'!$E$10+1,1))-AVERAGE(OFFSET($H$3,0,0,'Données projet'!$E$10+1,1))</f>
        <v>384.66322295929552</v>
      </c>
      <c r="AO10" s="62">
        <f t="shared" si="36"/>
        <v>248.53970183513286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3.48</v>
      </c>
      <c r="BD10" s="13">
        <f>IF('Données projet'!$A$88&gt;35,BD9+BC10-BL9,IF(A10&lt;'Données projet'!$A$88,$BA$205^A10,IF(A10='Données projet'!$A$88,'Données projet'!$B$88,BD9+BC10-BL9)))</f>
        <v>3.4919288870028828</v>
      </c>
      <c r="BE10" s="14">
        <f>BD10*VLOOKUP('Données projet'!$B$11,Paramètres!$A$1:$I$89,3,0)*VLOOKUP('Données projet'!$B$11,Paramètres!$A$1:$I$89,5,0)</f>
        <v>2.0881734744277241</v>
      </c>
      <c r="BF10" s="14">
        <f t="shared" si="37"/>
        <v>0.88327880700177497</v>
      </c>
      <c r="BG10" s="22">
        <f t="shared" si="7"/>
        <v>5.1752793901563772</v>
      </c>
      <c r="BH10" s="62">
        <f t="shared" si="8"/>
        <v>270.39750161237862</v>
      </c>
      <c r="BI10" s="62">
        <f ca="1">AVERAGE(OFFSET($BH$3,0,0,'Données projet'!$E$11+1,1))-AVERAGE(OFFSET($H$3,0,0,'Données projet'!$E$11+1,1))</f>
        <v>146.25807703055079</v>
      </c>
      <c r="BJ10" s="62">
        <f t="shared" si="38"/>
        <v>177.40137940534413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4.7759999999999998</v>
      </c>
      <c r="BY10" s="13">
        <f>IF('Données projet'!$A$114&gt;35,BY9+BX10-CG9,IF(A10&lt;'Données projet'!$A$114,$BV$205^A10,IF(A10='Données projet'!$A$114,'Données projet'!$B$114,BY9+BX10-CG9)))</f>
        <v>3.8155856914484754</v>
      </c>
      <c r="BZ10" s="14">
        <f>BY10*VLOOKUP('Données projet'!$B$12,Paramètres!$A$1:$I$89,3,0)*VLOOKUP('Données projet'!$B$12,Paramètres!$A$1:$I$89,5,0)</f>
        <v>1.7856941035978866</v>
      </c>
      <c r="CA10" s="14">
        <f t="shared" si="39"/>
        <v>0.76921684657403544</v>
      </c>
      <c r="CB10" s="22">
        <f t="shared" si="10"/>
        <v>4.4498032382160977</v>
      </c>
      <c r="CC10" s="62">
        <f t="shared" si="11"/>
        <v>269.67202546043831</v>
      </c>
      <c r="CD10" s="62">
        <f ca="1">AVERAGE(OFFSET($CC$3,0,0,'Données projet'!$E$12+1,1))-AVERAGE(OFFSET($H$3,0,0,'Données projet'!$E$12+1,1))</f>
        <v>287.12723448949828</v>
      </c>
      <c r="CE10" s="62">
        <f t="shared" si="40"/>
        <v>170.5203352323382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8.1</v>
      </c>
      <c r="CT10" s="13">
        <f>IF('Données projet'!$A$140&gt;35,CT9+CS10-DB9,IF(A10&lt;'Données projet'!$A$140,$CQ$205^A10,IF(A10='Données projet'!$A$140,'Données projet'!$B$140,CT9+CS10-DB9)))</f>
        <v>4.4238358903974886</v>
      </c>
      <c r="CU10" s="18">
        <f>CT10*VLOOKUP('Données projet'!$B$13,Paramètres!$A$1:$I$89,3,0)*VLOOKUP('Données projet'!$B$13,Paramètres!$A$1:$I$89,5,0)</f>
        <v>4.2787340731924512</v>
      </c>
      <c r="CV10" s="14">
        <f t="shared" si="41"/>
        <v>1.6648774078522506</v>
      </c>
      <c r="CW10" s="22">
        <f t="shared" si="13"/>
        <v>10.351789996152855</v>
      </c>
      <c r="CX10" s="62">
        <f t="shared" si="14"/>
        <v>275.57401221837506</v>
      </c>
      <c r="CY10" s="62">
        <f ca="1">AVERAGE(OFFSET($CX$3,0,0,'Données projet'!$E$13+1,1))-AVERAGE(OFFSET($H$3,0,0,'Données projet'!$E$13+1,1))</f>
        <v>467.37715054082025</v>
      </c>
      <c r="CZ10" s="62">
        <f t="shared" si="42"/>
        <v>443.35096563136415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8.1</v>
      </c>
      <c r="DO10" s="13">
        <f>IF('Données projet'!$A$166&gt;35,DO9+DN10-DW9,IF(A10&lt;'Données projet'!$A$166,$DL$205^A10,IF(A10='Données projet'!$A$166,'Données projet'!$B$166,DO9+DN10-DW9)))</f>
        <v>4.4238358903974886</v>
      </c>
      <c r="DP10" s="18">
        <f>DO10*VLOOKUP('Données projet'!$B$14,Paramètres!$A$1:$I$89,3,0)*VLOOKUP('Données projet'!$B$14,Paramètres!$A$1:$I$89,5,0)</f>
        <v>4.7618169524238567</v>
      </c>
      <c r="DQ10" s="14">
        <f t="shared" si="43"/>
        <v>1.8299196460745191</v>
      </c>
      <c r="DR10" s="22">
        <f t="shared" si="16"/>
        <v>11.480607909051336</v>
      </c>
      <c r="DS10" s="62">
        <f t="shared" si="17"/>
        <v>276.70283013127357</v>
      </c>
      <c r="DT10" s="62">
        <f ca="1">AVERAGE(OFFSET($DS$3,0,0,'Données projet'!$E$14+1,1))-AVERAGE(OFFSET($H$3,0,0,'Données projet'!$E$14+1,1))</f>
        <v>524.51242549438939</v>
      </c>
      <c r="DU10" s="62">
        <f t="shared" si="44"/>
        <v>494.88778446576327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273.60002985401661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3.4</v>
      </c>
      <c r="N11" s="14">
        <f>IF('Données projet'!$A$36&gt;35,N10+M11-V10,IF(A11&lt;'Données projet'!$A$36,$K$205^A11,IF(A11='Données projet'!$A$36,'Données projet'!$B$36,N10+M11-V10)))</f>
        <v>4.143945702019848</v>
      </c>
      <c r="O11" s="14">
        <f>N11*VLOOKUP('Données projet'!$B$9,Paramètres!$A$1:$I$89,3,0)*VLOOKUP('Données projet'!$B$9,Paramètres!$A$1:$I$89,5,0)</f>
        <v>3.7494420711875582</v>
      </c>
      <c r="P11" s="14">
        <f t="shared" si="33"/>
        <v>1.4815250368060173</v>
      </c>
      <c r="Q11" s="22">
        <f t="shared" si="2"/>
        <v>9.1106010464221434</v>
      </c>
      <c r="R11" s="62">
        <f t="shared" si="0"/>
        <v>275.55504549086658</v>
      </c>
      <c r="S11" s="62">
        <f ca="1">AVERAGE(OFFSET($R$3,0,0,'Données projet'!$E$9+1,1))-AVERAGE(OFFSET($H$3,0,0,'Données projet'!$E$9+1,1))</f>
        <v>299.17641394512162</v>
      </c>
      <c r="T11" s="62">
        <f t="shared" si="34"/>
        <v>180.73046320039873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4.45</v>
      </c>
      <c r="AI11" s="14">
        <f>IF('Données projet'!$A$62&gt;35,AI10+AH11-AQ10,IF(A11&lt;'Données projet'!$A$62,$AF$205^A11,IF(A11='Données projet'!$A$62,'Données projet'!$B$62,AI10+AH11-AQ10)))</f>
        <v>4.5166455109983756</v>
      </c>
      <c r="AJ11" s="14">
        <f>AI11*VLOOKUP('Données projet'!$B$10,Paramètres!$A$1:$I$89,3,0)*VLOOKUP('Données projet'!$B$10,Paramètres!$A$1:$I$89,5,0)</f>
        <v>4.5798785481523527</v>
      </c>
      <c r="AK11" s="14">
        <f t="shared" si="35"/>
        <v>1.7680014834013602</v>
      </c>
      <c r="AL11" s="22">
        <f t="shared" si="4"/>
        <v>11.055891054956049</v>
      </c>
      <c r="AM11" s="62">
        <f t="shared" si="5"/>
        <v>277.50033549940053</v>
      </c>
      <c r="AN11" s="62">
        <f ca="1">AVERAGE(OFFSET($AM$3,0,0,'Données projet'!$E$10+1,1))-AVERAGE(OFFSET($H$3,0,0,'Données projet'!$E$10+1,1))</f>
        <v>384.66322295929552</v>
      </c>
      <c r="AO11" s="62">
        <f t="shared" si="36"/>
        <v>248.53970183513286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3.48</v>
      </c>
      <c r="BD11" s="13">
        <f>IF('Données projet'!$A$88&gt;35,BD10+BC11-BL10,IF(A11&lt;'Données projet'!$A$88,$BA$205^A11,IF(A11='Données projet'!$A$88,'Données projet'!$B$88,BD10+BC11-BL10)))</f>
        <v>4.1749008017867535</v>
      </c>
      <c r="BE11" s="14">
        <f>BD11*VLOOKUP('Données projet'!$B$11,Paramètres!$A$1:$I$89,3,0)*VLOOKUP('Données projet'!$B$11,Paramètres!$A$1:$I$89,5,0)</f>
        <v>2.4965906794684787</v>
      </c>
      <c r="BF11" s="14">
        <f t="shared" si="37"/>
        <v>1.0343039392904343</v>
      </c>
      <c r="BG11" s="22">
        <f t="shared" si="7"/>
        <v>6.149641461005106</v>
      </c>
      <c r="BH11" s="62">
        <f t="shared" si="8"/>
        <v>272.59408590544956</v>
      </c>
      <c r="BI11" s="62">
        <f ca="1">AVERAGE(OFFSET($BH$3,0,0,'Données projet'!$E$11+1,1))-AVERAGE(OFFSET($H$3,0,0,'Données projet'!$E$11+1,1))</f>
        <v>146.25807703055079</v>
      </c>
      <c r="BJ11" s="62">
        <f t="shared" si="38"/>
        <v>177.40137940534413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4.7759999999999998</v>
      </c>
      <c r="BY11" s="13">
        <f>IF('Données projet'!$A$114&gt;35,BY10+BX11-CG10,IF(A11&lt;'Données projet'!$A$114,$BV$205^A11,IF(A11='Données projet'!$A$114,'Données projet'!$B$114,BY10+BX11-CG10)))</f>
        <v>4.6199937131686788</v>
      </c>
      <c r="BZ11" s="14">
        <f>BY11*VLOOKUP('Données projet'!$B$12,Paramètres!$A$1:$I$89,3,0)*VLOOKUP('Données projet'!$B$12,Paramètres!$A$1:$I$89,5,0)</f>
        <v>2.1621570577629416</v>
      </c>
      <c r="CA11" s="14">
        <f t="shared" si="39"/>
        <v>0.91087425653076226</v>
      </c>
      <c r="CB11" s="22">
        <f t="shared" si="10"/>
        <v>5.3521962057282009</v>
      </c>
      <c r="CC11" s="62">
        <f t="shared" si="11"/>
        <v>271.79664065017266</v>
      </c>
      <c r="CD11" s="62">
        <f ca="1">AVERAGE(OFFSET($CC$3,0,0,'Données projet'!$E$12+1,1))-AVERAGE(OFFSET($H$3,0,0,'Données projet'!$E$12+1,1))</f>
        <v>287.12723448949828</v>
      </c>
      <c r="CE11" s="62">
        <f t="shared" si="40"/>
        <v>170.5203352323382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8.1</v>
      </c>
      <c r="CT11" s="13">
        <f>IF('Données projet'!$A$140&gt;35,CT10+CS11-DB10,IF(A11&lt;'Données projet'!$A$140,$CQ$205^A11,IF(A11='Données projet'!$A$140,'Données projet'!$B$140,CT10+CS11-DB10)))</f>
        <v>5.4708651339252556</v>
      </c>
      <c r="CU11" s="18">
        <f>CT11*VLOOKUP('Données projet'!$B$13,Paramètres!$A$1:$I$89,3,0)*VLOOKUP('Données projet'!$B$13,Paramètres!$A$1:$I$89,5,0)</f>
        <v>5.2914207575325074</v>
      </c>
      <c r="CV11" s="14">
        <f t="shared" si="41"/>
        <v>2.0086327813769436</v>
      </c>
      <c r="CW11" s="22">
        <f t="shared" si="13"/>
        <v>12.714259913600626</v>
      </c>
      <c r="CX11" s="62">
        <f t="shared" si="14"/>
        <v>279.1587043580451</v>
      </c>
      <c r="CY11" s="62">
        <f ca="1">AVERAGE(OFFSET($CX$3,0,0,'Données projet'!$E$13+1,1))-AVERAGE(OFFSET($H$3,0,0,'Données projet'!$E$13+1,1))</f>
        <v>467.37715054082025</v>
      </c>
      <c r="CZ11" s="62">
        <f t="shared" si="42"/>
        <v>443.35096563136415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8.1</v>
      </c>
      <c r="DO11" s="13">
        <f>IF('Données projet'!$A$166&gt;35,DO10+DN11-DW10,IF(A11&lt;'Données projet'!$A$166,$DL$205^A11,IF(A11='Données projet'!$A$166,'Données projet'!$B$166,DO10+DN11-DW10)))</f>
        <v>5.4708651339252556</v>
      </c>
      <c r="DP11" s="18">
        <f>DO11*VLOOKUP('Données projet'!$B$14,Paramètres!$A$1:$I$89,3,0)*VLOOKUP('Données projet'!$B$14,Paramètres!$A$1:$I$89,5,0)</f>
        <v>5.8888392301571448</v>
      </c>
      <c r="DQ11" s="14">
        <f t="shared" si="43"/>
        <v>2.2077520969743181</v>
      </c>
      <c r="DR11" s="22">
        <f t="shared" si="16"/>
        <v>14.101563228087299</v>
      </c>
      <c r="DS11" s="62">
        <f t="shared" si="17"/>
        <v>280.54600767253174</v>
      </c>
      <c r="DT11" s="62">
        <f ca="1">AVERAGE(OFFSET($DS$3,0,0,'Données projet'!$E$14+1,1))-AVERAGE(OFFSET($H$3,0,0,'Données projet'!$E$14+1,1))</f>
        <v>524.51242549438939</v>
      </c>
      <c r="DU11" s="62">
        <f t="shared" si="44"/>
        <v>494.88778446576327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275.64709565827621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3.4</v>
      </c>
      <c r="N12" s="14">
        <f>IF('Données projet'!$A$36&gt;35,N11+M12-V11,IF(A12&lt;'Données projet'!$A$36,$K$205^A12,IF(A12='Données projet'!$A$36,'Données projet'!$B$36,N11+M12-V11)))</f>
        <v>4.9498360377073585</v>
      </c>
      <c r="O12" s="14">
        <f>N12*VLOOKUP('Données projet'!$B$9,Paramètres!$A$1:$I$89,3,0)*VLOOKUP('Données projet'!$B$9,Paramètres!$A$1:$I$89,5,0)</f>
        <v>4.478611646917618</v>
      </c>
      <c r="P12" s="14">
        <f t="shared" si="33"/>
        <v>1.7334143106849604</v>
      </c>
      <c r="Q12" s="22">
        <f t="shared" si="2"/>
        <v>10.81927854282449</v>
      </c>
      <c r="R12" s="62">
        <f t="shared" si="0"/>
        <v>278.48594520949115</v>
      </c>
      <c r="S12" s="62">
        <f ca="1">AVERAGE(OFFSET($R$3,0,0,'Données projet'!$E$9+1,1))-AVERAGE(OFFSET($H$3,0,0,'Données projet'!$E$9+1,1))</f>
        <v>299.17641394512162</v>
      </c>
      <c r="T12" s="62">
        <f t="shared" si="34"/>
        <v>180.73046320039873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4.45</v>
      </c>
      <c r="AI12" s="14">
        <f>IF('Données projet'!$A$62&gt;35,AI11+AH12-AQ11,IF(A12&lt;'Données projet'!$A$62,$AF$205^A12,IF(A12='Données projet'!$A$62,'Données projet'!$B$62,AI11+AH12-AQ11)))</f>
        <v>5.4534082030434057</v>
      </c>
      <c r="AJ12" s="14">
        <f>AI12*VLOOKUP('Données projet'!$B$10,Paramètres!$A$1:$I$89,3,0)*VLOOKUP('Données projet'!$B$10,Paramètres!$A$1:$I$89,5,0)</f>
        <v>5.5297559178860141</v>
      </c>
      <c r="AK12" s="14">
        <f t="shared" si="35"/>
        <v>2.0883681108312029</v>
      </c>
      <c r="AL12" s="22">
        <f t="shared" si="4"/>
        <v>13.268232683349153</v>
      </c>
      <c r="AM12" s="62">
        <f t="shared" si="5"/>
        <v>280.93489935001583</v>
      </c>
      <c r="AN12" s="62">
        <f ca="1">AVERAGE(OFFSET($AM$3,0,0,'Données projet'!$E$10+1,1))-AVERAGE(OFFSET($H$3,0,0,'Données projet'!$E$10+1,1))</f>
        <v>384.66322295929552</v>
      </c>
      <c r="AO12" s="62">
        <f t="shared" si="36"/>
        <v>248.53970183513286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3.48</v>
      </c>
      <c r="BD12" s="13">
        <f>IF('Données projet'!$A$88&gt;35,BD11+BC12-BL11,IF(A12&lt;'Données projet'!$A$88,$BA$205^A12,IF(A12='Données projet'!$A$88,'Données projet'!$B$88,BD11+BC12-BL11)))</f>
        <v>4.9914523659499963</v>
      </c>
      <c r="BE12" s="14">
        <f>BD12*VLOOKUP('Données projet'!$B$11,Paramètres!$A$1:$I$89,3,0)*VLOOKUP('Données projet'!$B$11,Paramètres!$A$1:$I$89,5,0)</f>
        <v>2.9848885148380981</v>
      </c>
      <c r="BF12" s="14">
        <f t="shared" si="37"/>
        <v>1.2111517114998105</v>
      </c>
      <c r="BG12" s="22">
        <f t="shared" si="7"/>
        <v>7.3081033942051903</v>
      </c>
      <c r="BH12" s="62">
        <f t="shared" si="8"/>
        <v>274.97477006087189</v>
      </c>
      <c r="BI12" s="62">
        <f ca="1">AVERAGE(OFFSET($BH$3,0,0,'Données projet'!$E$11+1,1))-AVERAGE(OFFSET($H$3,0,0,'Données projet'!$E$11+1,1))</f>
        <v>146.25807703055079</v>
      </c>
      <c r="BJ12" s="62">
        <f t="shared" si="38"/>
        <v>177.40137940534413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4.7759999999999998</v>
      </c>
      <c r="BY12" s="13">
        <f>IF('Données projet'!$A$114&gt;35,BY11+BX12-CG11,IF(A12&lt;'Données projet'!$A$114,$BV$205^A12,IF(A12='Données projet'!$A$114,'Données projet'!$B$114,BY11+BX12-CG11)))</f>
        <v>5.5939883508723813</v>
      </c>
      <c r="BZ12" s="14">
        <f>BY12*VLOOKUP('Données projet'!$B$12,Paramètres!$A$1:$I$89,3,0)*VLOOKUP('Données projet'!$B$12,Paramètres!$A$1:$I$89,5,0)</f>
        <v>2.6179865482082745</v>
      </c>
      <c r="CA12" s="14">
        <f t="shared" si="39"/>
        <v>1.0786190069884449</v>
      </c>
      <c r="CB12" s="22">
        <f t="shared" si="10"/>
        <v>6.4382546753009526</v>
      </c>
      <c r="CC12" s="62">
        <f t="shared" si="11"/>
        <v>274.10492134196761</v>
      </c>
      <c r="CD12" s="62">
        <f ca="1">AVERAGE(OFFSET($CC$3,0,0,'Données projet'!$E$12+1,1))-AVERAGE(OFFSET($H$3,0,0,'Données projet'!$E$12+1,1))</f>
        <v>287.12723448949828</v>
      </c>
      <c r="CE12" s="62">
        <f t="shared" si="40"/>
        <v>170.5203352323382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8.1</v>
      </c>
      <c r="CT12" s="13">
        <f>IF('Données projet'!$A$140&gt;35,CT11+CS12-DB11,IF(A12&lt;'Données projet'!$A$140,$CQ$205^A12,IF(A12='Données projet'!$A$140,'Données projet'!$B$140,CT11+CS12-DB11)))</f>
        <v>6.7657042564727039</v>
      </c>
      <c r="CU12" s="18">
        <f>CT12*VLOOKUP('Données projet'!$B$13,Paramètres!$A$1:$I$89,3,0)*VLOOKUP('Données projet'!$B$13,Paramètres!$A$1:$I$89,5,0)</f>
        <v>6.5437891568603987</v>
      </c>
      <c r="CV12" s="14">
        <f t="shared" si="41"/>
        <v>2.4233650065723791</v>
      </c>
      <c r="CW12" s="22">
        <f t="shared" si="13"/>
        <v>15.617793501312086</v>
      </c>
      <c r="CX12" s="62">
        <f t="shared" si="14"/>
        <v>283.28446016797875</v>
      </c>
      <c r="CY12" s="62">
        <f ca="1">AVERAGE(OFFSET($CX$3,0,0,'Données projet'!$E$13+1,1))-AVERAGE(OFFSET($H$3,0,0,'Données projet'!$E$13+1,1))</f>
        <v>467.37715054082025</v>
      </c>
      <c r="CZ12" s="62">
        <f t="shared" si="42"/>
        <v>443.35096563136415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8.1</v>
      </c>
      <c r="DO12" s="13">
        <f>IF('Données projet'!$A$166&gt;35,DO11+DN12-DW11,IF(A12&lt;'Données projet'!$A$166,$DL$205^A12,IF(A12='Données projet'!$A$166,'Données projet'!$B$166,DO11+DN12-DW11)))</f>
        <v>6.7657042564727039</v>
      </c>
      <c r="DP12" s="18">
        <f>DO12*VLOOKUP('Données projet'!$B$14,Paramètres!$A$1:$I$89,3,0)*VLOOKUP('Données projet'!$B$14,Paramètres!$A$1:$I$89,5,0)</f>
        <v>7.2826040616672181</v>
      </c>
      <c r="DQ12" s="14">
        <f t="shared" si="43"/>
        <v>2.6635974602220367</v>
      </c>
      <c r="DR12" s="22">
        <f t="shared" si="16"/>
        <v>17.322967650623784</v>
      </c>
      <c r="DS12" s="62">
        <f t="shared" si="17"/>
        <v>284.98963431729049</v>
      </c>
      <c r="DT12" s="62">
        <f ca="1">AVERAGE(OFFSET($DS$3,0,0,'Données projet'!$E$14+1,1))-AVERAGE(OFFSET($H$3,0,0,'Données projet'!$E$14+1,1))</f>
        <v>524.51242549438939</v>
      </c>
      <c r="DU12" s="62">
        <f t="shared" si="44"/>
        <v>494.88778446576327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277.68774337881695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3.4</v>
      </c>
      <c r="N13" s="14">
        <f>IF('Données projet'!$A$36&gt;35,N12+M13-V12,IF(A13&lt;'Données projet'!$A$36,$K$205^A13,IF(A13='Données projet'!$A$36,'Données projet'!$B$36,N12+M13-V12)))</f>
        <v>5.9124512148516395</v>
      </c>
      <c r="O13" s="14">
        <f>N13*VLOOKUP('Données projet'!$B$9,Paramètres!$A$1:$I$89,3,0)*VLOOKUP('Données projet'!$B$9,Paramètres!$A$1:$I$89,5,0)</f>
        <v>5.3495858591977639</v>
      </c>
      <c r="P13" s="14">
        <f t="shared" si="33"/>
        <v>2.0281298647272465</v>
      </c>
      <c r="Q13" s="22">
        <f t="shared" si="2"/>
        <v>12.849521552502727</v>
      </c>
      <c r="R13" s="62">
        <f t="shared" si="0"/>
        <v>281.73841044139158</v>
      </c>
      <c r="S13" s="62">
        <f ca="1">AVERAGE(OFFSET($R$3,0,0,'Données projet'!$E$9+1,1))-AVERAGE(OFFSET($H$3,0,0,'Données projet'!$E$9+1,1))</f>
        <v>299.17641394512162</v>
      </c>
      <c r="T13" s="62">
        <f t="shared" si="34"/>
        <v>180.73046320039873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4.45</v>
      </c>
      <c r="AI13" s="14">
        <f>IF('Données projet'!$A$62&gt;35,AI12+AH13-AQ12,IF(A13&lt;'Données projet'!$A$62,$AF$205^A13,IF(A13='Données projet'!$A$62,'Données projet'!$B$62,AI12+AH13-AQ12)))</f>
        <v>6.5844576371120498</v>
      </c>
      <c r="AJ13" s="14">
        <f>AI13*VLOOKUP('Données projet'!$B$10,Paramètres!$A$1:$I$89,3,0)*VLOOKUP('Données projet'!$B$10,Paramètres!$A$1:$I$89,5,0)</f>
        <v>6.6766400440316191</v>
      </c>
      <c r="AK13" s="14">
        <f t="shared" si="35"/>
        <v>2.466786033429258</v>
      </c>
      <c r="AL13" s="22">
        <f t="shared" si="4"/>
        <v>15.924800418244359</v>
      </c>
      <c r="AM13" s="62">
        <f t="shared" si="5"/>
        <v>284.81368930713325</v>
      </c>
      <c r="AN13" s="62">
        <f ca="1">AVERAGE(OFFSET($AM$3,0,0,'Données projet'!$E$10+1,1))-AVERAGE(OFFSET($H$3,0,0,'Données projet'!$E$10+1,1))</f>
        <v>384.66322295929552</v>
      </c>
      <c r="AO13" s="62">
        <f t="shared" si="36"/>
        <v>248.53970183513286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3.48</v>
      </c>
      <c r="BD13" s="13">
        <f>IF('Données projet'!$A$88&gt;35,BD12+BC13-BL12,IF(A13&lt;'Données projet'!$A$88,$BA$205^A13,IF(A13='Données projet'!$A$88,'Données projet'!$B$88,BD12+BC13-BL12)))</f>
        <v>5.9677098701087674</v>
      </c>
      <c r="BE13" s="14">
        <f>BD13*VLOOKUP('Données projet'!$B$11,Paramètres!$A$1:$I$89,3,0)*VLOOKUP('Données projet'!$B$11,Paramètres!$A$1:$I$89,5,0)</f>
        <v>3.5686905023250435</v>
      </c>
      <c r="BF13" s="14">
        <f t="shared" si="37"/>
        <v>1.4182373406363051</v>
      </c>
      <c r="BG13" s="22">
        <f t="shared" si="7"/>
        <v>8.685565993157681</v>
      </c>
      <c r="BH13" s="62">
        <f t="shared" si="8"/>
        <v>277.57445488204655</v>
      </c>
      <c r="BI13" s="62">
        <f ca="1">AVERAGE(OFFSET($BH$3,0,0,'Données projet'!$E$11+1,1))-AVERAGE(OFFSET($H$3,0,0,'Données projet'!$E$11+1,1))</f>
        <v>146.25807703055079</v>
      </c>
      <c r="BJ13" s="62">
        <f t="shared" si="38"/>
        <v>177.40137940534413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4.7759999999999998</v>
      </c>
      <c r="BY13" s="13">
        <f>IF('Données projet'!$A$114&gt;35,BY12+BX13-CG12,IF(A13&lt;'Données projet'!$A$114,$BV$205^A13,IF(A13='Données projet'!$A$114,'Données projet'!$B$114,BY12+BX13-CG12)))</f>
        <v>6.7733221325605264</v>
      </c>
      <c r="BZ13" s="14">
        <f>BY13*VLOOKUP('Données projet'!$B$12,Paramètres!$A$1:$I$89,3,0)*VLOOKUP('Données projet'!$B$12,Paramètres!$A$1:$I$89,5,0)</f>
        <v>3.1699147580383262</v>
      </c>
      <c r="CA13" s="14">
        <f t="shared" si="39"/>
        <v>1.2772552895147578</v>
      </c>
      <c r="CB13" s="22">
        <f t="shared" si="10"/>
        <v>7.7454878328216212</v>
      </c>
      <c r="CC13" s="62">
        <f t="shared" si="11"/>
        <v>276.63437672171045</v>
      </c>
      <c r="CD13" s="62">
        <f ca="1">AVERAGE(OFFSET($CC$3,0,0,'Données projet'!$E$12+1,1))-AVERAGE(OFFSET($H$3,0,0,'Données projet'!$E$12+1,1))</f>
        <v>287.12723448949828</v>
      </c>
      <c r="CE13" s="62">
        <f t="shared" si="40"/>
        <v>170.5203352323382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8.1</v>
      </c>
      <c r="CT13" s="13">
        <f>IF('Données projet'!$A$140&gt;35,CT12+CS13-DB12,IF(A13&lt;'Données projet'!$A$140,$CQ$205^A13,IF(A13='Données projet'!$A$140,'Données projet'!$B$140,CT12+CS13-DB12)))</f>
        <v>8.3670046629737023</v>
      </c>
      <c r="CU13" s="18">
        <f>CT13*VLOOKUP('Données projet'!$B$13,Paramètres!$A$1:$I$89,3,0)*VLOOKUP('Données projet'!$B$13,Paramètres!$A$1:$I$89,5,0)</f>
        <v>8.0925669100281645</v>
      </c>
      <c r="CV13" s="14">
        <f t="shared" si="41"/>
        <v>2.9237290208186977</v>
      </c>
      <c r="CW13" s="22">
        <f t="shared" si="13"/>
        <v>19.186715412891616</v>
      </c>
      <c r="CX13" s="62">
        <f t="shared" si="14"/>
        <v>288.07560430178046</v>
      </c>
      <c r="CY13" s="62">
        <f ca="1">AVERAGE(OFFSET($CX$3,0,0,'Données projet'!$E$13+1,1))-AVERAGE(OFFSET($H$3,0,0,'Données projet'!$E$13+1,1))</f>
        <v>467.37715054082025</v>
      </c>
      <c r="CZ13" s="62">
        <f t="shared" si="42"/>
        <v>443.35096563136415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8.1</v>
      </c>
      <c r="DO13" s="13">
        <f>IF('Données projet'!$A$166&gt;35,DO12+DN13-DW12,IF(A13&lt;'Données projet'!$A$166,$DL$205^A13,IF(A13='Données projet'!$A$166,'Données projet'!$B$166,DO12+DN13-DW12)))</f>
        <v>8.3670046629737023</v>
      </c>
      <c r="DP13" s="18">
        <f>DO13*VLOOKUP('Données projet'!$B$14,Paramètres!$A$1:$I$89,3,0)*VLOOKUP('Données projet'!$B$14,Paramètres!$A$1:$I$89,5,0)</f>
        <v>9.0062438192248919</v>
      </c>
      <c r="DQ13" s="14">
        <f t="shared" si="43"/>
        <v>3.2135634430262834</v>
      </c>
      <c r="DR13" s="22">
        <f t="shared" si="16"/>
        <v>21.282830981754127</v>
      </c>
      <c r="DS13" s="62">
        <f t="shared" si="17"/>
        <v>290.17171987064296</v>
      </c>
      <c r="DT13" s="62">
        <f ca="1">AVERAGE(OFFSET($DS$3,0,0,'Données projet'!$E$14+1,1))-AVERAGE(OFFSET($H$3,0,0,'Données projet'!$E$14+1,1))</f>
        <v>524.51242549438939</v>
      </c>
      <c r="DU13" s="62">
        <f t="shared" si="44"/>
        <v>494.88778446576327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279.72268788563707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3.4</v>
      </c>
      <c r="N14" s="14">
        <f>IF('Données projet'!$A$36&gt;35,N13+M14-V13,IF(A14&lt;'Données projet'!$A$36,$K$205^A14,IF(A14='Données projet'!$A$36,'Données projet'!$B$36,N13+M14-V13)))</f>
        <v>7.0622701644460699</v>
      </c>
      <c r="O14" s="14">
        <f>N14*VLOOKUP('Données projet'!$B$9,Paramètres!$A$1:$I$89,3,0)*VLOOKUP('Données projet'!$B$9,Paramètres!$A$1:$I$89,5,0)</f>
        <v>6.3899420447908035</v>
      </c>
      <c r="P14" s="14">
        <f t="shared" si="33"/>
        <v>2.3729530342767151</v>
      </c>
      <c r="Q14" s="22">
        <f t="shared" si="2"/>
        <v>15.262042262709263</v>
      </c>
      <c r="R14" s="62">
        <f t="shared" si="0"/>
        <v>285.3731533738204</v>
      </c>
      <c r="S14" s="62">
        <f ca="1">AVERAGE(OFFSET($R$3,0,0,'Données projet'!$E$9+1,1))-AVERAGE(OFFSET($H$3,0,0,'Données projet'!$E$9+1,1))</f>
        <v>299.17641394512162</v>
      </c>
      <c r="T14" s="62">
        <f t="shared" si="34"/>
        <v>180.73046320039873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4.45</v>
      </c>
      <c r="AI14" s="14">
        <f>IF('Données projet'!$A$62&gt;35,AI13+AH14-AQ13,IF(A14&lt;'Données projet'!$A$62,$AF$205^A14,IF(A14='Données projet'!$A$62,'Données projet'!$B$62,AI13+AH14-AQ13)))</f>
        <v>7.95008933142541</v>
      </c>
      <c r="AJ14" s="14">
        <f>AI14*VLOOKUP('Données projet'!$B$10,Paramètres!$A$1:$I$89,3,0)*VLOOKUP('Données projet'!$B$10,Paramètres!$A$1:$I$89,5,0)</f>
        <v>8.061390582065366</v>
      </c>
      <c r="AK14" s="14">
        <f t="shared" si="35"/>
        <v>2.9137743021270888</v>
      </c>
      <c r="AL14" s="22">
        <f t="shared" si="4"/>
        <v>19.115078839968529</v>
      </c>
      <c r="AM14" s="62">
        <f t="shared" si="5"/>
        <v>289.22618995107968</v>
      </c>
      <c r="AN14" s="62">
        <f ca="1">AVERAGE(OFFSET($AM$3,0,0,'Données projet'!$E$10+1,1))-AVERAGE(OFFSET($H$3,0,0,'Données projet'!$E$10+1,1))</f>
        <v>384.66322295929552</v>
      </c>
      <c r="AO14" s="62">
        <f t="shared" si="36"/>
        <v>248.53970183513286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3.48</v>
      </c>
      <c r="BD14" s="13">
        <f>IF('Données projet'!$A$88&gt;35,BD13+BC14-BL13,IF(A14&lt;'Données projet'!$A$88,$BA$205^A14,IF(A14='Données projet'!$A$88,'Données projet'!$B$88,BD13+BC14-BL13)))</f>
        <v>7.1349095379006924</v>
      </c>
      <c r="BE14" s="14">
        <f>BD14*VLOOKUP('Données projet'!$B$11,Paramètres!$A$1:$I$89,3,0)*VLOOKUP('Données projet'!$B$11,Paramètres!$A$1:$I$89,5,0)</f>
        <v>4.2666759036646145</v>
      </c>
      <c r="BF14" s="14">
        <f t="shared" si="37"/>
        <v>1.6607309681165849</v>
      </c>
      <c r="BG14" s="22">
        <f t="shared" si="7"/>
        <v>10.323566968352257</v>
      </c>
      <c r="BH14" s="62">
        <f t="shared" si="8"/>
        <v>280.43467807946342</v>
      </c>
      <c r="BI14" s="62">
        <f ca="1">AVERAGE(OFFSET($BH$3,0,0,'Données projet'!$E$11+1,1))-AVERAGE(OFFSET($H$3,0,0,'Données projet'!$E$11+1,1))</f>
        <v>146.25807703055079</v>
      </c>
      <c r="BJ14" s="62">
        <f t="shared" si="38"/>
        <v>177.40137940534413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4.7759999999999998</v>
      </c>
      <c r="BY14" s="13">
        <f>IF('Données projet'!$A$114&gt;35,BY13+BX14-CG13,IF(A14&lt;'Données projet'!$A$114,$BV$205^A14,IF(A14='Données projet'!$A$114,'Données projet'!$B$114,BY13+BX14-CG13)))</f>
        <v>8.2012849927153741</v>
      </c>
      <c r="BZ14" s="14">
        <f>BY14*VLOOKUP('Données projet'!$B$12,Paramètres!$A$1:$I$89,3,0)*VLOOKUP('Données projet'!$B$12,Paramètres!$A$1:$I$89,5,0)</f>
        <v>3.8382013765907952</v>
      </c>
      <c r="CA14" s="14">
        <f t="shared" si="39"/>
        <v>1.512472025825246</v>
      </c>
      <c r="CB14" s="22">
        <f t="shared" si="10"/>
        <v>9.319089509207938</v>
      </c>
      <c r="CC14" s="62">
        <f t="shared" si="11"/>
        <v>279.43020062031906</v>
      </c>
      <c r="CD14" s="62">
        <f ca="1">AVERAGE(OFFSET($CC$3,0,0,'Données projet'!$E$12+1,1))-AVERAGE(OFFSET($H$3,0,0,'Données projet'!$E$12+1,1))</f>
        <v>287.12723448949828</v>
      </c>
      <c r="CE14" s="62">
        <f t="shared" si="40"/>
        <v>170.5203352323382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8.1</v>
      </c>
      <c r="CT14" s="13">
        <f>IF('Données projet'!$A$140&gt;35,CT13+CS14-DB13,IF(A14&lt;'Données projet'!$A$140,$CQ$205^A14,IF(A14='Données projet'!$A$140,'Données projet'!$B$140,CT13+CS14-DB13)))</f>
        <v>10.347299316733904</v>
      </c>
      <c r="CU14" s="18">
        <f>CT14*VLOOKUP('Données projet'!$B$13,Paramètres!$A$1:$I$89,3,0)*VLOOKUP('Données projet'!$B$13,Paramètres!$A$1:$I$89,5,0)</f>
        <v>10.007907899145033</v>
      </c>
      <c r="CV14" s="14">
        <f t="shared" si="41"/>
        <v>3.5274056380256447</v>
      </c>
      <c r="CW14" s="22">
        <f t="shared" si="13"/>
        <v>23.574004410572261</v>
      </c>
      <c r="CX14" s="62">
        <f t="shared" si="14"/>
        <v>293.68511552168343</v>
      </c>
      <c r="CY14" s="62">
        <f ca="1">AVERAGE(OFFSET($CX$3,0,0,'Données projet'!$E$13+1,1))-AVERAGE(OFFSET($H$3,0,0,'Données projet'!$E$13+1,1))</f>
        <v>467.37715054082025</v>
      </c>
      <c r="CZ14" s="62">
        <f t="shared" si="42"/>
        <v>443.35096563136415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8.1</v>
      </c>
      <c r="DO14" s="13">
        <f>IF('Données projet'!$A$166&gt;35,DO13+DN14-DW13,IF(A14&lt;'Données projet'!$A$166,$DL$205^A14,IF(A14='Données projet'!$A$166,'Données projet'!$B$166,DO13+DN14-DW13)))</f>
        <v>10.347299316733904</v>
      </c>
      <c r="DP14" s="18">
        <f>DO14*VLOOKUP('Données projet'!$B$14,Paramètres!$A$1:$I$89,3,0)*VLOOKUP('Données projet'!$B$14,Paramètres!$A$1:$I$89,5,0)</f>
        <v>11.137832984532375</v>
      </c>
      <c r="DQ14" s="14">
        <f t="shared" si="43"/>
        <v>3.8770835896104527</v>
      </c>
      <c r="DR14" s="22">
        <f t="shared" si="16"/>
        <v>26.150979699965422</v>
      </c>
      <c r="DS14" s="62">
        <f t="shared" si="17"/>
        <v>296.26209081107658</v>
      </c>
      <c r="DT14" s="62">
        <f ca="1">AVERAGE(OFFSET($DS$3,0,0,'Données projet'!$E$14+1,1))-AVERAGE(OFFSET($H$3,0,0,'Données projet'!$E$14+1,1))</f>
        <v>524.51242549438939</v>
      </c>
      <c r="DU14" s="62">
        <f t="shared" si="44"/>
        <v>494.88778446576327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281.75250661735487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3.4</v>
      </c>
      <c r="N15" s="14">
        <f>IF('Données projet'!$A$36&gt;35,N14+M15-V14,IF(A15&lt;'Données projet'!$A$36,$K$205^A15,IF(A15='Données projet'!$A$36,'Données projet'!$B$36,N14+M15-V14)))</f>
        <v>8.4356991818116231</v>
      </c>
      <c r="O15" s="14">
        <f>N15*VLOOKUP('Données projet'!$B$9,Paramètres!$A$1:$I$89,3,0)*VLOOKUP('Données projet'!$B$9,Paramètres!$A$1:$I$89,5,0)</f>
        <v>7.6326206197031565</v>
      </c>
      <c r="P15" s="14">
        <f t="shared" si="33"/>
        <v>2.7764031292149749</v>
      </c>
      <c r="Q15" s="22">
        <f t="shared" si="2"/>
        <v>18.129049696032411</v>
      </c>
      <c r="R15" s="62">
        <f t="shared" si="0"/>
        <v>289.4623830293657</v>
      </c>
      <c r="S15" s="62">
        <f ca="1">AVERAGE(OFFSET($R$3,0,0,'Données projet'!$E$9+1,1))-AVERAGE(OFFSET($H$3,0,0,'Données projet'!$E$9+1,1))</f>
        <v>299.17641394512162</v>
      </c>
      <c r="T15" s="62">
        <f t="shared" si="34"/>
        <v>180.73046320039873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4.45</v>
      </c>
      <c r="AI15" s="14">
        <f>IF('Données projet'!$A$62&gt;35,AI14+AH15-AQ14,IF(A15&lt;'Données projet'!$A$62,$AF$205^A15,IF(A15='Données projet'!$A$62,'Données projet'!$B$62,AI14+AH15-AQ14)))</f>
        <v>9.5989561875844061</v>
      </c>
      <c r="AJ15" s="14">
        <f>AI15*VLOOKUP('Données projet'!$B$10,Paramètres!$A$1:$I$89,3,0)*VLOOKUP('Données projet'!$B$10,Paramètres!$A$1:$I$89,5,0)</f>
        <v>9.7333415742105878</v>
      </c>
      <c r="AK15" s="14">
        <f t="shared" si="35"/>
        <v>3.4417580481974439</v>
      </c>
      <c r="AL15" s="22">
        <f t="shared" si="4"/>
        <v>22.946631842360656</v>
      </c>
      <c r="AM15" s="62">
        <f t="shared" si="5"/>
        <v>294.27996517569397</v>
      </c>
      <c r="AN15" s="62">
        <f ca="1">AVERAGE(OFFSET($AM$3,0,0,'Données projet'!$E$10+1,1))-AVERAGE(OFFSET($H$3,0,0,'Données projet'!$E$10+1,1))</f>
        <v>384.66322295929552</v>
      </c>
      <c r="AO15" s="62">
        <f t="shared" si="36"/>
        <v>248.53970183513286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3.48</v>
      </c>
      <c r="BD15" s="13">
        <f>IF('Données projet'!$A$88&gt;35,BD14+BC15-BL14,IF(A15&lt;'Données projet'!$A$88,$BA$205^A15,IF(A15='Données projet'!$A$88,'Données projet'!$B$88,BD14+BC15-BL14)))</f>
        <v>8.5303969566299376</v>
      </c>
      <c r="BE15" s="14">
        <f>BD15*VLOOKUP('Données projet'!$B$11,Paramètres!$A$1:$I$89,3,0)*VLOOKUP('Données projet'!$B$11,Paramètres!$A$1:$I$89,5,0)</f>
        <v>5.1011773800647031</v>
      </c>
      <c r="BF15" s="14">
        <f t="shared" si="37"/>
        <v>1.9446867385567748</v>
      </c>
      <c r="BG15" s="22">
        <f t="shared" si="7"/>
        <v>12.271546673265739</v>
      </c>
      <c r="BH15" s="62">
        <f t="shared" si="8"/>
        <v>283.60488000659905</v>
      </c>
      <c r="BI15" s="62">
        <f ca="1">AVERAGE(OFFSET($BH$3,0,0,'Données projet'!$E$11+1,1))-AVERAGE(OFFSET($H$3,0,0,'Données projet'!$E$11+1,1))</f>
        <v>146.25807703055079</v>
      </c>
      <c r="BJ15" s="62">
        <f t="shared" si="38"/>
        <v>177.40137940534413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4.7759999999999998</v>
      </c>
      <c r="BY15" s="13">
        <f>IF('Données projet'!$A$114&gt;35,BY14+BX15-CG14,IF(A15&lt;'Données projet'!$A$114,$BV$205^A15,IF(A15='Données projet'!$A$114,'Données projet'!$B$114,BY14+BX15-CG14)))</f>
        <v>9.9302933206738881</v>
      </c>
      <c r="BZ15" s="14">
        <f>BY15*VLOOKUP('Données projet'!$B$12,Paramètres!$A$1:$I$89,3,0)*VLOOKUP('Données projet'!$B$12,Paramètres!$A$1:$I$89,5,0)</f>
        <v>4.6473772740753798</v>
      </c>
      <c r="CA15" s="14">
        <f t="shared" si="39"/>
        <v>1.7910057978879028</v>
      </c>
      <c r="CB15" s="22">
        <f t="shared" si="10"/>
        <v>11.213517183669381</v>
      </c>
      <c r="CC15" s="62">
        <f t="shared" si="11"/>
        <v>282.54685051700267</v>
      </c>
      <c r="CD15" s="62">
        <f ca="1">AVERAGE(OFFSET($CC$3,0,0,'Données projet'!$E$12+1,1))-AVERAGE(OFFSET($H$3,0,0,'Données projet'!$E$12+1,1))</f>
        <v>287.12723448949828</v>
      </c>
      <c r="CE15" s="62">
        <f t="shared" si="40"/>
        <v>170.5203352323382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8.1</v>
      </c>
      <c r="CT15" s="13">
        <f>IF('Données projet'!$A$140&gt;35,CT14+CS15-DB14,IF(A15&lt;'Données projet'!$A$140,$CQ$205^A15,IF(A15='Données projet'!$A$140,'Données projet'!$B$140,CT14+CS15-DB14)))</f>
        <v>12.796288213377137</v>
      </c>
      <c r="CU15" s="18">
        <f>CT15*VLOOKUP('Données projet'!$B$13,Paramètres!$A$1:$I$89,3,0)*VLOOKUP('Données projet'!$B$13,Paramètres!$A$1:$I$89,5,0)</f>
        <v>12.376569959978367</v>
      </c>
      <c r="CV15" s="14">
        <f t="shared" si="41"/>
        <v>4.2557263161450392</v>
      </c>
      <c r="CW15" s="22">
        <f t="shared" si="13"/>
        <v>28.967916014248264</v>
      </c>
      <c r="CX15" s="62">
        <f t="shared" si="14"/>
        <v>300.30124934758157</v>
      </c>
      <c r="CY15" s="62">
        <f ca="1">AVERAGE(OFFSET($CX$3,0,0,'Données projet'!$E$13+1,1))-AVERAGE(OFFSET($H$3,0,0,'Données projet'!$E$13+1,1))</f>
        <v>467.37715054082025</v>
      </c>
      <c r="CZ15" s="62">
        <f t="shared" si="42"/>
        <v>443.35096563136415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8.1</v>
      </c>
      <c r="DO15" s="13">
        <f>IF('Données projet'!$A$166&gt;35,DO14+DN15-DW14,IF(A15&lt;'Données projet'!$A$166,$DL$205^A15,IF(A15='Données projet'!$A$166,'Données projet'!$B$166,DO14+DN15-DW14)))</f>
        <v>12.796288213377137</v>
      </c>
      <c r="DP15" s="18">
        <f>DO15*VLOOKUP('Données projet'!$B$14,Paramètres!$A$1:$I$89,3,0)*VLOOKUP('Données projet'!$B$14,Paramètres!$A$1:$I$89,5,0)</f>
        <v>13.773924632879149</v>
      </c>
      <c r="DQ15" s="14">
        <f t="shared" si="43"/>
        <v>4.6776039830322818</v>
      </c>
      <c r="DR15" s="22">
        <f t="shared" si="16"/>
        <v>32.136412339379071</v>
      </c>
      <c r="DS15" s="62">
        <f t="shared" si="17"/>
        <v>303.46974567271241</v>
      </c>
      <c r="DT15" s="62">
        <f ca="1">AVERAGE(OFFSET($DS$3,0,0,'Données projet'!$E$14+1,1))-AVERAGE(OFFSET($H$3,0,0,'Données projet'!$E$14+1,1))</f>
        <v>524.51242549438939</v>
      </c>
      <c r="DU15" s="62">
        <f t="shared" si="44"/>
        <v>494.88778446576327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283.77767528482127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3.4</v>
      </c>
      <c r="N16" s="14">
        <f>IF('Données projet'!$A$36&gt;35,N15+M16-V15,IF(A16&lt;'Données projet'!$A$36,$K$205^A16,IF(A16='Données projet'!$A$36,'Données projet'!$B$36,N15+M16-V15)))</f>
        <v>10.076224645761455</v>
      </c>
      <c r="O16" s="14">
        <f>N16*VLOOKUP('Données projet'!$B$9,Paramètres!$A$1:$I$89,3,0)*VLOOKUP('Données projet'!$B$9,Paramètres!$A$1:$I$89,5,0)</f>
        <v>9.1169680594849627</v>
      </c>
      <c r="P16" s="14">
        <f t="shared" si="33"/>
        <v>3.2484479147157894</v>
      </c>
      <c r="Q16" s="22">
        <f t="shared" si="2"/>
        <v>21.536432821732976</v>
      </c>
      <c r="R16" s="62">
        <f t="shared" si="0"/>
        <v>294.09198837728854</v>
      </c>
      <c r="S16" s="62">
        <f ca="1">AVERAGE(OFFSET($R$3,0,0,'Données projet'!$E$9+1,1))-AVERAGE(OFFSET($H$3,0,0,'Données projet'!$E$9+1,1))</f>
        <v>299.17641394512162</v>
      </c>
      <c r="T16" s="62">
        <f t="shared" si="34"/>
        <v>180.73046320039873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4.45</v>
      </c>
      <c r="AI16" s="14">
        <f>IF('Données projet'!$A$62&gt;35,AI15+AH16-AQ15,IF(A16&lt;'Données projet'!$A$62,$AF$205^A16,IF(A16='Données projet'!$A$62,'Données projet'!$B$62,AI15+AH16-AQ15)))</f>
        <v>11.58980183115059</v>
      </c>
      <c r="AJ16" s="14">
        <f>AI16*VLOOKUP('Données projet'!$B$10,Paramètres!$A$1:$I$89,3,0)*VLOOKUP('Données projet'!$B$10,Paramètres!$A$1:$I$89,5,0)</f>
        <v>11.752059056786699</v>
      </c>
      <c r="AK16" s="14">
        <f t="shared" si="35"/>
        <v>4.0654138701423754</v>
      </c>
      <c r="AL16" s="22">
        <f t="shared" si="4"/>
        <v>27.5487653477348</v>
      </c>
      <c r="AM16" s="62">
        <f t="shared" si="5"/>
        <v>300.10432090329033</v>
      </c>
      <c r="AN16" s="62">
        <f ca="1">AVERAGE(OFFSET($AM$3,0,0,'Données projet'!$E$10+1,1))-AVERAGE(OFFSET($H$3,0,0,'Données projet'!$E$10+1,1))</f>
        <v>384.66322295929552</v>
      </c>
      <c r="AO16" s="62">
        <f t="shared" si="36"/>
        <v>248.53970183513286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3.48</v>
      </c>
      <c r="BD16" s="13">
        <f>IF('Données projet'!$A$88&gt;35,BD15+BC16-BL15,IF(A16&lt;'Données projet'!$A$88,$BA$205^A16,IF(A16='Données projet'!$A$88,'Données projet'!$B$88,BD15+BC16-BL15)))</f>
        <v>10.198821982414616</v>
      </c>
      <c r="BE16" s="14">
        <f>BD16*VLOOKUP('Données projet'!$B$11,Paramètres!$A$1:$I$89,3,0)*VLOOKUP('Données projet'!$B$11,Paramètres!$A$1:$I$89,5,0)</f>
        <v>6.0988955454839404</v>
      </c>
      <c r="BF16" s="14">
        <f t="shared" si="37"/>
        <v>2.2771939487631081</v>
      </c>
      <c r="BG16" s="22">
        <f t="shared" si="7"/>
        <v>14.588355869146943</v>
      </c>
      <c r="BH16" s="62">
        <f t="shared" si="8"/>
        <v>287.14391142470248</v>
      </c>
      <c r="BI16" s="62">
        <f ca="1">AVERAGE(OFFSET($BH$3,0,0,'Données projet'!$E$11+1,1))-AVERAGE(OFFSET($H$3,0,0,'Données projet'!$E$11+1,1))</f>
        <v>146.25807703055079</v>
      </c>
      <c r="BJ16" s="62">
        <f t="shared" si="38"/>
        <v>177.40137940534413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4.7759999999999998</v>
      </c>
      <c r="BY16" s="13">
        <f>IF('Données projet'!$A$114&gt;35,BY15+BX16-CG15,IF(A16&lt;'Données projet'!$A$114,$BV$205^A16,IF(A16='Données projet'!$A$114,'Données projet'!$B$114,BY15+BX16-CG15)))</f>
        <v>12.023814014780541</v>
      </c>
      <c r="BZ16" s="14">
        <f>BY16*VLOOKUP('Données projet'!$B$12,Paramètres!$A$1:$I$89,3,0)*VLOOKUP('Données projet'!$B$12,Paramètres!$A$1:$I$89,5,0)</f>
        <v>5.6271449589172935</v>
      </c>
      <c r="CA16" s="14">
        <f t="shared" si="39"/>
        <v>2.1208337829044304</v>
      </c>
      <c r="CB16" s="22">
        <f t="shared" si="10"/>
        <v>13.494396308672835</v>
      </c>
      <c r="CC16" s="62">
        <f t="shared" si="11"/>
        <v>286.04995186422838</v>
      </c>
      <c r="CD16" s="62">
        <f ca="1">AVERAGE(OFFSET($CC$3,0,0,'Données projet'!$E$12+1,1))-AVERAGE(OFFSET($H$3,0,0,'Données projet'!$E$12+1,1))</f>
        <v>287.12723448949828</v>
      </c>
      <c r="CE16" s="62">
        <f t="shared" si="40"/>
        <v>170.5203352323382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8.1</v>
      </c>
      <c r="CT16" s="13">
        <f>IF('Données projet'!$A$140&gt;35,CT15+CS16-DB15,IF(A16&lt;'Données projet'!$A$140,$CQ$205^A16,IF(A16='Données projet'!$A$140,'Données projet'!$B$140,CT15+CS16-DB15)))</f>
        <v>15.824901457620179</v>
      </c>
      <c r="CU16" s="18">
        <f>CT16*VLOOKUP('Données projet'!$B$13,Paramètres!$A$1:$I$89,3,0)*VLOOKUP('Données projet'!$B$13,Paramètres!$A$1:$I$89,5,0)</f>
        <v>15.305844689810238</v>
      </c>
      <c r="CV16" s="14">
        <f t="shared" si="41"/>
        <v>5.1344269234843694</v>
      </c>
      <c r="CW16" s="22">
        <f t="shared" si="13"/>
        <v>35.600139726488102</v>
      </c>
      <c r="CX16" s="62">
        <f t="shared" si="14"/>
        <v>308.15569528204367</v>
      </c>
      <c r="CY16" s="62">
        <f ca="1">AVERAGE(OFFSET($CX$3,0,0,'Données projet'!$E$13+1,1))-AVERAGE(OFFSET($H$3,0,0,'Données projet'!$E$13+1,1))</f>
        <v>467.37715054082025</v>
      </c>
      <c r="CZ16" s="62">
        <f t="shared" si="42"/>
        <v>443.35096563136415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8.1</v>
      </c>
      <c r="DO16" s="13">
        <f>IF('Données projet'!$A$166&gt;35,DO15+DN16-DW15,IF(A16&lt;'Données projet'!$A$166,$DL$205^A16,IF(A16='Données projet'!$A$166,'Données projet'!$B$166,DO15+DN16-DW15)))</f>
        <v>15.824901457620179</v>
      </c>
      <c r="DP16" s="18">
        <f>DO16*VLOOKUP('Données projet'!$B$14,Paramètres!$A$1:$I$89,3,0)*VLOOKUP('Données projet'!$B$14,Paramètres!$A$1:$I$89,5,0)</f>
        <v>17.033923928982361</v>
      </c>
      <c r="DQ16" s="14">
        <f t="shared" si="43"/>
        <v>5.6434117336835214</v>
      </c>
      <c r="DR16" s="22">
        <f t="shared" si="16"/>
        <v>39.496359612476404</v>
      </c>
      <c r="DS16" s="62">
        <f t="shared" si="17"/>
        <v>312.05191516803194</v>
      </c>
      <c r="DT16" s="62">
        <f ca="1">AVERAGE(OFFSET($DS$3,0,0,'Données projet'!$E$14+1,1))-AVERAGE(OFFSET($H$3,0,0,'Données projet'!$E$14+1,1))</f>
        <v>524.51242549438939</v>
      </c>
      <c r="DU16" s="62">
        <f t="shared" si="44"/>
        <v>494.88778446576327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285.79859225515048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3.4</v>
      </c>
      <c r="N17" s="14">
        <f>IF('Données projet'!$A$36&gt;35,N16+M17-V16,IF(A17&lt;'Données projet'!$A$36,$K$205^A17,IF(A17='Données projet'!$A$36,'Données projet'!$B$36,N16+M17-V16)))</f>
        <v>12.035789911850109</v>
      </c>
      <c r="O17" s="14">
        <f>N17*VLOOKUP('Données projet'!$B$9,Paramètres!$A$1:$I$89,3,0)*VLOOKUP('Données projet'!$B$9,Paramètres!$A$1:$I$89,5,0)</f>
        <v>10.889982712241979</v>
      </c>
      <c r="P17" s="14">
        <f t="shared" si="33"/>
        <v>3.8007498779923399</v>
      </c>
      <c r="Q17" s="22">
        <f t="shared" si="2"/>
        <v>25.586359261324773</v>
      </c>
      <c r="R17" s="62">
        <f t="shared" si="0"/>
        <v>299.36413703910256</v>
      </c>
      <c r="S17" s="62">
        <f ca="1">AVERAGE(OFFSET($R$3,0,0,'Données projet'!$E$9+1,1))-AVERAGE(OFFSET($H$3,0,0,'Données projet'!$E$9+1,1))</f>
        <v>299.17641394512162</v>
      </c>
      <c r="T17" s="62">
        <f t="shared" si="34"/>
        <v>180.73046320039873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4.45</v>
      </c>
      <c r="AI17" s="14">
        <f>IF('Données projet'!$A$62&gt;35,AI16+AH17-AQ16,IF(A17&lt;'Données projet'!$A$62,$AF$205^A17,IF(A17='Données projet'!$A$62,'Données projet'!$B$62,AI16+AH17-AQ16)))</f>
        <v>13.993553451059586</v>
      </c>
      <c r="AJ17" s="14">
        <f>AI17*VLOOKUP('Données projet'!$B$10,Paramètres!$A$1:$I$89,3,0)*VLOOKUP('Données projet'!$B$10,Paramètres!$A$1:$I$89,5,0)</f>
        <v>14.189463199374421</v>
      </c>
      <c r="AK17" s="14">
        <f t="shared" si="35"/>
        <v>4.8020778056150721</v>
      </c>
      <c r="AL17" s="22">
        <f t="shared" si="4"/>
        <v>33.076933917023361</v>
      </c>
      <c r="AM17" s="62">
        <f t="shared" si="5"/>
        <v>306.85471169480115</v>
      </c>
      <c r="AN17" s="62">
        <f ca="1">AVERAGE(OFFSET($AM$3,0,0,'Données projet'!$E$10+1,1))-AVERAGE(OFFSET($H$3,0,0,'Données projet'!$E$10+1,1))</f>
        <v>384.66322295929552</v>
      </c>
      <c r="AO17" s="62">
        <f t="shared" si="36"/>
        <v>248.53970183513286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3.48</v>
      </c>
      <c r="BD17" s="13">
        <f>IF('Données projet'!$A$88&gt;35,BD16+BC17-BL16,IF(A17&lt;'Données projet'!$A$88,$BA$205^A17,IF(A17='Données projet'!$A$88,'Données projet'!$B$88,BD16+BC17-BL16)))</f>
        <v>12.193567351885193</v>
      </c>
      <c r="BE17" s="14">
        <f>BD17*VLOOKUP('Données projet'!$B$11,Paramètres!$A$1:$I$89,3,0)*VLOOKUP('Données projet'!$B$11,Paramètres!$A$1:$I$89,5,0)</f>
        <v>7.2917532764273458</v>
      </c>
      <c r="BF17" s="14">
        <f t="shared" si="37"/>
        <v>2.6665540405401003</v>
      </c>
      <c r="BG17" s="22">
        <f t="shared" si="7"/>
        <v>17.344051910384966</v>
      </c>
      <c r="BH17" s="62">
        <f t="shared" si="8"/>
        <v>291.12182968816273</v>
      </c>
      <c r="BI17" s="62">
        <f ca="1">AVERAGE(OFFSET($BH$3,0,0,'Données projet'!$E$11+1,1))-AVERAGE(OFFSET($H$3,0,0,'Données projet'!$E$11+1,1))</f>
        <v>146.25807703055079</v>
      </c>
      <c r="BJ17" s="62">
        <f t="shared" si="38"/>
        <v>177.40137940534413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4.7759999999999998</v>
      </c>
      <c r="BY17" s="13">
        <f>IF('Données projet'!$A$114&gt;35,BY16+BX17-CG16,IF(A17&lt;'Données projet'!$A$114,$BV$205^A17,IF(A17='Données projet'!$A$114,'Données projet'!$B$114,BY16+BX17-CG16)))</f>
        <v>14.558694168786344</v>
      </c>
      <c r="BZ17" s="14">
        <f>BY17*VLOOKUP('Données projet'!$B$12,Paramètres!$A$1:$I$89,3,0)*VLOOKUP('Données projet'!$B$12,Paramètres!$A$1:$I$89,5,0)</f>
        <v>6.8134688709920086</v>
      </c>
      <c r="CA17" s="14">
        <f t="shared" si="39"/>
        <v>2.5114022188052325</v>
      </c>
      <c r="CB17" s="22">
        <f t="shared" si="10"/>
        <v>16.240817148063527</v>
      </c>
      <c r="CC17" s="62">
        <f t="shared" si="11"/>
        <v>290.01859492584128</v>
      </c>
      <c r="CD17" s="62">
        <f ca="1">AVERAGE(OFFSET($CC$3,0,0,'Données projet'!$E$12+1,1))-AVERAGE(OFFSET($H$3,0,0,'Données projet'!$E$12+1,1))</f>
        <v>287.12723448949828</v>
      </c>
      <c r="CE17" s="62">
        <f t="shared" si="40"/>
        <v>170.5203352323382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8.1</v>
      </c>
      <c r="CT17" s="13">
        <f>IF('Données projet'!$A$140&gt;35,CT16+CS17-DB16,IF(A17&lt;'Données projet'!$A$140,$CQ$205^A17,IF(A17='Données projet'!$A$140,'Données projet'!$B$140,CT16+CS17-DB16)))</f>
        <v>19.570323985168944</v>
      </c>
      <c r="CU17" s="18">
        <f>CT17*VLOOKUP('Données projet'!$B$13,Paramètres!$A$1:$I$89,3,0)*VLOOKUP('Données projet'!$B$13,Paramètres!$A$1:$I$89,5,0)</f>
        <v>18.928417358455402</v>
      </c>
      <c r="CV17" s="14">
        <f t="shared" si="41"/>
        <v>6.1945571388342788</v>
      </c>
      <c r="CW17" s="22">
        <f t="shared" si="13"/>
        <v>43.755847249446198</v>
      </c>
      <c r="CX17" s="62">
        <f t="shared" si="14"/>
        <v>317.53362502722399</v>
      </c>
      <c r="CY17" s="62">
        <f ca="1">AVERAGE(OFFSET($CX$3,0,0,'Données projet'!$E$13+1,1))-AVERAGE(OFFSET($H$3,0,0,'Données projet'!$E$13+1,1))</f>
        <v>467.37715054082025</v>
      </c>
      <c r="CZ17" s="62">
        <f t="shared" si="42"/>
        <v>443.35096563136415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8.1</v>
      </c>
      <c r="DO17" s="13">
        <f>IF('Données projet'!$A$166&gt;35,DO16+DN17-DW16,IF(A17&lt;'Données projet'!$A$166,$DL$205^A17,IF(A17='Données projet'!$A$166,'Données projet'!$B$166,DO16+DN17-DW16)))</f>
        <v>19.570323985168944</v>
      </c>
      <c r="DP17" s="18">
        <f>DO17*VLOOKUP('Données projet'!$B$14,Paramètres!$A$1:$I$89,3,0)*VLOOKUP('Données projet'!$B$14,Paramètres!$A$1:$I$89,5,0)</f>
        <v>21.065496737635851</v>
      </c>
      <c r="DQ17" s="14">
        <f t="shared" si="43"/>
        <v>6.808634529858419</v>
      </c>
      <c r="DR17" s="22">
        <f t="shared" si="16"/>
        <v>48.547445290885854</v>
      </c>
      <c r="DS17" s="62">
        <f t="shared" si="17"/>
        <v>322.3252230686636</v>
      </c>
      <c r="DT17" s="62">
        <f ca="1">AVERAGE(OFFSET($DS$3,0,0,'Données projet'!$E$14+1,1))-AVERAGE(OFFSET($H$3,0,0,'Données projet'!$E$14+1,1))</f>
        <v>524.51242549438939</v>
      </c>
      <c r="DU17" s="62">
        <f t="shared" si="44"/>
        <v>494.88778446576327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287.81559576110328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3.4</v>
      </c>
      <c r="N18" s="14">
        <f>IF('Données projet'!$A$36&gt;35,N17+M18-V17,IF(A18&lt;'Données projet'!$A$36,$K$205^A18,IF(A18='Données projet'!$A$36,'Données projet'!$B$36,N17+M18-V17)))</f>
        <v>14.376439975772879</v>
      </c>
      <c r="O18" s="14">
        <f>N18*VLOOKUP('Données projet'!$B$9,Paramètres!$A$1:$I$89,3,0)*VLOOKUP('Données projet'!$B$9,Paramètres!$A$1:$I$89,5,0)</f>
        <v>13.007802890079301</v>
      </c>
      <c r="P18" s="14">
        <f t="shared" si="33"/>
        <v>4.4469543653811838</v>
      </c>
      <c r="Q18" s="22">
        <f t="shared" si="2"/>
        <v>30.400368886593679</v>
      </c>
      <c r="R18" s="62">
        <f t="shared" si="0"/>
        <v>305.4003688865937</v>
      </c>
      <c r="S18" s="62">
        <f ca="1">AVERAGE(OFFSET($R$3,0,0,'Données projet'!$E$9+1,1))-AVERAGE(OFFSET($H$3,0,0,'Données projet'!$E$9+1,1))</f>
        <v>299.17641394512162</v>
      </c>
      <c r="T18" s="62">
        <f t="shared" si="34"/>
        <v>180.73046320039873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4.45</v>
      </c>
      <c r="AI18" s="14">
        <f>IF('Données projet'!$A$62&gt;35,AI17+AH18-AQ17,IF(A18&lt;'Données projet'!$A$62,$AF$205^A18,IF(A18='Données projet'!$A$62,'Données projet'!$B$62,AI17+AH18-AQ17)))</f>
        <v>16.895848698753934</v>
      </c>
      <c r="AJ18" s="14">
        <f>AI18*VLOOKUP('Données projet'!$B$10,Paramètres!$A$1:$I$89,3,0)*VLOOKUP('Données projet'!$B$10,Paramètres!$A$1:$I$89,5,0)</f>
        <v>17.132390580536491</v>
      </c>
      <c r="AK18" s="14">
        <f t="shared" si="35"/>
        <v>5.6722272289520417</v>
      </c>
      <c r="AL18" s="22">
        <f t="shared" si="4"/>
        <v>39.718042684859192</v>
      </c>
      <c r="AM18" s="62">
        <f t="shared" si="5"/>
        <v>314.7180426848592</v>
      </c>
      <c r="AN18" s="62">
        <f ca="1">AVERAGE(OFFSET($AM$3,0,0,'Données projet'!$E$10+1,1))-AVERAGE(OFFSET($H$3,0,0,'Données projet'!$E$10+1,1))</f>
        <v>384.66322295929552</v>
      </c>
      <c r="AO18" s="62">
        <f t="shared" si="36"/>
        <v>248.53970183513286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3.48</v>
      </c>
      <c r="BD18" s="13">
        <f>IF('Données projet'!$A$88&gt;35,BD17+BC18-BL17,IF(A18&lt;'Données projet'!$A$88,$BA$205^A18,IF(A18='Données projet'!$A$88,'Données projet'!$B$88,BD17+BC18-BL17)))</f>
        <v>14.578456710130661</v>
      </c>
      <c r="BE18" s="14">
        <f>BD18*VLOOKUP('Données projet'!$B$11,Paramètres!$A$1:$I$89,3,0)*VLOOKUP('Données projet'!$B$11,Paramètres!$A$1:$I$89,5,0)</f>
        <v>8.717917112658137</v>
      </c>
      <c r="BF18" s="14">
        <f t="shared" si="37"/>
        <v>3.1224878561542431</v>
      </c>
      <c r="BG18" s="22">
        <f t="shared" si="7"/>
        <v>20.622038654014894</v>
      </c>
      <c r="BH18" s="62">
        <f t="shared" si="8"/>
        <v>295.62203865401489</v>
      </c>
      <c r="BI18" s="62">
        <f ca="1">AVERAGE(OFFSET($BH$3,0,0,'Données projet'!$E$11+1,1))-AVERAGE(OFFSET($H$3,0,0,'Données projet'!$E$11+1,1))</f>
        <v>146.25807703055079</v>
      </c>
      <c r="BJ18" s="62">
        <f t="shared" si="38"/>
        <v>177.40137940534413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4.7759999999999998</v>
      </c>
      <c r="BY18" s="13">
        <f>IF('Données projet'!$A$114&gt;35,BY17+BX18-CG17,IF(A18&lt;'Données projet'!$A$114,$BV$205^A18,IF(A18='Données projet'!$A$114,'Données projet'!$B$114,BY17+BX18-CG17)))</f>
        <v>17.627981906548321</v>
      </c>
      <c r="BZ18" s="14">
        <f>BY18*VLOOKUP('Données projet'!$B$12,Paramètres!$A$1:$I$89,3,0)*VLOOKUP('Données projet'!$B$12,Paramètres!$A$1:$I$89,5,0)</f>
        <v>8.2498955322646133</v>
      </c>
      <c r="CA18" s="14">
        <f t="shared" si="39"/>
        <v>2.9738969434852973</v>
      </c>
      <c r="CB18" s="22">
        <f t="shared" si="10"/>
        <v>19.548105228597759</v>
      </c>
      <c r="CC18" s="62">
        <f t="shared" si="11"/>
        <v>294.54810522859776</v>
      </c>
      <c r="CD18" s="62">
        <f ca="1">AVERAGE(OFFSET($CC$3,0,0,'Données projet'!$E$12+1,1))-AVERAGE(OFFSET($H$3,0,0,'Données projet'!$E$12+1,1))</f>
        <v>287.12723448949828</v>
      </c>
      <c r="CE18" s="62">
        <f t="shared" si="40"/>
        <v>170.5203352323382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8.1</v>
      </c>
      <c r="CT18" s="13">
        <f>IF('Données projet'!$A$140&gt;35,CT17+CS18-DB17,IF(A18&lt;'Données projet'!$A$140,$CQ$205^A18,IF(A18='Données projet'!$A$140,'Données projet'!$B$140,CT17+CS18-DB17)))</f>
        <v>24.20220953098281</v>
      </c>
      <c r="CU18" s="18">
        <f>CT18*VLOOKUP('Données projet'!$B$13,Paramètres!$A$1:$I$89,3,0)*VLOOKUP('Données projet'!$B$13,Paramètres!$A$1:$I$89,5,0)</f>
        <v>23.408377058366575</v>
      </c>
      <c r="CV18" s="14">
        <f t="shared" si="41"/>
        <v>7.4735776198840185</v>
      </c>
      <c r="CW18" s="22">
        <f t="shared" si="13"/>
        <v>53.786071064619783</v>
      </c>
      <c r="CX18" s="62">
        <f t="shared" si="14"/>
        <v>328.78607106461976</v>
      </c>
      <c r="CY18" s="62">
        <f ca="1">AVERAGE(OFFSET($CX$3,0,0,'Données projet'!$E$13+1,1))-AVERAGE(OFFSET($H$3,0,0,'Données projet'!$E$13+1,1))</f>
        <v>467.37715054082025</v>
      </c>
      <c r="CZ18" s="62">
        <f t="shared" si="42"/>
        <v>443.35096563136415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8.1</v>
      </c>
      <c r="DO18" s="13">
        <f>IF('Données projet'!$A$166&gt;35,DO17+DN18-DW17,IF(A18&lt;'Données projet'!$A$166,$DL$205^A18,IF(A18='Données projet'!$A$166,'Données projet'!$B$166,DO17+DN18-DW17)))</f>
        <v>24.20220953098281</v>
      </c>
      <c r="DP18" s="18">
        <f>DO18*VLOOKUP('Données projet'!$B$14,Paramètres!$A$1:$I$89,3,0)*VLOOKUP('Données projet'!$B$14,Paramètres!$A$1:$I$89,5,0)</f>
        <v>26.051258339149896</v>
      </c>
      <c r="DQ18" s="14">
        <f t="shared" si="43"/>
        <v>8.2144465704121625</v>
      </c>
      <c r="DR18" s="22">
        <f t="shared" si="16"/>
        <v>59.679436050820584</v>
      </c>
      <c r="DS18" s="62">
        <f t="shared" si="17"/>
        <v>334.67943605082058</v>
      </c>
      <c r="DT18" s="62">
        <f ca="1">AVERAGE(OFFSET($DS$3,0,0,'Données projet'!$E$14+1,1))-AVERAGE(OFFSET($H$3,0,0,'Données projet'!$E$14+1,1))</f>
        <v>524.51242549438939</v>
      </c>
      <c r="DU18" s="62">
        <f t="shared" si="44"/>
        <v>494.88778446576327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289.82897638635399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3.4</v>
      </c>
      <c r="N19" s="14">
        <f>IF('Données projet'!$A$36&gt;35,N18+M19-V18,IF(A19&lt;'Données projet'!$A$36,$K$205^A19,IF(A19='Données projet'!$A$36,'Données projet'!$B$36,N18+M19-V18)))</f>
        <v>17.17228598128877</v>
      </c>
      <c r="O19" s="14">
        <f>N19*VLOOKUP('Données projet'!$B$9,Paramètres!$A$1:$I$89,3,0)*VLOOKUP('Données projet'!$B$9,Paramètres!$A$1:$I$89,5,0)</f>
        <v>15.537484355870079</v>
      </c>
      <c r="P19" s="14">
        <f t="shared" si="33"/>
        <v>5.203026708568542</v>
      </c>
      <c r="Q19" s="22">
        <f t="shared" si="2"/>
        <v>36.123056770563934</v>
      </c>
      <c r="R19" s="62">
        <f t="shared" si="0"/>
        <v>312.34527899278618</v>
      </c>
      <c r="S19" s="62">
        <f ca="1">AVERAGE(OFFSET($R$3,0,0,'Données projet'!$E$9+1,1))-AVERAGE(OFFSET($H$3,0,0,'Données projet'!$E$9+1,1))</f>
        <v>299.17641394512162</v>
      </c>
      <c r="T19" s="62">
        <f t="shared" si="34"/>
        <v>180.73046320039873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4.45</v>
      </c>
      <c r="AI19" s="14">
        <f>IF('Données projet'!$A$62&gt;35,AI18+AH19-AQ18,IF(A19&lt;'Données projet'!$A$62,$AF$205^A19,IF(A19='Données projet'!$A$62,'Données projet'!$B$62,AI18+AH19-AQ18)))</f>
        <v>20.400086672021779</v>
      </c>
      <c r="AJ19" s="14">
        <f>AI19*VLOOKUP('Données projet'!$B$10,Paramètres!$A$1:$I$89,3,0)*VLOOKUP('Données projet'!$B$10,Paramètres!$A$1:$I$89,5,0)</f>
        <v>20.685687885430085</v>
      </c>
      <c r="AK19" s="14">
        <f t="shared" si="35"/>
        <v>6.7000500698351191</v>
      </c>
      <c r="AL19" s="22">
        <f t="shared" si="4"/>
        <v>47.69682693875356</v>
      </c>
      <c r="AM19" s="62">
        <f t="shared" si="5"/>
        <v>323.91904916097576</v>
      </c>
      <c r="AN19" s="62">
        <f ca="1">AVERAGE(OFFSET($AM$3,0,0,'Données projet'!$E$10+1,1))-AVERAGE(OFFSET($H$3,0,0,'Données projet'!$E$10+1,1))</f>
        <v>384.66322295929552</v>
      </c>
      <c r="AO19" s="62">
        <f t="shared" si="36"/>
        <v>248.53970183513286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3.48</v>
      </c>
      <c r="BD19" s="13">
        <f>IF('Données projet'!$A$88&gt;35,BD18+BC19-BL18,IF(A19&lt;'Données projet'!$A$88,$BA$205^A19,IF(A19='Données projet'!$A$88,'Données projet'!$B$88,BD18+BC19-BL18)))</f>
        <v>17.429796704759678</v>
      </c>
      <c r="BE19" s="14">
        <f>BD19*VLOOKUP('Données projet'!$B$11,Paramètres!$A$1:$I$89,3,0)*VLOOKUP('Données projet'!$B$11,Paramètres!$A$1:$I$89,5,0)</f>
        <v>10.423018429446287</v>
      </c>
      <c r="BF19" s="14">
        <f t="shared" si="37"/>
        <v>3.6563783308347704</v>
      </c>
      <c r="BG19" s="22">
        <f t="shared" si="7"/>
        <v>24.521616024156174</v>
      </c>
      <c r="BH19" s="62">
        <f t="shared" si="8"/>
        <v>300.7438382463784</v>
      </c>
      <c r="BI19" s="62">
        <f ca="1">AVERAGE(OFFSET($BH$3,0,0,'Données projet'!$E$11+1,1))-AVERAGE(OFFSET($H$3,0,0,'Données projet'!$E$11+1,1))</f>
        <v>146.25807703055079</v>
      </c>
      <c r="BJ19" s="62">
        <f t="shared" si="38"/>
        <v>177.40137940534413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4.7759999999999998</v>
      </c>
      <c r="BY19" s="13">
        <f>IF('Données projet'!$A$114&gt;35,BY18+BX19-CG18,IF(A19&lt;'Données projet'!$A$114,$BV$205^A19,IF(A19='Données projet'!$A$114,'Données projet'!$B$114,BY18+BX19-CG18)))</f>
        <v>21.344341909718118</v>
      </c>
      <c r="BZ19" s="14">
        <f>BY19*VLOOKUP('Données projet'!$B$12,Paramètres!$A$1:$I$89,3,0)*VLOOKUP('Données projet'!$B$12,Paramètres!$A$1:$I$89,5,0)</f>
        <v>9.9891520137480789</v>
      </c>
      <c r="CA19" s="14">
        <f t="shared" si="39"/>
        <v>3.5215637559955049</v>
      </c>
      <c r="CB19" s="22">
        <f t="shared" si="10"/>
        <v>23.531163298970075</v>
      </c>
      <c r="CC19" s="62">
        <f t="shared" si="11"/>
        <v>299.75338552119229</v>
      </c>
      <c r="CD19" s="62">
        <f ca="1">AVERAGE(OFFSET($CC$3,0,0,'Données projet'!$E$12+1,1))-AVERAGE(OFFSET($H$3,0,0,'Données projet'!$E$12+1,1))</f>
        <v>287.12723448949828</v>
      </c>
      <c r="CE19" s="62">
        <f t="shared" si="40"/>
        <v>170.5203352323382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8.1</v>
      </c>
      <c r="CT19" s="13">
        <f>IF('Données projet'!$A$140&gt;35,CT18+CS19-DB18,IF(A19&lt;'Données projet'!$A$140,$CQ$205^A19,IF(A19='Données projet'!$A$140,'Données projet'!$B$140,CT18+CS19-DB18)))</f>
        <v>29.930365313599005</v>
      </c>
      <c r="CU19" s="18">
        <f>CT19*VLOOKUP('Données projet'!$B$13,Paramètres!$A$1:$I$89,3,0)*VLOOKUP('Données projet'!$B$13,Paramètres!$A$1:$I$89,5,0)</f>
        <v>28.948649331312961</v>
      </c>
      <c r="CV19" s="14">
        <f t="shared" si="41"/>
        <v>9.0166837093607324</v>
      </c>
      <c r="CW19" s="22">
        <f t="shared" si="13"/>
        <v>66.122955045840015</v>
      </c>
      <c r="CX19" s="62">
        <f t="shared" si="14"/>
        <v>342.34517726806223</v>
      </c>
      <c r="CY19" s="62">
        <f ca="1">AVERAGE(OFFSET($CX$3,0,0,'Données projet'!$E$13+1,1))-AVERAGE(OFFSET($H$3,0,0,'Données projet'!$E$13+1,1))</f>
        <v>467.37715054082025</v>
      </c>
      <c r="CZ19" s="62">
        <f t="shared" si="42"/>
        <v>443.35096563136415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8.1</v>
      </c>
      <c r="DO19" s="13">
        <f>IF('Données projet'!$A$166&gt;35,DO18+DN19-DW18,IF(A19&lt;'Données projet'!$A$166,$DL$205^A19,IF(A19='Données projet'!$A$166,'Données projet'!$B$166,DO18+DN19-DW18)))</f>
        <v>29.930365313599005</v>
      </c>
      <c r="DP19" s="18">
        <f>DO19*VLOOKUP('Données projet'!$B$14,Paramètres!$A$1:$I$89,3,0)*VLOOKUP('Données projet'!$B$14,Paramètres!$A$1:$I$89,5,0)</f>
        <v>32.217045223557967</v>
      </c>
      <c r="DQ19" s="14">
        <f t="shared" si="43"/>
        <v>9.9105234922279308</v>
      </c>
      <c r="DR19" s="22">
        <f t="shared" si="16"/>
        <v>73.372182179993771</v>
      </c>
      <c r="DS19" s="62">
        <f t="shared" si="17"/>
        <v>349.59440440221601</v>
      </c>
      <c r="DT19" s="62">
        <f ca="1">AVERAGE(OFFSET($DS$3,0,0,'Données projet'!$E$14+1,1))-AVERAGE(OFFSET($H$3,0,0,'Données projet'!$E$14+1,1))</f>
        <v>524.51242549438939</v>
      </c>
      <c r="DU19" s="62">
        <f t="shared" si="44"/>
        <v>494.88778446576327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291.83898633863726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3.4</v>
      </c>
      <c r="N20" s="14">
        <f>IF('Données projet'!$A$36&gt;35,N19+M20-V19,IF(A20&lt;'Données projet'!$A$36,$K$205^A20,IF(A20='Données projet'!$A$36,'Données projet'!$B$36,N19+M20-V19)))</f>
        <v>20.511851774160359</v>
      </c>
      <c r="O20" s="14">
        <f>N20*VLOOKUP('Données projet'!$B$9,Paramètres!$A$1:$I$89,3,0)*VLOOKUP('Données projet'!$B$9,Paramètres!$A$1:$I$89,5,0)</f>
        <v>18.559123485260294</v>
      </c>
      <c r="P20" s="14">
        <f t="shared" si="33"/>
        <v>6.0876466691056503</v>
      </c>
      <c r="Q20" s="22">
        <f t="shared" si="2"/>
        <v>42.926458018854021</v>
      </c>
      <c r="R20" s="62">
        <f t="shared" si="0"/>
        <v>320.37090246329848</v>
      </c>
      <c r="S20" s="62">
        <f ca="1">AVERAGE(OFFSET($R$3,0,0,'Données projet'!$E$9+1,1))-AVERAGE(OFFSET($H$3,0,0,'Données projet'!$E$9+1,1))</f>
        <v>299.17641394512162</v>
      </c>
      <c r="T20" s="62">
        <f t="shared" si="34"/>
        <v>180.73046320039873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4.45</v>
      </c>
      <c r="AI20" s="14">
        <f>IF('Données projet'!$A$62&gt;35,AI19+AH20-AQ19,IF(A20&lt;'Données projet'!$A$62,$AF$205^A20,IF(A20='Données projet'!$A$62,'Données projet'!$B$62,AI19+AH20-AQ19)))</f>
        <v>24.631111679917719</v>
      </c>
      <c r="AJ20" s="14">
        <f>AI20*VLOOKUP('Données projet'!$B$10,Paramètres!$A$1:$I$89,3,0)*VLOOKUP('Données projet'!$B$10,Paramètres!$A$1:$I$89,5,0)</f>
        <v>24.975947243436572</v>
      </c>
      <c r="AK20" s="14">
        <f t="shared" si="35"/>
        <v>7.9141171759071547</v>
      </c>
      <c r="AL20" s="22">
        <f t="shared" si="4"/>
        <v>57.283528863690329</v>
      </c>
      <c r="AM20" s="62">
        <f t="shared" si="5"/>
        <v>334.72797330813478</v>
      </c>
      <c r="AN20" s="62">
        <f ca="1">AVERAGE(OFFSET($AM$3,0,0,'Données projet'!$E$10+1,1))-AVERAGE(OFFSET($H$3,0,0,'Données projet'!$E$10+1,1))</f>
        <v>384.66322295929552</v>
      </c>
      <c r="AO20" s="62">
        <f t="shared" si="36"/>
        <v>248.53970183513286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3.48</v>
      </c>
      <c r="BD20" s="13">
        <f>IF('Données projet'!$A$88&gt;35,BD19+BC20-BL19,IF(A20&lt;'Données projet'!$A$88,$BA$205^A20,IF(A20='Données projet'!$A$88,'Données projet'!$B$88,BD19+BC20-BL19)))</f>
        <v>20.838818484685028</v>
      </c>
      <c r="BE20" s="14">
        <f>BD20*VLOOKUP('Données projet'!$B$11,Paramètres!$A$1:$I$89,3,0)*VLOOKUP('Données projet'!$B$11,Paramètres!$A$1:$I$89,5,0)</f>
        <v>12.461613453841649</v>
      </c>
      <c r="BF20" s="14">
        <f t="shared" si="37"/>
        <v>4.2815546814212029</v>
      </c>
      <c r="BG20" s="22">
        <f t="shared" si="7"/>
        <v>29.1610178355828</v>
      </c>
      <c r="BH20" s="62">
        <f t="shared" si="8"/>
        <v>306.60546228002727</v>
      </c>
      <c r="BI20" s="62">
        <f ca="1">AVERAGE(OFFSET($BH$3,0,0,'Données projet'!$E$11+1,1))-AVERAGE(OFFSET($H$3,0,0,'Données projet'!$E$11+1,1))</f>
        <v>146.25807703055079</v>
      </c>
      <c r="BJ20" s="62">
        <f t="shared" si="38"/>
        <v>177.40137940534413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4.7759999999999998</v>
      </c>
      <c r="BY20" s="13">
        <f>IF('Données projet'!$A$114&gt;35,BY19+BX20-CG19,IF(A20&lt;'Données projet'!$A$114,$BV$205^A20,IF(A20='Données projet'!$A$114,'Données projet'!$B$114,BY19+BX20-CG19)))</f>
        <v>25.84419101256923</v>
      </c>
      <c r="BZ20" s="14">
        <f>BY20*VLOOKUP('Données projet'!$B$12,Paramètres!$A$1:$I$89,3,0)*VLOOKUP('Données projet'!$B$12,Paramètres!$A$1:$I$89,5,0)</f>
        <v>12.095081393882399</v>
      </c>
      <c r="CA20" s="14">
        <f t="shared" si="39"/>
        <v>4.1700877747993399</v>
      </c>
      <c r="CB20" s="22">
        <f t="shared" si="10"/>
        <v>28.328502968787358</v>
      </c>
      <c r="CC20" s="62">
        <f t="shared" si="11"/>
        <v>305.7729474132318</v>
      </c>
      <c r="CD20" s="62">
        <f ca="1">AVERAGE(OFFSET($CC$3,0,0,'Données projet'!$E$12+1,1))-AVERAGE(OFFSET($H$3,0,0,'Données projet'!$E$12+1,1))</f>
        <v>287.12723448949828</v>
      </c>
      <c r="CE20" s="62">
        <f t="shared" si="40"/>
        <v>170.5203352323382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8.1</v>
      </c>
      <c r="CT20" s="13">
        <f>IF('Données projet'!$A$140&gt;35,CT19+CS20-DB19,IF(A20&lt;'Données projet'!$A$140,$CQ$205^A20,IF(A20='Données projet'!$A$140,'Données projet'!$B$140,CT19+CS20-DB19)))</f>
        <v>37.014255523186215</v>
      </c>
      <c r="CU20" s="18">
        <f>CT20*VLOOKUP('Données projet'!$B$13,Paramètres!$A$1:$I$89,3,0)*VLOOKUP('Données projet'!$B$13,Paramètres!$A$1:$I$89,5,0)</f>
        <v>35.800187942025708</v>
      </c>
      <c r="CV20" s="14">
        <f t="shared" si="41"/>
        <v>10.878402453243389</v>
      </c>
      <c r="CW20" s="22">
        <f t="shared" si="13"/>
        <v>81.298544938427014</v>
      </c>
      <c r="CX20" s="62">
        <f t="shared" si="14"/>
        <v>358.74298938287149</v>
      </c>
      <c r="CY20" s="62">
        <f ca="1">AVERAGE(OFFSET($CX$3,0,0,'Données projet'!$E$13+1,1))-AVERAGE(OFFSET($H$3,0,0,'Données projet'!$E$13+1,1))</f>
        <v>467.37715054082025</v>
      </c>
      <c r="CZ20" s="62">
        <f t="shared" si="42"/>
        <v>443.35096563136415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8.1</v>
      </c>
      <c r="DO20" s="13">
        <f>IF('Données projet'!$A$166&gt;35,DO19+DN20-DW19,IF(A20&lt;'Données projet'!$A$166,$DL$205^A20,IF(A20='Données projet'!$A$166,'Données projet'!$B$166,DO19+DN20-DW19)))</f>
        <v>37.014255523186215</v>
      </c>
      <c r="DP20" s="18">
        <f>DO20*VLOOKUP('Données projet'!$B$14,Paramètres!$A$1:$I$89,3,0)*VLOOKUP('Données projet'!$B$14,Paramètres!$A$1:$I$89,5,0)</f>
        <v>39.842144645157639</v>
      </c>
      <c r="DQ20" s="14">
        <f t="shared" si="43"/>
        <v>11.956797703667277</v>
      </c>
      <c r="DR20" s="22">
        <f t="shared" si="16"/>
        <v>90.216491257536731</v>
      </c>
      <c r="DS20" s="62">
        <f t="shared" si="17"/>
        <v>367.6609357019812</v>
      </c>
      <c r="DT20" s="62">
        <f ca="1">AVERAGE(OFFSET($DS$3,0,0,'Données projet'!$E$14+1,1))-AVERAGE(OFFSET($H$3,0,0,'Données projet'!$E$14+1,1))</f>
        <v>524.51242549438939</v>
      </c>
      <c r="DU20" s="62">
        <f t="shared" si="44"/>
        <v>494.88778446576327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293.8458464780249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3.4</v>
      </c>
      <c r="N21" s="14">
        <f>IF('Données projet'!$A$36&gt;35,N20+M21-V20,IF(A21&lt;'Données projet'!$A$36,$K$205^A21,IF(A21='Données projet'!$A$36,'Données projet'!$B$36,N20+M21-V20)))</f>
        <v>24.500876800186479</v>
      </c>
      <c r="O21" s="14">
        <f>N21*VLOOKUP('Données projet'!$B$9,Paramètres!$A$1:$I$89,3,0)*VLOOKUP('Données projet'!$B$9,Paramètres!$A$1:$I$89,5,0)</f>
        <v>22.168393328808726</v>
      </c>
      <c r="P21" s="14">
        <f t="shared" si="33"/>
        <v>7.1226699464836951</v>
      </c>
      <c r="Q21" s="22">
        <f t="shared" si="2"/>
        <v>51.015268537800971</v>
      </c>
      <c r="R21" s="62">
        <f t="shared" si="0"/>
        <v>329.68193520446766</v>
      </c>
      <c r="S21" s="62">
        <f ca="1">AVERAGE(OFFSET($R$3,0,0,'Données projet'!$E$9+1,1))-AVERAGE(OFFSET($H$3,0,0,'Données projet'!$E$9+1,1))</f>
        <v>299.17641394512162</v>
      </c>
      <c r="T21" s="62">
        <f t="shared" si="34"/>
        <v>180.73046320039873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4.45</v>
      </c>
      <c r="AI21" s="14">
        <f>IF('Données projet'!$A$62&gt;35,AI20+AH21-AQ20,IF(A21&lt;'Données projet'!$A$62,$AF$205^A21,IF(A21='Données projet'!$A$62,'Données projet'!$B$62,AI20+AH21-AQ20)))</f>
        <v>29.739661029021111</v>
      </c>
      <c r="AJ21" s="14">
        <f>AI21*VLOOKUP('Données projet'!$B$10,Paramètres!$A$1:$I$89,3,0)*VLOOKUP('Données projet'!$B$10,Paramètres!$A$1:$I$89,5,0)</f>
        <v>30.156016283427409</v>
      </c>
      <c r="AK21" s="14">
        <f t="shared" si="35"/>
        <v>9.348176509303304</v>
      </c>
      <c r="AL21" s="22">
        <f t="shared" si="4"/>
        <v>68.803135780672662</v>
      </c>
      <c r="AM21" s="62">
        <f t="shared" si="5"/>
        <v>347.46980244733936</v>
      </c>
      <c r="AN21" s="62">
        <f ca="1">AVERAGE(OFFSET($AM$3,0,0,'Données projet'!$E$10+1,1))-AVERAGE(OFFSET($H$3,0,0,'Données projet'!$E$10+1,1))</f>
        <v>384.66322295929552</v>
      </c>
      <c r="AO21" s="62">
        <f t="shared" si="36"/>
        <v>248.53970183513286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3.48</v>
      </c>
      <c r="BD21" s="13">
        <f>IF('Données projet'!$A$88&gt;35,BD20+BC21-BL20,IF(A21&lt;'Données projet'!$A$88,$BA$205^A21,IF(A21='Données projet'!$A$88,'Données projet'!$B$88,BD20+BC21-BL20)))</f>
        <v>24.914596721547817</v>
      </c>
      <c r="BE21" s="14">
        <f>BD21*VLOOKUP('Données projet'!$B$11,Paramètres!$A$1:$I$89,3,0)*VLOOKUP('Données projet'!$B$11,Paramètres!$A$1:$I$89,5,0)</f>
        <v>14.898928839485595</v>
      </c>
      <c r="BF21" s="14">
        <f t="shared" si="37"/>
        <v>5.0136251862685643</v>
      </c>
      <c r="BG21" s="22">
        <f t="shared" si="7"/>
        <v>34.681031594855163</v>
      </c>
      <c r="BH21" s="62">
        <f t="shared" si="8"/>
        <v>313.34769826152183</v>
      </c>
      <c r="BI21" s="62">
        <f ca="1">AVERAGE(OFFSET($BH$3,0,0,'Données projet'!$E$11+1,1))-AVERAGE(OFFSET($H$3,0,0,'Données projet'!$E$11+1,1))</f>
        <v>146.25807703055079</v>
      </c>
      <c r="BJ21" s="62">
        <f t="shared" si="38"/>
        <v>177.40137940534413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4.7759999999999998</v>
      </c>
      <c r="BY21" s="13">
        <f>IF('Données projet'!$A$114&gt;35,BY20+BX21-CG20,IF(A21&lt;'Données projet'!$A$114,$BV$205^A21,IF(A21='Données projet'!$A$114,'Données projet'!$B$114,BY20+BX21-CG20)))</f>
        <v>31.292705669695906</v>
      </c>
      <c r="BZ21" s="14">
        <f>BY21*VLOOKUP('Données projet'!$B$12,Paramètres!$A$1:$I$89,3,0)*VLOOKUP('Données projet'!$B$12,Paramètres!$A$1:$I$89,5,0)</f>
        <v>14.644986253417684</v>
      </c>
      <c r="CA21" s="14">
        <f t="shared" si="39"/>
        <v>4.9380426578746022</v>
      </c>
      <c r="CB21" s="22">
        <f t="shared" si="10"/>
        <v>34.107108687167404</v>
      </c>
      <c r="CC21" s="62">
        <f t="shared" si="11"/>
        <v>312.77377535383408</v>
      </c>
      <c r="CD21" s="62">
        <f ca="1">AVERAGE(OFFSET($CC$3,0,0,'Données projet'!$E$12+1,1))-AVERAGE(OFFSET($H$3,0,0,'Données projet'!$E$12+1,1))</f>
        <v>287.12723448949828</v>
      </c>
      <c r="CE21" s="62">
        <f t="shared" si="40"/>
        <v>170.5203352323382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8.1</v>
      </c>
      <c r="CT21" s="13">
        <f>IF('Données projet'!$A$140&gt;35,CT20+CS21-DB20,IF(A21&lt;'Données projet'!$A$140,$CQ$205^A21,IF(A21='Données projet'!$A$140,'Données projet'!$B$140,CT20+CS21-DB20)))</f>
        <v>45.774754086052859</v>
      </c>
      <c r="CU21" s="18">
        <f>CT21*VLOOKUP('Données projet'!$B$13,Paramètres!$A$1:$I$89,3,0)*VLOOKUP('Données projet'!$B$13,Paramètres!$A$1:$I$89,5,0)</f>
        <v>44.273342152030324</v>
      </c>
      <c r="CV21" s="14">
        <f t="shared" si="41"/>
        <v>13.124519363130895</v>
      </c>
      <c r="CW21" s="22">
        <f t="shared" si="13"/>
        <v>99.967942138905769</v>
      </c>
      <c r="CX21" s="62">
        <f t="shared" si="14"/>
        <v>378.63460880557244</v>
      </c>
      <c r="CY21" s="62">
        <f ca="1">AVERAGE(OFFSET($CX$3,0,0,'Données projet'!$E$13+1,1))-AVERAGE(OFFSET($H$3,0,0,'Données projet'!$E$13+1,1))</f>
        <v>467.37715054082025</v>
      </c>
      <c r="CZ21" s="62">
        <f t="shared" si="42"/>
        <v>443.35096563136415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8.1</v>
      </c>
      <c r="DO21" s="13">
        <f>IF('Données projet'!$A$166&gt;35,DO20+DN21-DW20,IF(A21&lt;'Données projet'!$A$166,$DL$205^A21,IF(A21='Données projet'!$A$166,'Données projet'!$B$166,DO20+DN21-DW20)))</f>
        <v>45.774754086052859</v>
      </c>
      <c r="DP21" s="18">
        <f>DO21*VLOOKUP('Données projet'!$B$14,Paramètres!$A$1:$I$89,3,0)*VLOOKUP('Données projet'!$B$14,Paramètres!$A$1:$I$89,5,0)</f>
        <v>49.271945298227294</v>
      </c>
      <c r="DQ21" s="14">
        <f t="shared" si="43"/>
        <v>14.425576150295161</v>
      </c>
      <c r="DR21" s="22">
        <f t="shared" si="16"/>
        <v>110.93984985617659</v>
      </c>
      <c r="DS21" s="62">
        <f t="shared" si="17"/>
        <v>389.60651652284326</v>
      </c>
      <c r="DT21" s="62">
        <f ca="1">AVERAGE(OFFSET($DS$3,0,0,'Données projet'!$E$14+1,1))-AVERAGE(OFFSET($H$3,0,0,'Données projet'!$E$14+1,1))</f>
        <v>524.51242549438939</v>
      </c>
      <c r="DU21" s="62">
        <f t="shared" si="44"/>
        <v>494.88778446576327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295.84975173858709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3.4</v>
      </c>
      <c r="N22" s="14">
        <f>IF('Données projet'!$A$36&gt;35,N21+M22-V21,IF(A22&lt;'Données projet'!$A$36,$K$205^A22,IF(A22='Données projet'!$A$36,'Données projet'!$B$36,N21+M22-V21)))</f>
        <v>29.265664094459293</v>
      </c>
      <c r="O22" s="14">
        <f>N22*VLOOKUP('Données projet'!$B$9,Paramètres!$A$1:$I$89,3,0)*VLOOKUP('Données projet'!$B$9,Paramètres!$A$1:$I$89,5,0)</f>
        <v>26.479572872666768</v>
      </c>
      <c r="P22" s="14">
        <f t="shared" si="33"/>
        <v>8.3336681519322138</v>
      </c>
      <c r="Q22" s="22">
        <f t="shared" si="2"/>
        <v>60.633061451176552</v>
      </c>
      <c r="R22" s="62">
        <f t="shared" si="0"/>
        <v>340.52195034006542</v>
      </c>
      <c r="S22" s="62">
        <f ca="1">AVERAGE(OFFSET($R$3,0,0,'Données projet'!$E$9+1,1))-AVERAGE(OFFSET($H$3,0,0,'Données projet'!$E$9+1,1))</f>
        <v>299.17641394512162</v>
      </c>
      <c r="T22" s="62">
        <f t="shared" si="34"/>
        <v>180.73046320039873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4.45</v>
      </c>
      <c r="AI22" s="14">
        <f>IF('Données projet'!$A$62&gt;35,AI21+AH22-AQ21,IF(A22&lt;'Données projet'!$A$62,$AF$205^A22,IF(A22='Données projet'!$A$62,'Données projet'!$B$62,AI21+AH22-AQ21)))</f>
        <v>35.907735290818657</v>
      </c>
      <c r="AJ22" s="14">
        <f>AI22*VLOOKUP('Données projet'!$B$10,Paramètres!$A$1:$I$89,3,0)*VLOOKUP('Données projet'!$B$10,Paramètres!$A$1:$I$89,5,0)</f>
        <v>36.410443584890125</v>
      </c>
      <c r="AK22" s="14">
        <f t="shared" si="35"/>
        <v>11.042091253731437</v>
      </c>
      <c r="AL22" s="22">
        <f t="shared" si="4"/>
        <v>82.646498177265883</v>
      </c>
      <c r="AM22" s="62">
        <f t="shared" si="5"/>
        <v>362.53538706615473</v>
      </c>
      <c r="AN22" s="62">
        <f ca="1">AVERAGE(OFFSET($AM$3,0,0,'Données projet'!$E$10+1,1))-AVERAGE(OFFSET($H$3,0,0,'Données projet'!$E$10+1,1))</f>
        <v>384.66322295929552</v>
      </c>
      <c r="AO22" s="62">
        <f t="shared" si="36"/>
        <v>248.53970183513286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3.48</v>
      </c>
      <c r="BD22" s="13">
        <f>IF('Données projet'!$A$88&gt;35,BD21+BC22-BL21,IF(A22&lt;'Données projet'!$A$88,$BA$205^A22,IF(A22='Données projet'!$A$88,'Données projet'!$B$88,BD21+BC22-BL21)))</f>
        <v>29.787539550457556</v>
      </c>
      <c r="BE22" s="14">
        <f>BD22*VLOOKUP('Données projet'!$B$11,Paramètres!$A$1:$I$89,3,0)*VLOOKUP('Données projet'!$B$11,Paramètres!$A$1:$I$89,5,0)</f>
        <v>17.81294865117362</v>
      </c>
      <c r="BF22" s="14">
        <f t="shared" si="37"/>
        <v>5.8708668646602051</v>
      </c>
      <c r="BG22" s="22">
        <f t="shared" si="7"/>
        <v>41.249312023410575</v>
      </c>
      <c r="BH22" s="62">
        <f t="shared" si="8"/>
        <v>321.13820091229945</v>
      </c>
      <c r="BI22" s="62">
        <f ca="1">AVERAGE(OFFSET($BH$3,0,0,'Données projet'!$E$11+1,1))-AVERAGE(OFFSET($H$3,0,0,'Données projet'!$E$11+1,1))</f>
        <v>146.25807703055079</v>
      </c>
      <c r="BJ22" s="62">
        <f t="shared" si="38"/>
        <v>177.40137940534413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4.7759999999999998</v>
      </c>
      <c r="BY22" s="13">
        <f>IF('Données projet'!$A$114&gt;35,BY21+BX22-CG21,IF(A22&lt;'Données projet'!$A$114,$BV$205^A22,IF(A22='Données projet'!$A$114,'Données projet'!$B$114,BY21+BX22-CG21)))</f>
        <v>37.889885106249665</v>
      </c>
      <c r="BZ22" s="14">
        <f>BY22*VLOOKUP('Données projet'!$B$12,Paramètres!$A$1:$I$89,3,0)*VLOOKUP('Données projet'!$B$12,Paramètres!$A$1:$I$89,5,0)</f>
        <v>17.732466229724842</v>
      </c>
      <c r="CA22" s="14">
        <f t="shared" si="39"/>
        <v>5.8474225502753594</v>
      </c>
      <c r="CB22" s="22">
        <f t="shared" si="10"/>
        <v>41.068306291833686</v>
      </c>
      <c r="CC22" s="62">
        <f t="shared" si="11"/>
        <v>320.95719518072252</v>
      </c>
      <c r="CD22" s="62">
        <f ca="1">AVERAGE(OFFSET($CC$3,0,0,'Données projet'!$E$12+1,1))-AVERAGE(OFFSET($H$3,0,0,'Données projet'!$E$12+1,1))</f>
        <v>287.12723448949828</v>
      </c>
      <c r="CE22" s="62">
        <f t="shared" si="40"/>
        <v>170.5203352323382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8.1</v>
      </c>
      <c r="CT22" s="13">
        <f>IF('Données projet'!$A$140&gt;35,CT21+CS22-DB21,IF(A22&lt;'Données projet'!$A$140,$CQ$205^A22,IF(A22='Données projet'!$A$140,'Données projet'!$B$140,CT21+CS22-DB21)))</f>
        <v>56.608679062208139</v>
      </c>
      <c r="CU22" s="18">
        <f>CT22*VLOOKUP('Données projet'!$B$13,Paramètres!$A$1:$I$89,3,0)*VLOOKUP('Données projet'!$B$13,Paramètres!$A$1:$I$89,5,0)</f>
        <v>54.751914388967712</v>
      </c>
      <c r="CV22" s="14">
        <f t="shared" si="41"/>
        <v>15.83440300665109</v>
      </c>
      <c r="CW22" s="22">
        <f t="shared" si="13"/>
        <v>122.93783613070275</v>
      </c>
      <c r="CX22" s="62">
        <f t="shared" si="14"/>
        <v>402.82672501959161</v>
      </c>
      <c r="CY22" s="62">
        <f ca="1">AVERAGE(OFFSET($CX$3,0,0,'Données projet'!$E$13+1,1))-AVERAGE(OFFSET($H$3,0,0,'Données projet'!$E$13+1,1))</f>
        <v>467.37715054082025</v>
      </c>
      <c r="CZ22" s="62">
        <f t="shared" si="42"/>
        <v>443.35096563136415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8.1</v>
      </c>
      <c r="DO22" s="13">
        <f>IF('Données projet'!$A$166&gt;35,DO21+DN22-DW21,IF(A22&lt;'Données projet'!$A$166,$DL$205^A22,IF(A22='Données projet'!$A$166,'Données projet'!$B$166,DO21+DN22-DW21)))</f>
        <v>56.608679062208139</v>
      </c>
      <c r="DP22" s="18">
        <f>DO22*VLOOKUP('Données projet'!$B$14,Paramètres!$A$1:$I$89,3,0)*VLOOKUP('Données projet'!$B$14,Paramètres!$A$1:$I$89,5,0)</f>
        <v>60.933582142560837</v>
      </c>
      <c r="DQ22" s="14">
        <f t="shared" si="43"/>
        <v>17.404095346042268</v>
      </c>
      <c r="DR22" s="22">
        <f t="shared" si="16"/>
        <v>136.43812162598374</v>
      </c>
      <c r="DS22" s="62">
        <f t="shared" si="17"/>
        <v>416.3270105148726</v>
      </c>
      <c r="DT22" s="62">
        <f ca="1">AVERAGE(OFFSET($DS$3,0,0,'Données projet'!$E$14+1,1))-AVERAGE(OFFSET($H$3,0,0,'Données projet'!$E$14+1,1))</f>
        <v>524.51242549438939</v>
      </c>
      <c r="DU22" s="62">
        <f t="shared" si="44"/>
        <v>494.88778446576327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297.85087537608922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3.4</v>
      </c>
      <c r="N23" s="14">
        <f>IF('Données projet'!$A$36&gt;35,N22+M23-V22,IF(A23&lt;'Données projet'!$A$36,$K$205^A23,IF(A23='Données projet'!$A$36,'Données projet'!$B$36,N22+M23-V22)))</f>
        <v>34.95707936800062</v>
      </c>
      <c r="O23" s="14">
        <f>N23*VLOOKUP('Données projet'!$B$9,Paramètres!$A$1:$I$89,3,0)*VLOOKUP('Données projet'!$B$9,Paramètres!$A$1:$I$89,5,0)</f>
        <v>31.629165412166962</v>
      </c>
      <c r="P23" s="14">
        <f t="shared" si="33"/>
        <v>9.7505605887038591</v>
      </c>
      <c r="Q23" s="22">
        <f t="shared" si="2"/>
        <v>72.06968945151668</v>
      </c>
      <c r="R23" s="62">
        <f t="shared" si="0"/>
        <v>353.18080056262784</v>
      </c>
      <c r="S23" s="62">
        <f ca="1">AVERAGE(OFFSET($R$3,0,0,'Données projet'!$E$9+1,1))-AVERAGE(OFFSET($H$3,0,0,'Données projet'!$E$9+1,1))</f>
        <v>299.17641394512162</v>
      </c>
      <c r="T23" s="62">
        <f t="shared" si="34"/>
        <v>180.73046320039873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4.45</v>
      </c>
      <c r="AI23" s="14">
        <f>IF('Données projet'!$A$62&gt;35,AI22+AH23-AQ22,IF(A23&lt;'Données projet'!$A$62,$AF$205^A23,IF(A23='Données projet'!$A$62,'Données projet'!$B$62,AI22+AH23-AQ22)))</f>
        <v>43.355082374923192</v>
      </c>
      <c r="AJ23" s="14">
        <f>AI23*VLOOKUP('Données projet'!$B$10,Paramètres!$A$1:$I$89,3,0)*VLOOKUP('Données projet'!$B$10,Paramètres!$A$1:$I$89,5,0)</f>
        <v>43.96205352817212</v>
      </c>
      <c r="AK23" s="14">
        <f t="shared" si="35"/>
        <v>13.042947909080423</v>
      </c>
      <c r="AL23" s="22">
        <f t="shared" si="4"/>
        <v>99.283710836548167</v>
      </c>
      <c r="AM23" s="62">
        <f t="shared" si="5"/>
        <v>380.3948219476593</v>
      </c>
      <c r="AN23" s="62">
        <f ca="1">AVERAGE(OFFSET($AM$3,0,0,'Données projet'!$E$10+1,1))-AVERAGE(OFFSET($H$3,0,0,'Données projet'!$E$10+1,1))</f>
        <v>384.66322295929552</v>
      </c>
      <c r="AO23" s="62">
        <f t="shared" si="36"/>
        <v>248.53970183513286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3.48</v>
      </c>
      <c r="BD23" s="13">
        <f>IF('Données projet'!$A$88&gt;35,BD22+BC23-BL22,IF(A23&lt;'Données projet'!$A$88,$BA$205^A23,IF(A23='Données projet'!$A$88,'Données projet'!$B$88,BD22+BC23-BL22)))</f>
        <v>35.613561093793606</v>
      </c>
      <c r="BE23" s="14">
        <f>BD23*VLOOKUP('Données projet'!$B$11,Paramètres!$A$1:$I$89,3,0)*VLOOKUP('Données projet'!$B$11,Paramètres!$A$1:$I$89,5,0)</f>
        <v>21.296909534088577</v>
      </c>
      <c r="BF23" s="14">
        <f t="shared" si="37"/>
        <v>6.8746817845427231</v>
      </c>
      <c r="BG23" s="22">
        <f t="shared" si="7"/>
        <v>49.065521546616175</v>
      </c>
      <c r="BH23" s="62">
        <f t="shared" si="8"/>
        <v>330.17663265772734</v>
      </c>
      <c r="BI23" s="62">
        <f ca="1">AVERAGE(OFFSET($BH$3,0,0,'Données projet'!$E$11+1,1))-AVERAGE(OFFSET($H$3,0,0,'Données projet'!$E$11+1,1))</f>
        <v>146.25807703055079</v>
      </c>
      <c r="BJ23" s="62">
        <f t="shared" si="38"/>
        <v>177.40137940534413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4.7759999999999998</v>
      </c>
      <c r="BY23" s="13">
        <f>IF('Données projet'!$A$114&gt;35,BY22+BX23-CG22,IF(A23&lt;'Données projet'!$A$114,$BV$205^A23,IF(A23='Données projet'!$A$114,'Données projet'!$B$114,BY22+BX23-CG22)))</f>
        <v>45.877892711434292</v>
      </c>
      <c r="BZ23" s="14">
        <f>BY23*VLOOKUP('Données projet'!$B$12,Paramètres!$A$1:$I$89,3,0)*VLOOKUP('Données projet'!$B$12,Paramètres!$A$1:$I$89,5,0)</f>
        <v>21.470853788951249</v>
      </c>
      <c r="CA23" s="14">
        <f t="shared" si="39"/>
        <v>6.9242719940750064</v>
      </c>
      <c r="CB23" s="22">
        <f t="shared" si="10"/>
        <v>49.454844072104059</v>
      </c>
      <c r="CC23" s="62">
        <f t="shared" si="11"/>
        <v>330.56595518321518</v>
      </c>
      <c r="CD23" s="62">
        <f ca="1">AVERAGE(OFFSET($CC$3,0,0,'Données projet'!$E$12+1,1))-AVERAGE(OFFSET($H$3,0,0,'Données projet'!$E$12+1,1))</f>
        <v>287.12723448949828</v>
      </c>
      <c r="CE23" s="62">
        <f t="shared" si="40"/>
        <v>170.5203352323382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8.1</v>
      </c>
      <c r="CT23" s="13">
        <f>IF('Données projet'!$A$140&gt;35,CT22+CS23-DB22,IF(A23&lt;'Données projet'!$A$140,$CQ$205^A23,IF(A23='Données projet'!$A$140,'Données projet'!$B$140,CT22+CS23-DB22)))</f>
        <v>70.006767030223685</v>
      </c>
      <c r="CU23" s="18">
        <f>CT23*VLOOKUP('Données projet'!$B$13,Paramètres!$A$1:$I$89,3,0)*VLOOKUP('Données projet'!$B$13,Paramètres!$A$1:$I$89,5,0)</f>
        <v>67.710545071632353</v>
      </c>
      <c r="CV23" s="14">
        <f t="shared" si="41"/>
        <v>19.103809567410259</v>
      </c>
      <c r="CW23" s="22">
        <f t="shared" si="13"/>
        <v>151.2016676629992</v>
      </c>
      <c r="CX23" s="62">
        <f t="shared" si="14"/>
        <v>432.31277877411037</v>
      </c>
      <c r="CY23" s="62">
        <f ca="1">AVERAGE(OFFSET($CX$3,0,0,'Données projet'!$E$13+1,1))-AVERAGE(OFFSET($H$3,0,0,'Données projet'!$E$13+1,1))</f>
        <v>467.37715054082025</v>
      </c>
      <c r="CZ23" s="62">
        <f t="shared" si="42"/>
        <v>443.35096563136415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8.1</v>
      </c>
      <c r="DO23" s="13">
        <f>IF('Données projet'!$A$166&gt;35,DO22+DN23-DW22,IF(A23&lt;'Données projet'!$A$166,$DL$205^A23,IF(A23='Données projet'!$A$166,'Données projet'!$B$166,DO22+DN23-DW22)))</f>
        <v>70.006767030223685</v>
      </c>
      <c r="DP23" s="18">
        <f>DO23*VLOOKUP('Données projet'!$B$14,Paramètres!$A$1:$I$89,3,0)*VLOOKUP('Données projet'!$B$14,Paramètres!$A$1:$I$89,5,0)</f>
        <v>75.355284031332772</v>
      </c>
      <c r="DQ23" s="14">
        <f t="shared" si="43"/>
        <v>20.997603954136174</v>
      </c>
      <c r="DR23" s="22">
        <f t="shared" si="16"/>
        <v>167.81461324135844</v>
      </c>
      <c r="DS23" s="62">
        <f t="shared" si="17"/>
        <v>448.92572435246962</v>
      </c>
      <c r="DT23" s="62">
        <f ca="1">AVERAGE(OFFSET($DS$3,0,0,'Données projet'!$E$14+1,1))-AVERAGE(OFFSET($H$3,0,0,'Données projet'!$E$14+1,1))</f>
        <v>524.51242549438939</v>
      </c>
      <c r="DU23" s="62">
        <f t="shared" si="44"/>
        <v>494.88778446576327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299.84937234200714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3.4</v>
      </c>
      <c r="N24" s="14">
        <f>IF('Données projet'!$A$36&gt;35,N23+M24-V23,IF(A24&lt;'Données projet'!$A$36,$K$205^A24,IF(A24='Données projet'!$A$36,'Données projet'!$B$36,N23+M24-V23)))</f>
        <v>41.755327813389648</v>
      </c>
      <c r="O24" s="14">
        <f>N24*VLOOKUP('Données projet'!$B$9,Paramètres!$A$1:$I$89,3,0)*VLOOKUP('Données projet'!$B$9,Paramètres!$A$1:$I$89,5,0)</f>
        <v>37.780220605554952</v>
      </c>
      <c r="P24" s="14">
        <f t="shared" si="33"/>
        <v>11.40835344780816</v>
      </c>
      <c r="Q24" s="22">
        <f t="shared" si="2"/>
        <v>85.670099809607407</v>
      </c>
      <c r="R24" s="62">
        <f t="shared" si="0"/>
        <v>368.00343314294071</v>
      </c>
      <c r="S24" s="62">
        <f ca="1">AVERAGE(OFFSET($R$3,0,0,'Données projet'!$E$9+1,1))-AVERAGE(OFFSET($H$3,0,0,'Données projet'!$E$9+1,1))</f>
        <v>299.17641394512162</v>
      </c>
      <c r="T24" s="62">
        <f t="shared" si="34"/>
        <v>180.73046320039873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4.45</v>
      </c>
      <c r="AI24" s="14">
        <f>IF('Données projet'!$A$62&gt;35,AI23+AH24-AQ23,IF(A24&lt;'Données projet'!$A$62,$AF$205^A24,IF(A24='Données projet'!$A$62,'Données projet'!$B$62,AI23+AH24-AQ23)))</f>
        <v>52.347026414027063</v>
      </c>
      <c r="AJ24" s="14">
        <f>AI24*VLOOKUP('Données projet'!$B$10,Paramètres!$A$1:$I$89,3,0)*VLOOKUP('Données projet'!$B$10,Paramètres!$A$1:$I$89,5,0)</f>
        <v>53.079884783823445</v>
      </c>
      <c r="AK24" s="14">
        <f t="shared" si="35"/>
        <v>15.406365175753967</v>
      </c>
      <c r="AL24" s="22">
        <f t="shared" si="4"/>
        <v>119.2802186795973</v>
      </c>
      <c r="AM24" s="62">
        <f t="shared" si="5"/>
        <v>401.6135520129306</v>
      </c>
      <c r="AN24" s="62">
        <f ca="1">AVERAGE(OFFSET($AM$3,0,0,'Données projet'!$E$10+1,1))-AVERAGE(OFFSET($H$3,0,0,'Données projet'!$E$10+1,1))</f>
        <v>384.66322295929552</v>
      </c>
      <c r="AO24" s="62">
        <f t="shared" si="36"/>
        <v>248.53970183513286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3.48</v>
      </c>
      <c r="BD24" s="13">
        <f>IF('Données projet'!$A$88&gt;35,BD23+BC24-BL23,IF(A24&lt;'Données projet'!$A$88,$BA$205^A24,IF(A24='Données projet'!$A$88,'Données projet'!$B$88,BD23+BC24-BL23)))</f>
        <v>42.579070071663146</v>
      </c>
      <c r="BE24" s="14">
        <f>BD24*VLOOKUP('Données projet'!$B$11,Paramètres!$A$1:$I$89,3,0)*VLOOKUP('Données projet'!$B$11,Paramètres!$A$1:$I$89,5,0)</f>
        <v>25.462283902854562</v>
      </c>
      <c r="BF24" s="14">
        <f t="shared" si="37"/>
        <v>8.0501313908536236</v>
      </c>
      <c r="BG24" s="22">
        <f t="shared" si="7"/>
        <v>58.367456636541753</v>
      </c>
      <c r="BH24" s="62">
        <f t="shared" si="8"/>
        <v>340.70078996987507</v>
      </c>
      <c r="BI24" s="62">
        <f ca="1">AVERAGE(OFFSET($BH$3,0,0,'Données projet'!$E$11+1,1))-AVERAGE(OFFSET($H$3,0,0,'Données projet'!$E$11+1,1))</f>
        <v>146.25807703055079</v>
      </c>
      <c r="BJ24" s="62">
        <f t="shared" si="38"/>
        <v>177.40137940534413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4.7759999999999998</v>
      </c>
      <c r="BY24" s="13">
        <f>IF('Données projet'!$A$114&gt;35,BY23+BX24-CG23,IF(A24&lt;'Données projet'!$A$114,$BV$205^A24,IF(A24='Données projet'!$A$114,'Données projet'!$B$114,BY23+BX24-CG23)))</f>
        <v>55.549945156595555</v>
      </c>
      <c r="BZ24" s="14">
        <f>BY24*VLOOKUP('Données projet'!$B$12,Paramètres!$A$1:$I$89,3,0)*VLOOKUP('Données projet'!$B$12,Paramètres!$A$1:$I$89,5,0)</f>
        <v>25.997374333286722</v>
      </c>
      <c r="CA24" s="14">
        <f t="shared" si="39"/>
        <v>8.1994318412432197</v>
      </c>
      <c r="CB24" s="22">
        <f t="shared" si="10"/>
        <v>59.559437420639647</v>
      </c>
      <c r="CC24" s="62">
        <f t="shared" si="11"/>
        <v>341.89277075397297</v>
      </c>
      <c r="CD24" s="62">
        <f ca="1">AVERAGE(OFFSET($CC$3,0,0,'Données projet'!$E$12+1,1))-AVERAGE(OFFSET($H$3,0,0,'Données projet'!$E$12+1,1))</f>
        <v>287.12723448949828</v>
      </c>
      <c r="CE24" s="62">
        <f t="shared" si="40"/>
        <v>170.5203352323382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8.1</v>
      </c>
      <c r="CT24" s="13">
        <f>IF('Données projet'!$A$140&gt;35,CT23+CS24-DB23,IF(A24&lt;'Données projet'!$A$140,$CQ$205^A24,IF(A24='Données projet'!$A$140,'Données projet'!$B$140,CT23+CS24-DB23)))</f>
        <v>86.575901632297189</v>
      </c>
      <c r="CU24" s="18">
        <f>CT24*VLOOKUP('Données projet'!$B$13,Paramètres!$A$1:$I$89,3,0)*VLOOKUP('Données projet'!$B$13,Paramètres!$A$1:$I$89,5,0)</f>
        <v>83.736212058757843</v>
      </c>
      <c r="CV24" s="14">
        <f t="shared" si="41"/>
        <v>23.048266476139297</v>
      </c>
      <c r="CW24" s="22">
        <f t="shared" si="13"/>
        <v>185.9829667816125</v>
      </c>
      <c r="CX24" s="62">
        <f t="shared" si="14"/>
        <v>468.31630011494582</v>
      </c>
      <c r="CY24" s="62">
        <f ca="1">AVERAGE(OFFSET($CX$3,0,0,'Données projet'!$E$13+1,1))-AVERAGE(OFFSET($H$3,0,0,'Données projet'!$E$13+1,1))</f>
        <v>467.37715054082025</v>
      </c>
      <c r="CZ24" s="62">
        <f t="shared" si="42"/>
        <v>443.35096563136415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8.1</v>
      </c>
      <c r="DO24" s="13">
        <f>IF('Données projet'!$A$166&gt;35,DO23+DN24-DW23,IF(A24&lt;'Données projet'!$A$166,$DL$205^A24,IF(A24='Données projet'!$A$166,'Données projet'!$B$166,DO23+DN24-DW23)))</f>
        <v>86.575901632297189</v>
      </c>
      <c r="DP24" s="18">
        <f>DO24*VLOOKUP('Données projet'!$B$14,Paramètres!$A$1:$I$89,3,0)*VLOOKUP('Données projet'!$B$14,Paramètres!$A$1:$I$89,5,0)</f>
        <v>93.190300517004687</v>
      </c>
      <c r="DQ24" s="14">
        <f t="shared" si="43"/>
        <v>25.333081843579791</v>
      </c>
      <c r="DR24" s="22">
        <f t="shared" si="16"/>
        <v>206.42822427801795</v>
      </c>
      <c r="DS24" s="62">
        <f t="shared" si="17"/>
        <v>488.76155761135124</v>
      </c>
      <c r="DT24" s="62">
        <f ca="1">AVERAGE(OFFSET($DS$3,0,0,'Données projet'!$E$14+1,1))-AVERAGE(OFFSET($H$3,0,0,'Données projet'!$E$14+1,1))</f>
        <v>524.51242549438939</v>
      </c>
      <c r="DU24" s="62">
        <f t="shared" si="44"/>
        <v>494.88778446576327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301.84538199666349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3.4</v>
      </c>
      <c r="N25" s="14">
        <f>IF('Données projet'!$A$36&gt;35,N24+M25-V24,IF(A25&lt;'Données projet'!$A$36,$K$205^A25,IF(A25='Données projet'!$A$36,'Données projet'!$B$36,N24+M25-V24)))</f>
        <v>49.875659875625104</v>
      </c>
      <c r="O25" s="14">
        <f>N25*VLOOKUP('Données projet'!$B$9,Paramètres!$A$1:$I$89,3,0)*VLOOKUP('Données projet'!$B$9,Paramètres!$A$1:$I$89,5,0)</f>
        <v>45.127497055465597</v>
      </c>
      <c r="P25" s="14">
        <f t="shared" si="33"/>
        <v>13.348004681997187</v>
      </c>
      <c r="Q25" s="22">
        <f t="shared" si="2"/>
        <v>101.84483219274767</v>
      </c>
      <c r="R25" s="62">
        <f t="shared" si="0"/>
        <v>385.40038774830322</v>
      </c>
      <c r="S25" s="62">
        <f ca="1">AVERAGE(OFFSET($R$3,0,0,'Données projet'!$E$9+1,1))-AVERAGE(OFFSET($H$3,0,0,'Données projet'!$E$9+1,1))</f>
        <v>299.17641394512162</v>
      </c>
      <c r="T25" s="62">
        <f t="shared" si="34"/>
        <v>180.73046320039873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4.45</v>
      </c>
      <c r="AI25" s="14">
        <f>IF('Données projet'!$A$62&gt;35,AI24+AH25-AQ24,IF(A25&lt;'Données projet'!$A$62,$AF$205^A25,IF(A25='Données projet'!$A$62,'Données projet'!$B$62,AI24+AH25-AQ24)))</f>
        <v>63.20392037764411</v>
      </c>
      <c r="AJ25" s="14">
        <f>AI25*VLOOKUP('Données projet'!$B$10,Paramètres!$A$1:$I$89,3,0)*VLOOKUP('Données projet'!$B$10,Paramètres!$A$1:$I$89,5,0)</f>
        <v>64.088775262931136</v>
      </c>
      <c r="AK25" s="14">
        <f t="shared" si="35"/>
        <v>18.198040012368562</v>
      </c>
      <c r="AL25" s="22">
        <f t="shared" si="4"/>
        <v>143.31620327114697</v>
      </c>
      <c r="AM25" s="62">
        <f t="shared" si="5"/>
        <v>426.87175882670249</v>
      </c>
      <c r="AN25" s="62">
        <f ca="1">AVERAGE(OFFSET($AM$3,0,0,'Données projet'!$E$10+1,1))-AVERAGE(OFFSET($H$3,0,0,'Données projet'!$E$10+1,1))</f>
        <v>384.66322295929552</v>
      </c>
      <c r="AO25" s="62">
        <f t="shared" si="36"/>
        <v>248.53970183513286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3.48</v>
      </c>
      <c r="BD25" s="13">
        <f>IF('Données projet'!$A$88&gt;35,BD24+BC25-BL24,IF(A25&lt;'Données projet'!$A$88,$BA$205^A25,IF(A25='Données projet'!$A$88,'Données projet'!$B$88,BD24+BC25-BL24)))</f>
        <v>50.906934114026271</v>
      </c>
      <c r="BE25" s="14">
        <f>BD25*VLOOKUP('Données projet'!$B$11,Paramètres!$A$1:$I$89,3,0)*VLOOKUP('Données projet'!$B$11,Paramètres!$A$1:$I$89,5,0)</f>
        <v>30.442346600187715</v>
      </c>
      <c r="BF25" s="14">
        <f t="shared" si="37"/>
        <v>9.4265621945900016</v>
      </c>
      <c r="BG25" s="22">
        <f t="shared" si="7"/>
        <v>69.438349484237861</v>
      </c>
      <c r="BH25" s="62">
        <f t="shared" si="8"/>
        <v>352.99390503979339</v>
      </c>
      <c r="BI25" s="62">
        <f ca="1">AVERAGE(OFFSET($BH$3,0,0,'Données projet'!$E$11+1,1))-AVERAGE(OFFSET($H$3,0,0,'Données projet'!$E$11+1,1))</f>
        <v>146.25807703055079</v>
      </c>
      <c r="BJ25" s="62">
        <f t="shared" si="38"/>
        <v>177.40137940534413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4.7759999999999998</v>
      </c>
      <c r="BY25" s="13">
        <f>IF('Données projet'!$A$114&gt;35,BY24+BX25-CG24,IF(A25&lt;'Données projet'!$A$114,$BV$205^A25,IF(A25='Données projet'!$A$114,'Données projet'!$B$114,BY24+BX25-CG24)))</f>
        <v>67.261075531738413</v>
      </c>
      <c r="BZ25" s="14">
        <f>BY25*VLOOKUP('Données projet'!$B$12,Paramètres!$A$1:$I$89,3,0)*VLOOKUP('Données projet'!$B$12,Paramètres!$A$1:$I$89,5,0)</f>
        <v>31.47818334885358</v>
      </c>
      <c r="CA25" s="14">
        <f t="shared" si="39"/>
        <v>9.7094225323213035</v>
      </c>
      <c r="CB25" s="22">
        <f t="shared" si="10"/>
        <v>71.735080243046241</v>
      </c>
      <c r="CC25" s="62">
        <f t="shared" si="11"/>
        <v>355.29063579860178</v>
      </c>
      <c r="CD25" s="62">
        <f ca="1">AVERAGE(OFFSET($CC$3,0,0,'Données projet'!$E$12+1,1))-AVERAGE(OFFSET($H$3,0,0,'Données projet'!$E$12+1,1))</f>
        <v>287.12723448949828</v>
      </c>
      <c r="CE25" s="62">
        <f t="shared" si="40"/>
        <v>170.5203352323382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8.1</v>
      </c>
      <c r="CT25" s="13">
        <f>IF('Données projet'!$A$140&gt;35,CT24+CS25-DB24,IF(A25&lt;'Données projet'!$A$140,$CQ$205^A25,IF(A25='Données projet'!$A$140,'Données projet'!$B$140,CT24+CS25-DB24)))</f>
        <v>107.06660315008193</v>
      </c>
      <c r="CU25" s="18">
        <f>CT25*VLOOKUP('Données projet'!$B$13,Paramètres!$A$1:$I$89,3,0)*VLOOKUP('Données projet'!$B$13,Paramètres!$A$1:$I$89,5,0)</f>
        <v>103.55481856675925</v>
      </c>
      <c r="CV25" s="14">
        <f t="shared" si="41"/>
        <v>27.80715467669625</v>
      </c>
      <c r="CW25" s="22">
        <f t="shared" si="13"/>
        <v>228.78877006568499</v>
      </c>
      <c r="CX25" s="62">
        <f t="shared" si="14"/>
        <v>512.3443256212405</v>
      </c>
      <c r="CY25" s="62">
        <f ca="1">AVERAGE(OFFSET($CX$3,0,0,'Données projet'!$E$13+1,1))-AVERAGE(OFFSET($H$3,0,0,'Données projet'!$E$13+1,1))</f>
        <v>467.37715054082025</v>
      </c>
      <c r="CZ25" s="62">
        <f t="shared" si="42"/>
        <v>443.35096563136415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8.1</v>
      </c>
      <c r="DO25" s="13">
        <f>IF('Données projet'!$A$166&gt;35,DO24+DN25-DW24,IF(A25&lt;'Données projet'!$A$166,$DL$205^A25,IF(A25='Données projet'!$A$166,'Données projet'!$B$166,DO24+DN25-DW24)))</f>
        <v>107.06660315008193</v>
      </c>
      <c r="DP25" s="18">
        <f>DO25*VLOOKUP('Données projet'!$B$14,Paramètres!$A$1:$I$89,3,0)*VLOOKUP('Données projet'!$B$14,Paramètres!$A$1:$I$89,5,0)</f>
        <v>115.2464916307482</v>
      </c>
      <c r="DQ25" s="14">
        <f t="shared" si="43"/>
        <v>30.563727037393477</v>
      </c>
      <c r="DR25" s="22">
        <f t="shared" si="16"/>
        <v>253.95279751368003</v>
      </c>
      <c r="DS25" s="62">
        <f t="shared" si="17"/>
        <v>537.50835306923557</v>
      </c>
      <c r="DT25" s="62">
        <f ca="1">AVERAGE(OFFSET($DS$3,0,0,'Données projet'!$E$14+1,1))-AVERAGE(OFFSET($H$3,0,0,'Données projet'!$E$14+1,1))</f>
        <v>524.51242549438939</v>
      </c>
      <c r="DU25" s="62">
        <f t="shared" si="44"/>
        <v>494.88778446576327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303.83903031512267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3.4</v>
      </c>
      <c r="N26" s="14">
        <f>IF('Données projet'!$A$36&gt;35,N25+M26-V25,IF(A26&lt;'Données projet'!$A$36,$K$205^A26,IF(A26='Données projet'!$A$36,'Données projet'!$B$36,N25+M26-V25)))</f>
        <v>59.575186647950346</v>
      </c>
      <c r="O26" s="14">
        <f>N26*VLOOKUP('Données projet'!$B$9,Paramètres!$A$1:$I$89,3,0)*VLOOKUP('Données projet'!$B$9,Paramètres!$A$1:$I$89,5,0)</f>
        <v>53.903628879065472</v>
      </c>
      <c r="P26" s="14">
        <f t="shared" si="33"/>
        <v>15.617435925852185</v>
      </c>
      <c r="Q26" s="22">
        <f t="shared" si="2"/>
        <v>121.08252120189825</v>
      </c>
      <c r="R26" s="62">
        <f t="shared" si="0"/>
        <v>405.86029897967603</v>
      </c>
      <c r="S26" s="62">
        <f ca="1">AVERAGE(OFFSET($R$3,0,0,'Données projet'!$E$9+1,1))-AVERAGE(OFFSET($H$3,0,0,'Données projet'!$E$9+1,1))</f>
        <v>299.17641394512162</v>
      </c>
      <c r="T26" s="62">
        <f t="shared" si="34"/>
        <v>180.73046320039873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4.45</v>
      </c>
      <c r="AI26" s="14">
        <f>IF('Données projet'!$A$62&gt;35,AI25+AH26-AQ25,IF(A26&lt;'Données projet'!$A$62,$AF$205^A26,IF(A26='Données projet'!$A$62,'Données projet'!$B$62,AI25+AH26-AQ25)))</f>
        <v>76.312559179734706</v>
      </c>
      <c r="AJ26" s="14">
        <f>AI26*VLOOKUP('Données projet'!$B$10,Paramètres!$A$1:$I$89,3,0)*VLOOKUP('Données projet'!$B$10,Paramètres!$A$1:$I$89,5,0)</f>
        <v>77.380935008251001</v>
      </c>
      <c r="AK26" s="14">
        <f t="shared" si="35"/>
        <v>21.495573843267692</v>
      </c>
      <c r="AL26" s="22">
        <f t="shared" si="4"/>
        <v>172.20991958306172</v>
      </c>
      <c r="AM26" s="62">
        <f t="shared" si="5"/>
        <v>456.98769736083949</v>
      </c>
      <c r="AN26" s="62">
        <f ca="1">AVERAGE(OFFSET($AM$3,0,0,'Données projet'!$E$10+1,1))-AVERAGE(OFFSET($H$3,0,0,'Données projet'!$E$10+1,1))</f>
        <v>384.66322295929552</v>
      </c>
      <c r="AO26" s="62">
        <f t="shared" si="36"/>
        <v>248.53970183513286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3.48</v>
      </c>
      <c r="BD26" s="13">
        <f>IF('Données projet'!$A$88&gt;35,BD25+BC26-BL25,IF(A26&lt;'Données projet'!$A$88,$BA$205^A26,IF(A26='Données projet'!$A$88,'Données projet'!$B$88,BD25+BC26-BL25)))</f>
        <v>60.863610607937979</v>
      </c>
      <c r="BE26" s="14">
        <f>BD26*VLOOKUP('Données projet'!$B$11,Paramètres!$A$1:$I$89,3,0)*VLOOKUP('Données projet'!$B$11,Paramètres!$A$1:$I$89,5,0)</f>
        <v>36.396439143546914</v>
      </c>
      <c r="BF26" s="14">
        <f t="shared" si="37"/>
        <v>11.038338443697228</v>
      </c>
      <c r="BG26" s="22">
        <f t="shared" si="7"/>
        <v>82.615570964450214</v>
      </c>
      <c r="BH26" s="62">
        <f t="shared" si="8"/>
        <v>367.393348742228</v>
      </c>
      <c r="BI26" s="62">
        <f ca="1">AVERAGE(OFFSET($BH$3,0,0,'Données projet'!$E$11+1,1))-AVERAGE(OFFSET($H$3,0,0,'Données projet'!$E$11+1,1))</f>
        <v>146.25807703055079</v>
      </c>
      <c r="BJ26" s="62">
        <f t="shared" si="38"/>
        <v>177.40137940534413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4.7759999999999998</v>
      </c>
      <c r="BY26" s="13">
        <f>IF('Données projet'!$A$114&gt;35,BY25+BX26-CG25,IF(A26&lt;'Données projet'!$A$114,$BV$205^A26,IF(A26='Données projet'!$A$114,'Données projet'!$B$114,BY25+BX26-CG25)))</f>
        <v>81.441165584104482</v>
      </c>
      <c r="BZ26" s="14">
        <f>BY26*VLOOKUP('Données projet'!$B$12,Paramètres!$A$1:$I$89,3,0)*VLOOKUP('Données projet'!$B$12,Paramètres!$A$1:$I$89,5,0)</f>
        <v>38.114465493360896</v>
      </c>
      <c r="CA26" s="14">
        <f t="shared" si="39"/>
        <v>11.49749003790178</v>
      </c>
      <c r="CB26" s="22">
        <f t="shared" si="10"/>
        <v>86.407489216949159</v>
      </c>
      <c r="CC26" s="62">
        <f t="shared" si="11"/>
        <v>371.18526699472693</v>
      </c>
      <c r="CD26" s="62">
        <f ca="1">AVERAGE(OFFSET($CC$3,0,0,'Données projet'!$E$12+1,1))-AVERAGE(OFFSET($H$3,0,0,'Données projet'!$E$12+1,1))</f>
        <v>287.12723448949828</v>
      </c>
      <c r="CE26" s="62">
        <f t="shared" si="40"/>
        <v>170.5203352323382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8.1</v>
      </c>
      <c r="CT26" s="13">
        <f>IF('Données projet'!$A$140&gt;35,CT25+CS26-DB25,IF(A26&lt;'Données projet'!$A$140,$CQ$205^A26,IF(A26='Données projet'!$A$140,'Données projet'!$B$140,CT25+CS26-DB25)))</f>
        <v>132.40702428700737</v>
      </c>
      <c r="CU26" s="18">
        <f>CT26*VLOOKUP('Données projet'!$B$13,Paramètres!$A$1:$I$89,3,0)*VLOOKUP('Données projet'!$B$13,Paramètres!$A$1:$I$89,5,0)</f>
        <v>128.06407389039353</v>
      </c>
      <c r="CV26" s="14">
        <f t="shared" si="41"/>
        <v>33.548633777477534</v>
      </c>
      <c r="CW26" s="22">
        <f t="shared" si="13"/>
        <v>281.47546585487538</v>
      </c>
      <c r="CX26" s="62">
        <f t="shared" si="14"/>
        <v>566.25324363265315</v>
      </c>
      <c r="CY26" s="62">
        <f ca="1">AVERAGE(OFFSET($CX$3,0,0,'Données projet'!$E$13+1,1))-AVERAGE(OFFSET($H$3,0,0,'Données projet'!$E$13+1,1))</f>
        <v>467.37715054082025</v>
      </c>
      <c r="CZ26" s="62">
        <f t="shared" si="42"/>
        <v>443.35096563136415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8.1</v>
      </c>
      <c r="DO26" s="13">
        <f>IF('Données projet'!$A$166&gt;35,DO25+DN26-DW25,IF(A26&lt;'Données projet'!$A$166,$DL$205^A26,IF(A26='Données projet'!$A$166,'Données projet'!$B$166,DO25+DN26-DW25)))</f>
        <v>132.40702428700737</v>
      </c>
      <c r="DP26" s="18">
        <f>DO26*VLOOKUP('Données projet'!$B$14,Paramètres!$A$1:$I$89,3,0)*VLOOKUP('Données projet'!$B$14,Paramètres!$A$1:$I$89,5,0)</f>
        <v>142.52292094253474</v>
      </c>
      <c r="DQ26" s="14">
        <f t="shared" si="43"/>
        <v>36.874369102985355</v>
      </c>
      <c r="DR26" s="22">
        <f t="shared" si="16"/>
        <v>312.45028016261415</v>
      </c>
      <c r="DS26" s="62">
        <f t="shared" si="17"/>
        <v>597.22805794039186</v>
      </c>
      <c r="DT26" s="62">
        <f ca="1">AVERAGE(OFFSET($DS$3,0,0,'Données projet'!$E$14+1,1))-AVERAGE(OFFSET($H$3,0,0,'Données projet'!$E$14+1,1))</f>
        <v>524.51242549438939</v>
      </c>
      <c r="DU26" s="62">
        <f t="shared" si="44"/>
        <v>494.88778446576327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305.83043169862646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3.4</v>
      </c>
      <c r="N27" s="14">
        <f>IF('Données projet'!$A$36&gt;35,N26+M27-V26,IF(A27&lt;'Données projet'!$A$36,$K$205^A27,IF(A27='Données projet'!$A$36,'Données projet'!$B$36,N26+M27-V26)))</f>
        <v>71.161020686017281</v>
      </c>
      <c r="O27" s="14">
        <f>N27*VLOOKUP('Données projet'!$B$9,Paramètres!$A$1:$I$89,3,0)*VLOOKUP('Données projet'!$B$9,Paramètres!$A$1:$I$89,5,0)</f>
        <v>64.386491516708432</v>
      </c>
      <c r="P27" s="14">
        <f t="shared" si="33"/>
        <v>18.272716462787773</v>
      </c>
      <c r="Q27" s="22">
        <f t="shared" si="2"/>
        <v>143.96478723095586</v>
      </c>
      <c r="R27" s="62">
        <f t="shared" si="0"/>
        <v>429.96478723095584</v>
      </c>
      <c r="S27" s="62">
        <f ca="1">AVERAGE(OFFSET($R$3,0,0,'Données projet'!$E$9+1,1))-AVERAGE(OFFSET($H$3,0,0,'Données projet'!$E$9+1,1))</f>
        <v>299.17641394512162</v>
      </c>
      <c r="T27" s="62">
        <f t="shared" si="34"/>
        <v>180.73046320039873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4.45</v>
      </c>
      <c r="AI27" s="14">
        <f>IF('Données projet'!$A$62&gt;35,AI26+AH27-AQ26,IF(A27&lt;'Données projet'!$A$62,$AF$205^A27,IF(A27='Données projet'!$A$62,'Données projet'!$B$62,AI26+AH27-AQ26)))</f>
        <v>92.139959891164963</v>
      </c>
      <c r="AJ27" s="14">
        <f>AI27*VLOOKUP('Données projet'!$B$10,Paramètres!$A$1:$I$89,3,0)*VLOOKUP('Données projet'!$B$10,Paramètres!$A$1:$I$89,5,0)</f>
        <v>93.42991932964128</v>
      </c>
      <c r="AK27" s="14">
        <f t="shared" si="35"/>
        <v>25.390629679752806</v>
      </c>
      <c r="AL27" s="22">
        <f t="shared" si="4"/>
        <v>206.94578952469467</v>
      </c>
      <c r="AM27" s="62">
        <f t="shared" si="5"/>
        <v>492.94578952469465</v>
      </c>
      <c r="AN27" s="62">
        <f ca="1">AVERAGE(OFFSET($AM$3,0,0,'Données projet'!$E$10+1,1))-AVERAGE(OFFSET($H$3,0,0,'Données projet'!$E$10+1,1))</f>
        <v>384.66322295929552</v>
      </c>
      <c r="AO27" s="62">
        <f t="shared" si="36"/>
        <v>248.53970183513286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3.48</v>
      </c>
      <c r="BD27" s="13">
        <f>IF('Données projet'!$A$88&gt;35,BD26+BC27-BL26,IF(A27&lt;'Données projet'!$A$88,$BA$205^A27,IF(A27='Données projet'!$A$88,'Données projet'!$B$88,BD26+BC27-BL26)))</f>
        <v>72.767672237681296</v>
      </c>
      <c r="BE27" s="14">
        <f>BD27*VLOOKUP('Données projet'!$B$11,Paramètres!$A$1:$I$89,3,0)*VLOOKUP('Données projet'!$B$11,Paramètres!$A$1:$I$89,5,0)</f>
        <v>43.515067998133418</v>
      </c>
      <c r="BF27" s="14">
        <f t="shared" si="37"/>
        <v>12.925700067786348</v>
      </c>
      <c r="BG27" s="22">
        <f t="shared" si="7"/>
        <v>98.301004381476915</v>
      </c>
      <c r="BH27" s="62">
        <f t="shared" si="8"/>
        <v>384.3010043814769</v>
      </c>
      <c r="BI27" s="62">
        <f ca="1">AVERAGE(OFFSET($BH$3,0,0,'Données projet'!$E$11+1,1))-AVERAGE(OFFSET($H$3,0,0,'Données projet'!$E$11+1,1))</f>
        <v>146.25807703055079</v>
      </c>
      <c r="BJ27" s="62">
        <f t="shared" si="38"/>
        <v>177.40137940534413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4.7759999999999998</v>
      </c>
      <c r="BY27" s="13">
        <f>IF('Données projet'!$A$114&gt;35,BY26+BX27-CG26,IF(A27&lt;'Données projet'!$A$114,$BV$205^A27,IF(A27='Données projet'!$A$114,'Données projet'!$B$114,BY26+BX27-CG26)))</f>
        <v>98.610725434620448</v>
      </c>
      <c r="BZ27" s="14">
        <f>BY27*VLOOKUP('Données projet'!$B$12,Paramètres!$A$1:$I$89,3,0)*VLOOKUP('Données projet'!$B$12,Paramètres!$A$1:$I$89,5,0)</f>
        <v>46.149819503402369</v>
      </c>
      <c r="CA27" s="14">
        <f t="shared" si="39"/>
        <v>13.614844418563647</v>
      </c>
      <c r="CB27" s="22">
        <f t="shared" si="10"/>
        <v>104.09012299742415</v>
      </c>
      <c r="CC27" s="62">
        <f t="shared" si="11"/>
        <v>390.09012299742415</v>
      </c>
      <c r="CD27" s="62">
        <f ca="1">AVERAGE(OFFSET($CC$3,0,0,'Données projet'!$E$12+1,1))-AVERAGE(OFFSET($H$3,0,0,'Données projet'!$E$12+1,1))</f>
        <v>287.12723448949828</v>
      </c>
      <c r="CE27" s="62">
        <f t="shared" si="40"/>
        <v>170.5203352323382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8.1</v>
      </c>
      <c r="CT27" s="13">
        <f>IF('Données projet'!$A$140&gt;35,CT26+CS27-DB26,IF(A27&lt;'Données projet'!$A$140,$CQ$205^A27,IF(A27='Données projet'!$A$140,'Données projet'!$B$140,CT26+CS27-DB26)))</f>
        <v>163.74499203981463</v>
      </c>
      <c r="CU27" s="18">
        <f>CT27*VLOOKUP('Données projet'!$B$13,Paramètres!$A$1:$I$89,3,0)*VLOOKUP('Données projet'!$B$13,Paramètres!$A$1:$I$89,5,0)</f>
        <v>158.37415630090871</v>
      </c>
      <c r="CV27" s="14">
        <f t="shared" si="41"/>
        <v>40.475584122907016</v>
      </c>
      <c r="CW27" s="22">
        <f t="shared" si="13"/>
        <v>346.32996457147902</v>
      </c>
      <c r="CX27" s="62">
        <f t="shared" si="14"/>
        <v>632.32996457147897</v>
      </c>
      <c r="CY27" s="62">
        <f ca="1">AVERAGE(OFFSET($CX$3,0,0,'Données projet'!$E$13+1,1))-AVERAGE(OFFSET($H$3,0,0,'Données projet'!$E$13+1,1))</f>
        <v>467.37715054082025</v>
      </c>
      <c r="CZ27" s="62">
        <f t="shared" si="42"/>
        <v>443.35096563136415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8.1</v>
      </c>
      <c r="DO27" s="13">
        <f>IF('Données projet'!$A$166&gt;35,DO26+DN27-DW26,IF(A27&lt;'Données projet'!$A$166,$DL$205^A27,IF(A27='Données projet'!$A$166,'Données projet'!$B$166,DO26+DN27-DW26)))</f>
        <v>163.74499203981463</v>
      </c>
      <c r="DP27" s="18">
        <f>DO27*VLOOKUP('Données projet'!$B$14,Paramètres!$A$1:$I$89,3,0)*VLOOKUP('Données projet'!$B$14,Paramètres!$A$1:$I$89,5,0)</f>
        <v>176.25510943165648</v>
      </c>
      <c r="DQ27" s="14">
        <f t="shared" si="43"/>
        <v>44.4880002716828</v>
      </c>
      <c r="DR27" s="22">
        <f t="shared" si="16"/>
        <v>384.46091606664919</v>
      </c>
      <c r="DS27" s="62">
        <f t="shared" si="17"/>
        <v>670.46091606664913</v>
      </c>
      <c r="DT27" s="62">
        <f ca="1">AVERAGE(OFFSET($DS$3,0,0,'Données projet'!$E$14+1,1))-AVERAGE(OFFSET($H$3,0,0,'Données projet'!$E$14+1,1))</f>
        <v>524.51242549438939</v>
      </c>
      <c r="DU27" s="62">
        <f t="shared" si="44"/>
        <v>494.88778446576327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307.81969047561677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85</v>
      </c>
      <c r="L28" s="13">
        <f>VLOOKUP(A28,'Données projet'!$A$35:$I$55,9,0)</f>
        <v>3.4</v>
      </c>
      <c r="M28" s="13">
        <f t="array" ref="M28">INDEX(L:L,MIN(IF(ISNUMBER(L28:L224),ROW(L28:L224),"")))</f>
        <v>3.4</v>
      </c>
      <c r="N28" s="14">
        <f>IF('Données projet'!$A$36&gt;35,N27+M28-V27,IF(A28&lt;'Données projet'!$A$36,$K$205^A28,IF(A28='Données projet'!$A$36,'Données projet'!$B$36,N27+M28-V27)))</f>
        <v>85</v>
      </c>
      <c r="O28" s="14">
        <f>N28*VLOOKUP('Données projet'!$B$9,Paramètres!$A$1:$I$89,3,0)*VLOOKUP('Données projet'!$B$9,Paramètres!$A$1:$I$89,5,0)</f>
        <v>76.908000000000001</v>
      </c>
      <c r="P28" s="14">
        <f t="shared" si="33"/>
        <v>21.379448490435635</v>
      </c>
      <c r="Q28" s="22">
        <f t="shared" si="2"/>
        <v>171.18397278750874</v>
      </c>
      <c r="R28" s="62">
        <f t="shared" si="0"/>
        <v>458.40619500973094</v>
      </c>
      <c r="S28" s="62">
        <f ca="1">AVERAGE(OFFSET($R$3,0,0,'Données projet'!$E$9+1,1))-AVERAGE(OFFSET($H$3,0,0,'Données projet'!$E$9+1,1))</f>
        <v>299.17641394512162</v>
      </c>
      <c r="T28" s="62">
        <f t="shared" si="34"/>
        <v>180.73046320039873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8.5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111.25</v>
      </c>
      <c r="AG28" s="13">
        <f>VLOOKUP(A28,'Données projet'!$A$61:$I$81,9,0)</f>
        <v>4.45</v>
      </c>
      <c r="AH28" s="13">
        <f t="array" ref="AH28">INDEX(AG:AG,MIN(IF(ISNUMBER(AG28:AG224),ROW(AG28:AG224),"")))</f>
        <v>4.45</v>
      </c>
      <c r="AI28" s="14">
        <f>IF('Données projet'!$A$62&gt;35,AI27+AH28-AQ27,IF(A28&lt;'Données projet'!$A$62,$AF$205^A28,IF(A28='Données projet'!$A$62,'Données projet'!$B$62,AI27+AH28-AQ27)))</f>
        <v>111.25</v>
      </c>
      <c r="AJ28" s="14">
        <f>AI28*VLOOKUP('Données projet'!$B$10,Paramètres!$A$1:$I$89,3,0)*VLOOKUP('Données projet'!$B$10,Paramètres!$A$1:$I$89,5,0)</f>
        <v>112.8075</v>
      </c>
      <c r="AK28" s="14">
        <f t="shared" si="35"/>
        <v>29.991480117487335</v>
      </c>
      <c r="AL28" s="22">
        <f t="shared" si="4"/>
        <v>248.70822370462375</v>
      </c>
      <c r="AM28" s="62">
        <f t="shared" si="5"/>
        <v>535.93044592684601</v>
      </c>
      <c r="AN28" s="62">
        <f ca="1">AVERAGE(OFFSET($AM$3,0,0,'Données projet'!$E$10+1,1))-AVERAGE(OFFSET($H$3,0,0,'Données projet'!$E$10+1,1))</f>
        <v>384.66322295929552</v>
      </c>
      <c r="AO28" s="62">
        <f t="shared" si="36"/>
        <v>248.53970183513286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11.13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87</v>
      </c>
      <c r="BB28" s="13">
        <f>VLOOKUP(A28,'Données projet'!$A$87:$I$107,9,0)</f>
        <v>3.48</v>
      </c>
      <c r="BC28" s="13">
        <f t="array" ref="BC28">INDEX(BB:BB,MIN(IF(ISNUMBER(BB28:BB224),ROW(BB28:BB224),"")))</f>
        <v>3.48</v>
      </c>
      <c r="BD28" s="13">
        <f>IF('Données projet'!$A$88&gt;35,BD27+BC28-BL27,IF(A28&lt;'Données projet'!$A$88,$BA$205^A28,IF(A28='Données projet'!$A$88,'Données projet'!$B$88,BD27+BC28-BL27)))</f>
        <v>87</v>
      </c>
      <c r="BE28" s="14">
        <f>BD28*VLOOKUP('Données projet'!$B$11,Paramètres!$A$1:$I$89,3,0)*VLOOKUP('Données projet'!$B$11,Paramètres!$A$1:$I$89,5,0)</f>
        <v>52.026000000000003</v>
      </c>
      <c r="BF28" s="14">
        <f t="shared" si="37"/>
        <v>15.135767316300118</v>
      </c>
      <c r="BG28" s="22">
        <f t="shared" si="7"/>
        <v>116.97341140922269</v>
      </c>
      <c r="BH28" s="62">
        <f t="shared" si="8"/>
        <v>404.19563363144493</v>
      </c>
      <c r="BI28" s="62">
        <f ca="1">AVERAGE(OFFSET($BH$3,0,0,'Données projet'!$E$11+1,1))-AVERAGE(OFFSET($H$3,0,0,'Données projet'!$E$11+1,1))</f>
        <v>146.25807703055079</v>
      </c>
      <c r="BJ28" s="62">
        <f t="shared" si="38"/>
        <v>177.40137940534413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8.6999999999999993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5.8500000000000003E-2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0.40215298903786739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0.40215298903786739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119.4</v>
      </c>
      <c r="BW28" s="13">
        <f>VLOOKUP(A28,'Données projet'!$A$113:$I$133,9,0)</f>
        <v>4.7759999999999998</v>
      </c>
      <c r="BX28" s="13">
        <f t="array" ref="BX28">INDEX(BW:BW,MIN(IF(ISNUMBER(BW28:BW224),ROW(BW28:BW224),"")))</f>
        <v>4.7759999999999998</v>
      </c>
      <c r="BY28" s="13">
        <f>IF('Données projet'!$A$114&gt;35,BY27+BX28-CG27,IF(A28&lt;'Données projet'!$A$114,$BV$205^A28,IF(A28='Données projet'!$A$114,'Données projet'!$B$114,BY27+BX28-CG27)))</f>
        <v>119.4</v>
      </c>
      <c r="BZ28" s="14">
        <f>BY28*VLOOKUP('Données projet'!$B$12,Paramètres!$A$1:$I$89,3,0)*VLOOKUP('Données projet'!$B$12,Paramètres!$A$1:$I$89,5,0)</f>
        <v>55.879200000000004</v>
      </c>
      <c r="CA28" s="14">
        <f t="shared" si="39"/>
        <v>16.122126475486027</v>
      </c>
      <c r="CB28" s="22">
        <f t="shared" si="10"/>
        <v>125.40231027813816</v>
      </c>
      <c r="CC28" s="62">
        <f t="shared" si="11"/>
        <v>412.62453250036037</v>
      </c>
      <c r="CD28" s="62">
        <f ca="1">AVERAGE(OFFSET($CC$3,0,0,'Données projet'!$E$12+1,1))-AVERAGE(OFFSET($H$3,0,0,'Données projet'!$E$12+1,1))</f>
        <v>287.12723448949828</v>
      </c>
      <c r="CE28" s="62">
        <f t="shared" si="40"/>
        <v>170.5203352323382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11.94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0.13750000000000001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1.0152380267603409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1.0152380267603409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202.5</v>
      </c>
      <c r="CR28" s="13">
        <f>VLOOKUP(A28,'Données projet'!$A$139:$I$159,9,0)</f>
        <v>8.1</v>
      </c>
      <c r="CS28" s="13">
        <f t="array" ref="CS28">INDEX(CR:CR,MIN(IF(ISNUMBER(CR28:CR224),ROW(CR28:CR224),"")))</f>
        <v>8.1</v>
      </c>
      <c r="CT28" s="13">
        <f>IF('Données projet'!$A$140&gt;35,CT27+CS28-DB27,IF(A28&lt;'Données projet'!$A$140,$CQ$205^A28,IF(A28='Données projet'!$A$140,'Données projet'!$B$140,CT27+CS28-DB27)))</f>
        <v>202.5</v>
      </c>
      <c r="CU28" s="18">
        <f>CT28*VLOOKUP('Données projet'!$B$13,Paramètres!$A$1:$I$89,3,0)*VLOOKUP('Données projet'!$B$13,Paramètres!$A$1:$I$89,5,0)</f>
        <v>195.858</v>
      </c>
      <c r="CV28" s="14">
        <f t="shared" si="41"/>
        <v>48.832775753460339</v>
      </c>
      <c r="CW28" s="22">
        <f t="shared" si="13"/>
        <v>426.16976777061012</v>
      </c>
      <c r="CX28" s="62">
        <f t="shared" si="14"/>
        <v>713.39198999283235</v>
      </c>
      <c r="CY28" s="62">
        <f ca="1">AVERAGE(OFFSET($CX$3,0,0,'Données projet'!$E$13+1,1))-AVERAGE(OFFSET($H$3,0,0,'Données projet'!$E$13+1,1))</f>
        <v>467.37715054082025</v>
      </c>
      <c r="CZ28" s="62">
        <f t="shared" si="42"/>
        <v>443.35096563136415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20.25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202.5</v>
      </c>
      <c r="DM28" s="13">
        <f>VLOOKUP(A28,'Données projet'!$A$165:$I$185,9,0)</f>
        <v>8.1</v>
      </c>
      <c r="DN28" s="13">
        <f t="array" ref="DN28">INDEX(DM:DM,MIN(IF(ISNUMBER(DM28:DM224),ROW(DM28:DM224),"")))</f>
        <v>8.1</v>
      </c>
      <c r="DO28" s="13">
        <f>IF('Données projet'!$A$166&gt;35,DO27+DN28-DW27,IF(A28&lt;'Données projet'!$A$166,$DL$205^A28,IF(A28='Données projet'!$A$166,'Données projet'!$B$166,DO27+DN28-DW27)))</f>
        <v>202.5</v>
      </c>
      <c r="DP28" s="18">
        <f>DO28*VLOOKUP('Données projet'!$B$14,Paramètres!$A$1:$I$89,3,0)*VLOOKUP('Données projet'!$B$14,Paramètres!$A$1:$I$89,5,0)</f>
        <v>217.971</v>
      </c>
      <c r="DQ28" s="14">
        <f t="shared" si="43"/>
        <v>53.673655070427102</v>
      </c>
      <c r="DR28" s="22">
        <f t="shared" si="16"/>
        <v>473.11444091432713</v>
      </c>
      <c r="DS28" s="62">
        <f t="shared" si="17"/>
        <v>760.3366631365493</v>
      </c>
      <c r="DT28" s="62">
        <f ca="1">AVERAGE(OFFSET($DS$3,0,0,'Données projet'!$E$14+1,1))-AVERAGE(OFFSET($H$3,0,0,'Données projet'!$E$14+1,1))</f>
        <v>524.51242549438939</v>
      </c>
      <c r="DU28" s="62">
        <f t="shared" si="44"/>
        <v>494.88778446576327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20.25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309.80690215583428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5.166666666666667</v>
      </c>
      <c r="N29" s="14">
        <f>IF('Données projet'!$A$36&gt;35,N28+M29-V28,IF(A29&lt;'Données projet'!$A$36,$K$205^A29,IF(A29='Données projet'!$A$36,'Données projet'!$B$36,N28+M29-V28)))</f>
        <v>81.666666666666671</v>
      </c>
      <c r="O29" s="14">
        <f>N29*VLOOKUP('Données projet'!$B$9,Paramètres!$A$1:$I$89,3,0)*VLOOKUP('Données projet'!$B$9,Paramètres!$A$1:$I$89,5,0)</f>
        <v>73.89200000000001</v>
      </c>
      <c r="P29" s="14">
        <f t="shared" si="33"/>
        <v>20.636913630302118</v>
      </c>
      <c r="Q29" s="22">
        <f t="shared" si="2"/>
        <v>164.63785790610953</v>
      </c>
      <c r="R29" s="62">
        <f t="shared" si="0"/>
        <v>453.08230235055396</v>
      </c>
      <c r="S29" s="62">
        <f ca="1">AVERAGE(OFFSET($R$3,0,0,'Données projet'!$E$9+1,1))-AVERAGE(OFFSET($H$3,0,0,'Données projet'!$E$9+1,1))</f>
        <v>299.17641394512162</v>
      </c>
      <c r="T29" s="62">
        <f t="shared" si="34"/>
        <v>180.73046320039873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4.4508333333333328</v>
      </c>
      <c r="AI29" s="14">
        <f>IF('Données projet'!$A$62&gt;35,AI28+AH29-AQ28,IF(A29&lt;'Données projet'!$A$62,$AF$205^A29,IF(A29='Données projet'!$A$62,'Données projet'!$B$62,AI28+AH29-AQ28)))</f>
        <v>104.57083333333334</v>
      </c>
      <c r="AJ29" s="14">
        <f>AI29*VLOOKUP('Données projet'!$B$10,Paramètres!$A$1:$I$89,3,0)*VLOOKUP('Données projet'!$B$10,Paramètres!$A$1:$I$89,5,0)</f>
        <v>106.03482500000003</v>
      </c>
      <c r="AK29" s="14">
        <f t="shared" si="35"/>
        <v>28.394771662391534</v>
      </c>
      <c r="AL29" s="22">
        <f t="shared" si="4"/>
        <v>234.13154752033196</v>
      </c>
      <c r="AM29" s="62">
        <f t="shared" si="5"/>
        <v>522.57599196477645</v>
      </c>
      <c r="AN29" s="62">
        <f ca="1">AVERAGE(OFFSET($AM$3,0,0,'Données projet'!$E$10+1,1))-AVERAGE(OFFSET($H$3,0,0,'Données projet'!$E$10+1,1))</f>
        <v>384.66322295929552</v>
      </c>
      <c r="AO29" s="62">
        <f t="shared" si="36"/>
        <v>248.53970183513286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14.791666666666666</v>
      </c>
      <c r="BD29" s="13">
        <f>IF('Données projet'!$A$88&gt;35,BD28+BC29-BL28,IF(A29&lt;'Données projet'!$A$88,$BA$205^A29,IF(A29='Données projet'!$A$88,'Données projet'!$B$88,BD28+BC29-BL28)))</f>
        <v>93.091666666666669</v>
      </c>
      <c r="BE29" s="14">
        <f>BD29*VLOOKUP('Données projet'!$B$11,Paramètres!$A$1:$I$89,3,0)*VLOOKUP('Données projet'!$B$11,Paramètres!$A$1:$I$89,5,0)</f>
        <v>55.668816666666672</v>
      </c>
      <c r="BF29" s="14">
        <f t="shared" si="37"/>
        <v>16.068480830752016</v>
      </c>
      <c r="BG29" s="22">
        <f t="shared" si="7"/>
        <v>124.94245980800422</v>
      </c>
      <c r="BH29" s="62">
        <f t="shared" si="8"/>
        <v>413.38690425244869</v>
      </c>
      <c r="BI29" s="62">
        <f ca="1">AVERAGE(OFFSET($BH$3,0,0,'Données projet'!$E$11+1,1))-AVERAGE(OFFSET($H$3,0,0,'Données projet'!$E$11+1,1))</f>
        <v>146.25807703055079</v>
      </c>
      <c r="BJ29" s="62">
        <f t="shared" si="38"/>
        <v>177.40137940534413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0.39115609440432036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0.39115609440432036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16.058333333333334</v>
      </c>
      <c r="BY29" s="13">
        <f>IF('Données projet'!$A$114&gt;35,BY28+BX29-CG28,IF(A29&lt;'Données projet'!$A$114,$BV$205^A29,IF(A29='Données projet'!$A$114,'Données projet'!$B$114,BY28+BX29-CG28)))</f>
        <v>123.51833333333335</v>
      </c>
      <c r="BZ29" s="14">
        <f>BY29*VLOOKUP('Données projet'!$B$12,Paramètres!$A$1:$I$89,3,0)*VLOOKUP('Données projet'!$B$12,Paramètres!$A$1:$I$89,5,0)</f>
        <v>57.806580000000004</v>
      </c>
      <c r="CA29" s="14">
        <f t="shared" si="39"/>
        <v>16.612507345760395</v>
      </c>
      <c r="CB29" s="22">
        <f t="shared" si="10"/>
        <v>129.61324379386602</v>
      </c>
      <c r="CC29" s="62">
        <f t="shared" si="11"/>
        <v>418.05768823831045</v>
      </c>
      <c r="CD29" s="62">
        <f ca="1">AVERAGE(OFFSET($CC$3,0,0,'Données projet'!$E$12+1,1))-AVERAGE(OFFSET($H$3,0,0,'Données projet'!$E$12+1,1))</f>
        <v>287.12723448949828</v>
      </c>
      <c r="CE29" s="62">
        <f t="shared" si="40"/>
        <v>170.5203352323382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0.98747628952953193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0.98747628952953193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8.1</v>
      </c>
      <c r="CT29" s="13">
        <f>IF('Données projet'!$A$140&gt;35,CT28+CS29-DB28,IF(A29&lt;'Données projet'!$A$140,$CQ$205^A29,IF(A29='Données projet'!$A$140,'Données projet'!$B$140,CT28+CS29-DB28)))</f>
        <v>190.35</v>
      </c>
      <c r="CU29" s="18">
        <f>CT29*VLOOKUP('Données projet'!$B$13,Paramètres!$A$1:$I$89,3,0)*VLOOKUP('Données projet'!$B$13,Paramètres!$A$1:$I$89,5,0)</f>
        <v>184.10651999999999</v>
      </c>
      <c r="CV29" s="14">
        <f t="shared" si="41"/>
        <v>46.234608296475862</v>
      </c>
      <c r="CW29" s="22">
        <f t="shared" si="13"/>
        <v>401.1774651163621</v>
      </c>
      <c r="CX29" s="62">
        <f t="shared" si="14"/>
        <v>689.62190956080656</v>
      </c>
      <c r="CY29" s="62">
        <f ca="1">AVERAGE(OFFSET($CX$3,0,0,'Données projet'!$E$13+1,1))-AVERAGE(OFFSET($H$3,0,0,'Données projet'!$E$13+1,1))</f>
        <v>467.37715054082025</v>
      </c>
      <c r="CZ29" s="62">
        <f t="shared" si="42"/>
        <v>443.35096563136415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8.1</v>
      </c>
      <c r="DO29" s="13">
        <f>IF('Données projet'!$A$166&gt;35,DO28+DN29-DW28,IF(A29&lt;'Données projet'!$A$166,$DL$205^A29,IF(A29='Données projet'!$A$166,'Données projet'!$B$166,DO28+DN29-DW28)))</f>
        <v>190.35</v>
      </c>
      <c r="DP29" s="18">
        <f>DO29*VLOOKUP('Données projet'!$B$14,Paramètres!$A$1:$I$89,3,0)*VLOOKUP('Données projet'!$B$14,Paramètres!$A$1:$I$89,5,0)</f>
        <v>204.89274</v>
      </c>
      <c r="DQ29" s="14">
        <f t="shared" si="43"/>
        <v>50.817926684118611</v>
      </c>
      <c r="DR29" s="22">
        <f t="shared" si="16"/>
        <v>445.36274447483993</v>
      </c>
      <c r="DS29" s="62">
        <f t="shared" si="17"/>
        <v>733.80718891928439</v>
      </c>
      <c r="DT29" s="62">
        <f ca="1">AVERAGE(OFFSET($DS$3,0,0,'Données projet'!$E$14+1,1))-AVERAGE(OFFSET($H$3,0,0,'Données projet'!$E$14+1,1))</f>
        <v>524.51242549438939</v>
      </c>
      <c r="DU29" s="62">
        <f t="shared" si="44"/>
        <v>494.88778446576327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311.79215448605208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5.166666666666667</v>
      </c>
      <c r="N30" s="14">
        <f>IF('Données projet'!$A$36&gt;35,N29+M30-V29,IF(A30&lt;'Données projet'!$A$36,$K$205^A30,IF(A30='Données projet'!$A$36,'Données projet'!$B$36,N29+M30-V29)))</f>
        <v>86.833333333333343</v>
      </c>
      <c r="O30" s="14">
        <f>N30*VLOOKUP('Données projet'!$B$9,Paramètres!$A$1:$I$89,3,0)*VLOOKUP('Données projet'!$B$9,Paramètres!$A$1:$I$89,5,0)</f>
        <v>78.566800000000015</v>
      </c>
      <c r="P30" s="14">
        <f t="shared" si="33"/>
        <v>21.786391447163638</v>
      </c>
      <c r="Q30" s="22">
        <f t="shared" si="2"/>
        <v>174.78180843714335</v>
      </c>
      <c r="R30" s="62">
        <f t="shared" si="0"/>
        <v>464.44847510381004</v>
      </c>
      <c r="S30" s="62">
        <f ca="1">AVERAGE(OFFSET($R$3,0,0,'Données projet'!$E$9+1,1))-AVERAGE(OFFSET($H$3,0,0,'Données projet'!$E$9+1,1))</f>
        <v>299.17641394512162</v>
      </c>
      <c r="T30" s="62">
        <f t="shared" si="34"/>
        <v>180.73046320039873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4.4508333333333328</v>
      </c>
      <c r="AI30" s="14">
        <f>IF('Données projet'!$A$62&gt;35,AI29+AH30-AQ29,IF(A30&lt;'Données projet'!$A$62,$AF$205^A30,IF(A30='Données projet'!$A$62,'Données projet'!$B$62,AI29+AH30-AQ29)))</f>
        <v>109.02166666666668</v>
      </c>
      <c r="AJ30" s="14">
        <f>AI30*VLOOKUP('Données projet'!$B$10,Paramètres!$A$1:$I$89,3,0)*VLOOKUP('Données projet'!$B$10,Paramètres!$A$1:$I$89,5,0)</f>
        <v>110.54797000000002</v>
      </c>
      <c r="AK30" s="14">
        <f t="shared" si="35"/>
        <v>29.460053216593895</v>
      </c>
      <c r="AL30" s="22">
        <f t="shared" si="4"/>
        <v>243.8473071022344</v>
      </c>
      <c r="AM30" s="62">
        <f t="shared" si="5"/>
        <v>533.51397376890111</v>
      </c>
      <c r="AN30" s="62">
        <f ca="1">AVERAGE(OFFSET($AM$3,0,0,'Données projet'!$E$10+1,1))-AVERAGE(OFFSET($H$3,0,0,'Données projet'!$E$10+1,1))</f>
        <v>384.66322295929552</v>
      </c>
      <c r="AO30" s="62">
        <f t="shared" si="36"/>
        <v>248.53970183513286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14.791666666666666</v>
      </c>
      <c r="BD30" s="13">
        <f>IF('Données projet'!$A$88&gt;35,BD29+BC30-BL29,IF(A30&lt;'Données projet'!$A$88,$BA$205^A30,IF(A30='Données projet'!$A$88,'Données projet'!$B$88,BD29+BC30-BL29)))</f>
        <v>107.88333333333334</v>
      </c>
      <c r="BE30" s="14">
        <f>BD30*VLOOKUP('Données projet'!$B$11,Paramètres!$A$1:$I$89,3,0)*VLOOKUP('Données projet'!$B$11,Paramètres!$A$1:$I$89,5,0)</f>
        <v>64.514233333333351</v>
      </c>
      <c r="BF30" s="14">
        <f t="shared" si="37"/>
        <v>18.304745732526769</v>
      </c>
      <c r="BG30" s="22">
        <f t="shared" si="7"/>
        <v>144.24305520637304</v>
      </c>
      <c r="BH30" s="62">
        <f t="shared" si="8"/>
        <v>433.90972187303976</v>
      </c>
      <c r="BI30" s="62">
        <f ca="1">AVERAGE(OFFSET($BH$3,0,0,'Données projet'!$E$11+1,1))-AVERAGE(OFFSET($H$3,0,0,'Données projet'!$E$11+1,1))</f>
        <v>146.25807703055079</v>
      </c>
      <c r="BJ30" s="62">
        <f t="shared" si="38"/>
        <v>177.40137940534413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0.38045991043282923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0.38045991043282923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16.058333333333334</v>
      </c>
      <c r="BY30" s="13">
        <f>IF('Données projet'!$A$114&gt;35,BY29+BX30-CG29,IF(A30&lt;'Données projet'!$A$114,$BV$205^A30,IF(A30='Données projet'!$A$114,'Données projet'!$B$114,BY29+BX30-CG29)))</f>
        <v>139.57666666666668</v>
      </c>
      <c r="BZ30" s="14">
        <f>BY30*VLOOKUP('Données projet'!$B$12,Paramètres!$A$1:$I$89,3,0)*VLOOKUP('Données projet'!$B$12,Paramètres!$A$1:$I$89,5,0)</f>
        <v>65.321880000000007</v>
      </c>
      <c r="CA30" s="14">
        <f t="shared" si="39"/>
        <v>18.507080351358344</v>
      </c>
      <c r="CB30" s="22">
        <f t="shared" si="10"/>
        <v>146.00210594528244</v>
      </c>
      <c r="CC30" s="62">
        <f t="shared" si="11"/>
        <v>435.66877261194912</v>
      </c>
      <c r="CD30" s="62">
        <f ca="1">AVERAGE(OFFSET($CC$3,0,0,'Données projet'!$E$12+1,1))-AVERAGE(OFFSET($H$3,0,0,'Données projet'!$E$12+1,1))</f>
        <v>287.12723448949828</v>
      </c>
      <c r="CE30" s="62">
        <f t="shared" si="40"/>
        <v>170.5203352323382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0.96047369846322572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0.96047369846322572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8.1</v>
      </c>
      <c r="CT30" s="13">
        <f>IF('Données projet'!$A$140&gt;35,CT29+CS30-DB29,IF(A30&lt;'Données projet'!$A$140,$CQ$205^A30,IF(A30='Données projet'!$A$140,'Données projet'!$B$140,CT29+CS30-DB29)))</f>
        <v>198.45</v>
      </c>
      <c r="CU30" s="18">
        <f>CT30*VLOOKUP('Données projet'!$B$13,Paramètres!$A$1:$I$89,3,0)*VLOOKUP('Données projet'!$B$13,Paramètres!$A$1:$I$89,5,0)</f>
        <v>191.94083999999998</v>
      </c>
      <c r="CV30" s="14">
        <f t="shared" si="41"/>
        <v>47.968790883716743</v>
      </c>
      <c r="CW30" s="22">
        <f t="shared" si="13"/>
        <v>417.84260712247328</v>
      </c>
      <c r="CX30" s="62">
        <f t="shared" si="14"/>
        <v>707.50927378914002</v>
      </c>
      <c r="CY30" s="62">
        <f ca="1">AVERAGE(OFFSET($CX$3,0,0,'Données projet'!$E$13+1,1))-AVERAGE(OFFSET($H$3,0,0,'Données projet'!$E$13+1,1))</f>
        <v>467.37715054082025</v>
      </c>
      <c r="CZ30" s="62">
        <f t="shared" si="42"/>
        <v>443.35096563136415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8.1</v>
      </c>
      <c r="DO30" s="13">
        <f>IF('Données projet'!$A$166&gt;35,DO29+DN30-DW29,IF(A30&lt;'Données projet'!$A$166,$DL$205^A30,IF(A30='Données projet'!$A$166,'Données projet'!$B$166,DO29+DN30-DW29)))</f>
        <v>198.45</v>
      </c>
      <c r="DP30" s="18">
        <f>DO30*VLOOKUP('Données projet'!$B$14,Paramètres!$A$1:$I$89,3,0)*VLOOKUP('Données projet'!$B$14,Paramètres!$A$1:$I$89,5,0)</f>
        <v>213.61158</v>
      </c>
      <c r="DQ30" s="14">
        <f t="shared" si="43"/>
        <v>52.724021854432827</v>
      </c>
      <c r="DR30" s="22">
        <f t="shared" si="16"/>
        <v>463.86783989647046</v>
      </c>
      <c r="DS30" s="62">
        <f t="shared" si="17"/>
        <v>753.53450656313714</v>
      </c>
      <c r="DT30" s="62">
        <f ca="1">AVERAGE(OFFSET($DS$3,0,0,'Données projet'!$E$14+1,1))-AVERAGE(OFFSET($H$3,0,0,'Données projet'!$E$14+1,1))</f>
        <v>524.51242549438939</v>
      </c>
      <c r="DU30" s="62">
        <f t="shared" si="44"/>
        <v>494.88778446576327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313.77552834500773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5.166666666666667</v>
      </c>
      <c r="N31" s="14">
        <f>IF('Données projet'!$A$36&gt;35,N30+M31-V30,IF(A31&lt;'Données projet'!$A$36,$K$205^A31,IF(A31='Données projet'!$A$36,'Données projet'!$B$36,N30+M31-V30)))</f>
        <v>92.000000000000014</v>
      </c>
      <c r="O31" s="14">
        <f>N31*VLOOKUP('Données projet'!$B$9,Paramètres!$A$1:$I$89,3,0)*VLOOKUP('Données projet'!$B$9,Paramètres!$A$1:$I$89,5,0)</f>
        <v>83.24160000000002</v>
      </c>
      <c r="P31" s="14">
        <f t="shared" si="33"/>
        <v>22.927930643846508</v>
      </c>
      <c r="Q31" s="22">
        <f t="shared" si="2"/>
        <v>184.91193253803272</v>
      </c>
      <c r="R31" s="62">
        <f t="shared" si="0"/>
        <v>475.80082142692157</v>
      </c>
      <c r="S31" s="62">
        <f ca="1">AVERAGE(OFFSET($R$3,0,0,'Données projet'!$E$9+1,1))-AVERAGE(OFFSET($H$3,0,0,'Données projet'!$E$9+1,1))</f>
        <v>299.17641394512162</v>
      </c>
      <c r="T31" s="62">
        <f t="shared" si="34"/>
        <v>180.73046320039873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4.4508333333333328</v>
      </c>
      <c r="AI31" s="14">
        <f>IF('Données projet'!$A$62&gt;35,AI30+AH31-AQ30,IF(A31&lt;'Données projet'!$A$62,$AF$205^A31,IF(A31='Données projet'!$A$62,'Données projet'!$B$62,AI30+AH31-AQ30)))</f>
        <v>113.47250000000001</v>
      </c>
      <c r="AJ31" s="14">
        <f>AI31*VLOOKUP('Données projet'!$B$10,Paramètres!$A$1:$I$89,3,0)*VLOOKUP('Données projet'!$B$10,Paramètres!$A$1:$I$89,5,0)</f>
        <v>115.06111500000003</v>
      </c>
      <c r="AK31" s="14">
        <f t="shared" si="35"/>
        <v>30.520283020876736</v>
      </c>
      <c r="AL31" s="22">
        <f t="shared" si="4"/>
        <v>253.55426821969374</v>
      </c>
      <c r="AM31" s="62">
        <f t="shared" si="5"/>
        <v>544.44315710858257</v>
      </c>
      <c r="AN31" s="62">
        <f ca="1">AVERAGE(OFFSET($AM$3,0,0,'Données projet'!$E$10+1,1))-AVERAGE(OFFSET($H$3,0,0,'Données projet'!$E$10+1,1))</f>
        <v>384.66322295929552</v>
      </c>
      <c r="AO31" s="62">
        <f t="shared" si="36"/>
        <v>248.53970183513286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14.791666666666666</v>
      </c>
      <c r="BD31" s="13">
        <f>IF('Données projet'!$A$88&gt;35,BD30+BC31-BL30,IF(A31&lt;'Données projet'!$A$88,$BA$205^A31,IF(A31='Données projet'!$A$88,'Données projet'!$B$88,BD30+BC31-BL30)))</f>
        <v>122.67500000000001</v>
      </c>
      <c r="BE31" s="14">
        <f>BD31*VLOOKUP('Données projet'!$B$11,Paramètres!$A$1:$I$89,3,0)*VLOOKUP('Données projet'!$B$11,Paramètres!$A$1:$I$89,5,0)</f>
        <v>73.359650000000016</v>
      </c>
      <c r="BF31" s="14">
        <f t="shared" si="37"/>
        <v>20.505487160954434</v>
      </c>
      <c r="BG31" s="22">
        <f t="shared" si="7"/>
        <v>163.48178055532898</v>
      </c>
      <c r="BH31" s="62">
        <f t="shared" si="8"/>
        <v>454.37066944421781</v>
      </c>
      <c r="BI31" s="62">
        <f ca="1">AVERAGE(OFFSET($BH$3,0,0,'Données projet'!$E$11+1,1))-AVERAGE(OFFSET($H$3,0,0,'Données projet'!$E$11+1,1))</f>
        <v>146.25807703055079</v>
      </c>
      <c r="BJ31" s="62">
        <f t="shared" si="38"/>
        <v>177.40137940534413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0.37005621417452639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0.37005621417452639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16.058333333333334</v>
      </c>
      <c r="BY31" s="13">
        <f>IF('Données projet'!$A$114&gt;35,BY30+BX31-CG30,IF(A31&lt;'Données projet'!$A$114,$BV$205^A31,IF(A31='Données projet'!$A$114,'Données projet'!$B$114,BY30+BX31-CG30)))</f>
        <v>155.63500000000002</v>
      </c>
      <c r="BZ31" s="14">
        <f>BY31*VLOOKUP('Données projet'!$B$12,Paramètres!$A$1:$I$89,3,0)*VLOOKUP('Données projet'!$B$12,Paramètres!$A$1:$I$89,5,0)</f>
        <v>72.837180000000004</v>
      </c>
      <c r="CA31" s="14">
        <f t="shared" si="39"/>
        <v>20.376391880862247</v>
      </c>
      <c r="CB31" s="22">
        <f t="shared" si="10"/>
        <v>162.34697102583507</v>
      </c>
      <c r="CC31" s="62">
        <f t="shared" si="11"/>
        <v>453.23585991472396</v>
      </c>
      <c r="CD31" s="62">
        <f ca="1">AVERAGE(OFFSET($CC$3,0,0,'Données projet'!$E$12+1,1))-AVERAGE(OFFSET($H$3,0,0,'Données projet'!$E$12+1,1))</f>
        <v>287.12723448949828</v>
      </c>
      <c r="CE31" s="62">
        <f t="shared" si="40"/>
        <v>170.5203352323382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0.93420949466963221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0.93420949466963221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8.1</v>
      </c>
      <c r="CT31" s="13">
        <f>IF('Données projet'!$A$140&gt;35,CT30+CS31-DB30,IF(A31&lt;'Données projet'!$A$140,$CQ$205^A31,IF(A31='Données projet'!$A$140,'Données projet'!$B$140,CT30+CS31-DB30)))</f>
        <v>206.54999999999998</v>
      </c>
      <c r="CU31" s="18">
        <f>CT31*VLOOKUP('Données projet'!$B$13,Paramètres!$A$1:$I$89,3,0)*VLOOKUP('Données projet'!$B$13,Paramètres!$A$1:$I$89,5,0)</f>
        <v>199.77515999999997</v>
      </c>
      <c r="CV31" s="14">
        <f t="shared" si="41"/>
        <v>49.694751464242451</v>
      </c>
      <c r="CW31" s="22">
        <f t="shared" si="13"/>
        <v>434.49342913355554</v>
      </c>
      <c r="CX31" s="62">
        <f t="shared" si="14"/>
        <v>725.38231802244445</v>
      </c>
      <c r="CY31" s="62">
        <f ca="1">AVERAGE(OFFSET($CX$3,0,0,'Données projet'!$E$13+1,1))-AVERAGE(OFFSET($H$3,0,0,'Données projet'!$E$13+1,1))</f>
        <v>467.37715054082025</v>
      </c>
      <c r="CZ31" s="62">
        <f t="shared" si="42"/>
        <v>443.35096563136415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8.1</v>
      </c>
      <c r="DO31" s="13">
        <f>IF('Données projet'!$A$166&gt;35,DO30+DN31-DW30,IF(A31&lt;'Données projet'!$A$166,$DL$205^A31,IF(A31='Données projet'!$A$166,'Données projet'!$B$166,DO30+DN31-DW30)))</f>
        <v>206.54999999999998</v>
      </c>
      <c r="DP31" s="18">
        <f>DO31*VLOOKUP('Données projet'!$B$14,Paramètres!$A$1:$I$89,3,0)*VLOOKUP('Données projet'!$B$14,Paramètres!$A$1:$I$89,5,0)</f>
        <v>222.33041999999995</v>
      </c>
      <c r="DQ31" s="14">
        <f t="shared" si="43"/>
        <v>54.621079955983127</v>
      </c>
      <c r="DR31" s="22">
        <f t="shared" si="16"/>
        <v>482.35719575667054</v>
      </c>
      <c r="DS31" s="62">
        <f t="shared" si="17"/>
        <v>773.24608464555945</v>
      </c>
      <c r="DT31" s="62">
        <f ca="1">AVERAGE(OFFSET($DS$3,0,0,'Données projet'!$E$14+1,1))-AVERAGE(OFFSET($H$3,0,0,'Données projet'!$E$14+1,1))</f>
        <v>524.51242549438939</v>
      </c>
      <c r="DU31" s="62">
        <f t="shared" si="44"/>
        <v>494.88778446576327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315.75709850689469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5.166666666666667</v>
      </c>
      <c r="N32" s="14">
        <f>IF('Données projet'!$A$36&gt;35,N31+M32-V31,IF(A32&lt;'Données projet'!$A$36,$K$205^A32,IF(A32='Données projet'!$A$36,'Données projet'!$B$36,N31+M32-V31)))</f>
        <v>97.166666666666686</v>
      </c>
      <c r="O32" s="14">
        <f>N32*VLOOKUP('Données projet'!$B$9,Paramètres!$A$1:$I$89,3,0)*VLOOKUP('Données projet'!$B$9,Paramètres!$A$1:$I$89,5,0)</f>
        <v>87.916400000000024</v>
      </c>
      <c r="P32" s="14">
        <f t="shared" si="33"/>
        <v>24.062027856218279</v>
      </c>
      <c r="Q32" s="22">
        <f t="shared" si="2"/>
        <v>195.02909518291355</v>
      </c>
      <c r="R32" s="62">
        <f t="shared" si="0"/>
        <v>487.14020629402467</v>
      </c>
      <c r="S32" s="62">
        <f ca="1">AVERAGE(OFFSET($R$3,0,0,'Données projet'!$E$9+1,1))-AVERAGE(OFFSET($H$3,0,0,'Données projet'!$E$9+1,1))</f>
        <v>299.17641394512162</v>
      </c>
      <c r="T32" s="62">
        <f t="shared" si="34"/>
        <v>180.73046320039873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4.4508333333333328</v>
      </c>
      <c r="AI32" s="14">
        <f>IF('Données projet'!$A$62&gt;35,AI31+AH32-AQ31,IF(A32&lt;'Données projet'!$A$62,$AF$205^A32,IF(A32='Données projet'!$A$62,'Données projet'!$B$62,AI31+AH32-AQ31)))</f>
        <v>117.92333333333335</v>
      </c>
      <c r="AJ32" s="14">
        <f>AI32*VLOOKUP('Données projet'!$B$10,Paramètres!$A$1:$I$89,3,0)*VLOOKUP('Données projet'!$B$10,Paramètres!$A$1:$I$89,5,0)</f>
        <v>119.57426000000002</v>
      </c>
      <c r="AK32" s="14">
        <f t="shared" si="35"/>
        <v>31.575681900243289</v>
      </c>
      <c r="AL32" s="22">
        <f t="shared" si="4"/>
        <v>263.25281547625713</v>
      </c>
      <c r="AM32" s="62">
        <f t="shared" si="5"/>
        <v>555.36392658736827</v>
      </c>
      <c r="AN32" s="62">
        <f ca="1">AVERAGE(OFFSET($AM$3,0,0,'Données projet'!$E$10+1,1))-AVERAGE(OFFSET($H$3,0,0,'Données projet'!$E$10+1,1))</f>
        <v>384.66322295929552</v>
      </c>
      <c r="AO32" s="62">
        <f t="shared" si="36"/>
        <v>248.53970183513286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14.791666666666666</v>
      </c>
      <c r="BD32" s="13">
        <f>IF('Données projet'!$A$88&gt;35,BD31+BC32-BL31,IF(A32&lt;'Données projet'!$A$88,$BA$205^A32,IF(A32='Données projet'!$A$88,'Données projet'!$B$88,BD31+BC32-BL31)))</f>
        <v>137.46666666666667</v>
      </c>
      <c r="BE32" s="14">
        <f>BD32*VLOOKUP('Données projet'!$B$11,Paramètres!$A$1:$I$89,3,0)*VLOOKUP('Données projet'!$B$11,Paramètres!$A$1:$I$89,5,0)</f>
        <v>82.205066666666667</v>
      </c>
      <c r="BF32" s="14">
        <f t="shared" si="37"/>
        <v>22.675478239096513</v>
      </c>
      <c r="BG32" s="22">
        <f t="shared" si="7"/>
        <v>182.66694904420419</v>
      </c>
      <c r="BH32" s="62">
        <f t="shared" si="8"/>
        <v>474.7780601553153</v>
      </c>
      <c r="BI32" s="62">
        <f ca="1">AVERAGE(OFFSET($BH$3,0,0,'Données projet'!$E$11+1,1))-AVERAGE(OFFSET($H$3,0,0,'Données projet'!$E$11+1,1))</f>
        <v>146.25807703055079</v>
      </c>
      <c r="BJ32" s="62">
        <f t="shared" si="38"/>
        <v>177.40137940534413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0.35993700753751345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0.35993700753751345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16.058333333333334</v>
      </c>
      <c r="BY32" s="13">
        <f>IF('Données projet'!$A$114&gt;35,BY31+BX32-CG31,IF(A32&lt;'Données projet'!$A$114,$BV$205^A32,IF(A32='Données projet'!$A$114,'Données projet'!$B$114,BY31+BX32-CG31)))</f>
        <v>171.69333333333336</v>
      </c>
      <c r="BZ32" s="14">
        <f>BY32*VLOOKUP('Données projet'!$B$12,Paramètres!$A$1:$I$89,3,0)*VLOOKUP('Données projet'!$B$12,Paramètres!$A$1:$I$89,5,0)</f>
        <v>80.35248</v>
      </c>
      <c r="CA32" s="14">
        <f t="shared" si="39"/>
        <v>22.223345257363572</v>
      </c>
      <c r="CB32" s="22">
        <f t="shared" si="10"/>
        <v>178.65289565657488</v>
      </c>
      <c r="CC32" s="62">
        <f t="shared" si="11"/>
        <v>470.76400676768606</v>
      </c>
      <c r="CD32" s="62">
        <f ca="1">AVERAGE(OFFSET($CC$3,0,0,'Données projet'!$E$12+1,1))-AVERAGE(OFFSET($H$3,0,0,'Données projet'!$E$12+1,1))</f>
        <v>287.12723448949828</v>
      </c>
      <c r="CE32" s="62">
        <f t="shared" si="40"/>
        <v>170.5203352323382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0.90866348690994891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0.90866348690994891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8.1</v>
      </c>
      <c r="CT32" s="13">
        <f>IF('Données projet'!$A$140&gt;35,CT31+CS32-DB31,IF(A32&lt;'Données projet'!$A$140,$CQ$205^A32,IF(A32='Données projet'!$A$140,'Données projet'!$B$140,CT31+CS32-DB31)))</f>
        <v>214.64999999999998</v>
      </c>
      <c r="CU32" s="18">
        <f>CT32*VLOOKUP('Données projet'!$B$13,Paramètres!$A$1:$I$89,3,0)*VLOOKUP('Données projet'!$B$13,Paramètres!$A$1:$I$89,5,0)</f>
        <v>207.60947999999999</v>
      </c>
      <c r="CV32" s="14">
        <f t="shared" si="41"/>
        <v>51.412849368031573</v>
      </c>
      <c r="CW32" s="22">
        <f t="shared" si="13"/>
        <v>451.13055698265504</v>
      </c>
      <c r="CX32" s="62">
        <f t="shared" si="14"/>
        <v>743.24166809376618</v>
      </c>
      <c r="CY32" s="62">
        <f ca="1">AVERAGE(OFFSET($CX$3,0,0,'Données projet'!$E$13+1,1))-AVERAGE(OFFSET($H$3,0,0,'Données projet'!$E$13+1,1))</f>
        <v>467.37715054082025</v>
      </c>
      <c r="CZ32" s="62">
        <f t="shared" si="42"/>
        <v>443.35096563136415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8.1</v>
      </c>
      <c r="DO32" s="13">
        <f>IF('Données projet'!$A$166&gt;35,DO31+DN32-DW31,IF(A32&lt;'Données projet'!$A$166,$DL$205^A32,IF(A32='Données projet'!$A$166,'Données projet'!$B$166,DO31+DN32-DW31)))</f>
        <v>214.64999999999998</v>
      </c>
      <c r="DP32" s="18">
        <f>DO32*VLOOKUP('Données projet'!$B$14,Paramètres!$A$1:$I$89,3,0)*VLOOKUP('Données projet'!$B$14,Paramètres!$A$1:$I$89,5,0)</f>
        <v>231.04925999999995</v>
      </c>
      <c r="DQ32" s="14">
        <f t="shared" si="43"/>
        <v>56.509495939763589</v>
      </c>
      <c r="DR32" s="22">
        <f t="shared" si="16"/>
        <v>500.83149992842147</v>
      </c>
      <c r="DS32" s="62">
        <f t="shared" si="17"/>
        <v>792.94261103953261</v>
      </c>
      <c r="DT32" s="62">
        <f ca="1">AVERAGE(OFFSET($DS$3,0,0,'Données projet'!$E$14+1,1))-AVERAGE(OFFSET($H$3,0,0,'Données projet'!$E$14+1,1))</f>
        <v>524.51242549438939</v>
      </c>
      <c r="DU32" s="62">
        <f t="shared" si="44"/>
        <v>494.88778446576327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317.73693429658658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5.166666666666667</v>
      </c>
      <c r="N33" s="14">
        <f>IF('Données projet'!$A$36&gt;35,N32+M33-V32,IF(A33&lt;'Données projet'!$A$36,$K$205^A33,IF(A33='Données projet'!$A$36,'Données projet'!$B$36,N32+M33-V32)))</f>
        <v>102.33333333333336</v>
      </c>
      <c r="O33" s="14">
        <f>N33*VLOOKUP('Données projet'!$B$9,Paramètres!$A$1:$I$89,3,0)*VLOOKUP('Données projet'!$B$9,Paramètres!$A$1:$I$89,5,0)</f>
        <v>92.591200000000029</v>
      </c>
      <c r="P33" s="14">
        <f t="shared" si="33"/>
        <v>25.189123921714035</v>
      </c>
      <c r="Q33" s="22">
        <f t="shared" si="2"/>
        <v>205.13406416365197</v>
      </c>
      <c r="R33" s="62">
        <f t="shared" si="0"/>
        <v>498.46739749698531</v>
      </c>
      <c r="S33" s="62">
        <f ca="1">AVERAGE(OFFSET($R$3,0,0,'Données projet'!$E$9+1,1))-AVERAGE(OFFSET($H$3,0,0,'Données projet'!$E$9+1,1))</f>
        <v>299.17641394512162</v>
      </c>
      <c r="T33" s="62">
        <f t="shared" si="34"/>
        <v>180.73046320039873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4.4508333333333328</v>
      </c>
      <c r="AI33" s="14">
        <f>IF('Données projet'!$A$62&gt;35,AI32+AH33-AQ32,IF(A33&lt;'Données projet'!$A$62,$AF$205^A33,IF(A33='Données projet'!$A$62,'Données projet'!$B$62,AI32+AH33-AQ32)))</f>
        <v>122.37416666666668</v>
      </c>
      <c r="AJ33" s="14">
        <f>AI33*VLOOKUP('Données projet'!$B$10,Paramètres!$A$1:$I$89,3,0)*VLOOKUP('Données projet'!$B$10,Paramètres!$A$1:$I$89,5,0)</f>
        <v>124.08740500000002</v>
      </c>
      <c r="AK33" s="14">
        <f t="shared" si="35"/>
        <v>32.626453066059007</v>
      </c>
      <c r="AL33" s="22">
        <f t="shared" si="4"/>
        <v>272.94330279838613</v>
      </c>
      <c r="AM33" s="62">
        <f t="shared" si="5"/>
        <v>566.27663613171944</v>
      </c>
      <c r="AN33" s="62">
        <f ca="1">AVERAGE(OFFSET($AM$3,0,0,'Données projet'!$E$10+1,1))-AVERAGE(OFFSET($H$3,0,0,'Données projet'!$E$10+1,1))</f>
        <v>384.66322295929552</v>
      </c>
      <c r="AO33" s="62">
        <f t="shared" si="36"/>
        <v>248.53970183513286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14.791666666666666</v>
      </c>
      <c r="BD33" s="13">
        <f>IF('Données projet'!$A$88&gt;35,BD32+BC33-BL32,IF(A33&lt;'Données projet'!$A$88,$BA$205^A33,IF(A33='Données projet'!$A$88,'Données projet'!$B$88,BD32+BC33-BL32)))</f>
        <v>152.25833333333333</v>
      </c>
      <c r="BE33" s="14">
        <f>BD33*VLOOKUP('Données projet'!$B$11,Paramètres!$A$1:$I$89,3,0)*VLOOKUP('Données projet'!$B$11,Paramètres!$A$1:$I$89,5,0)</f>
        <v>91.050483333333332</v>
      </c>
      <c r="BF33" s="14">
        <f t="shared" si="37"/>
        <v>24.818404916579034</v>
      </c>
      <c r="BG33" s="22">
        <f t="shared" si="7"/>
        <v>201.8049803685974</v>
      </c>
      <c r="BH33" s="62">
        <f t="shared" si="8"/>
        <v>495.13831370193071</v>
      </c>
      <c r="BI33" s="62">
        <f ca="1">AVERAGE(OFFSET($BH$3,0,0,'Données projet'!$E$11+1,1))-AVERAGE(OFFSET($H$3,0,0,'Données projet'!$E$11+1,1))</f>
        <v>146.25807703055079</v>
      </c>
      <c r="BJ33" s="62">
        <f t="shared" si="38"/>
        <v>177.40137940534413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0.35009451113813556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0.35009451113813556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16.058333333333334</v>
      </c>
      <c r="BY33" s="13">
        <f>IF('Données projet'!$A$114&gt;35,BY32+BX33-CG32,IF(A33&lt;'Données projet'!$A$114,$BV$205^A33,IF(A33='Données projet'!$A$114,'Données projet'!$B$114,BY32+BX33-CG32)))</f>
        <v>187.75166666666669</v>
      </c>
      <c r="BZ33" s="14">
        <f>BY33*VLOOKUP('Données projet'!$B$12,Paramètres!$A$1:$I$89,3,0)*VLOOKUP('Données projet'!$B$12,Paramètres!$A$1:$I$89,5,0)</f>
        <v>87.86778000000001</v>
      </c>
      <c r="CA33" s="14">
        <f t="shared" si="39"/>
        <v>24.05026949029175</v>
      </c>
      <c r="CB33" s="22">
        <f t="shared" si="10"/>
        <v>194.92393619559149</v>
      </c>
      <c r="CC33" s="62">
        <f t="shared" si="11"/>
        <v>488.25726952892478</v>
      </c>
      <c r="CD33" s="62">
        <f ca="1">AVERAGE(OFFSET($CC$3,0,0,'Données projet'!$E$12+1,1))-AVERAGE(OFFSET($H$3,0,0,'Données projet'!$E$12+1,1))</f>
        <v>287.12723448949828</v>
      </c>
      <c r="CE33" s="62">
        <f t="shared" si="40"/>
        <v>170.5203352323382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0.88381603607586035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0.88381603607586035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8.1</v>
      </c>
      <c r="CT33" s="13">
        <f>IF('Données projet'!$A$140&gt;35,CT32+CS33-DB32,IF(A33&lt;'Données projet'!$A$140,$CQ$205^A33,IF(A33='Données projet'!$A$140,'Données projet'!$B$140,CT32+CS33-DB32)))</f>
        <v>222.74999999999997</v>
      </c>
      <c r="CU33" s="18">
        <f>CT33*VLOOKUP('Données projet'!$B$13,Paramètres!$A$1:$I$89,3,0)*VLOOKUP('Données projet'!$B$13,Paramètres!$A$1:$I$89,5,0)</f>
        <v>215.44379999999998</v>
      </c>
      <c r="CV33" s="14">
        <f t="shared" si="41"/>
        <v>53.123415269636844</v>
      </c>
      <c r="CW33" s="22">
        <f t="shared" si="13"/>
        <v>467.75456659461747</v>
      </c>
      <c r="CX33" s="62">
        <f t="shared" si="14"/>
        <v>761.08789992795073</v>
      </c>
      <c r="CY33" s="62">
        <f ca="1">AVERAGE(OFFSET($CX$3,0,0,'Données projet'!$E$13+1,1))-AVERAGE(OFFSET($H$3,0,0,'Données projet'!$E$13+1,1))</f>
        <v>467.37715054082025</v>
      </c>
      <c r="CZ33" s="62">
        <f t="shared" si="42"/>
        <v>443.35096563136415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8.1</v>
      </c>
      <c r="DO33" s="13">
        <f>IF('Données projet'!$A$166&gt;35,DO32+DN33-DW32,IF(A33&lt;'Données projet'!$A$166,$DL$205^A33,IF(A33='Données projet'!$A$166,'Données projet'!$B$166,DO32+DN33-DW32)))</f>
        <v>222.74999999999997</v>
      </c>
      <c r="DP33" s="18">
        <f>DO33*VLOOKUP('Données projet'!$B$14,Paramètres!$A$1:$I$89,3,0)*VLOOKUP('Données projet'!$B$14,Paramètres!$A$1:$I$89,5,0)</f>
        <v>239.76809999999995</v>
      </c>
      <c r="DQ33" s="14">
        <f t="shared" si="43"/>
        <v>58.389633260679439</v>
      </c>
      <c r="DR33" s="22">
        <f t="shared" si="16"/>
        <v>519.29138542901649</v>
      </c>
      <c r="DS33" s="62">
        <f t="shared" si="17"/>
        <v>812.62471876234986</v>
      </c>
      <c r="DT33" s="62">
        <f ca="1">AVERAGE(OFFSET($DS$3,0,0,'Données projet'!$E$14+1,1))-AVERAGE(OFFSET($H$3,0,0,'Données projet'!$E$14+1,1))</f>
        <v>524.51242549438939</v>
      </c>
      <c r="DU33" s="62">
        <f t="shared" si="44"/>
        <v>494.88778446576327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319.71510015504356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5.166666666666667</v>
      </c>
      <c r="N34" s="14">
        <f>IF('Données projet'!$A$36&gt;35,N33+M34-V33,IF(A34&lt;'Données projet'!$A$36,$K$205^A34,IF(A34='Données projet'!$A$36,'Données projet'!$B$36,N33+M34-V33)))</f>
        <v>107.50000000000003</v>
      </c>
      <c r="O34" s="14">
        <f>N34*VLOOKUP('Données projet'!$B$9,Paramètres!$A$1:$I$89,3,0)*VLOOKUP('Données projet'!$B$9,Paramètres!$A$1:$I$89,5,0)</f>
        <v>97.266000000000034</v>
      </c>
      <c r="P34" s="14">
        <f t="shared" si="33"/>
        <v>26.309612648745627</v>
      </c>
      <c r="Q34" s="22">
        <f t="shared" si="2"/>
        <v>215.22752536323199</v>
      </c>
      <c r="R34" s="62">
        <f t="shared" si="0"/>
        <v>508.56085869656533</v>
      </c>
      <c r="S34" s="62">
        <f ca="1">AVERAGE(OFFSET($R$3,0,0,'Données projet'!$E$9+1,1))-AVERAGE(OFFSET($H$3,0,0,'Données projet'!$E$9+1,1))</f>
        <v>299.17641394512162</v>
      </c>
      <c r="T34" s="62">
        <f t="shared" si="34"/>
        <v>180.73046320039873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4.4508333333333328</v>
      </c>
      <c r="AI34" s="14">
        <f>IF('Données projet'!$A$62&gt;35,AI33+AH34-AQ33,IF(A34&lt;'Données projet'!$A$62,$AF$205^A34,IF(A34='Données projet'!$A$62,'Données projet'!$B$62,AI33+AH34-AQ33)))</f>
        <v>126.82500000000002</v>
      </c>
      <c r="AJ34" s="14">
        <f>AI34*VLOOKUP('Données projet'!$B$10,Paramètres!$A$1:$I$89,3,0)*VLOOKUP('Données projet'!$B$10,Paramètres!$A$1:$I$89,5,0)</f>
        <v>128.60055000000003</v>
      </c>
      <c r="AK34" s="14">
        <f t="shared" si="35"/>
        <v>33.672784110066672</v>
      </c>
      <c r="AL34" s="22">
        <f t="shared" si="4"/>
        <v>282.62605690836614</v>
      </c>
      <c r="AM34" s="62">
        <f t="shared" si="5"/>
        <v>575.95939024169945</v>
      </c>
      <c r="AN34" s="62">
        <f ca="1">AVERAGE(OFFSET($AM$3,0,0,'Données projet'!$E$10+1,1))-AVERAGE(OFFSET($H$3,0,0,'Données projet'!$E$10+1,1))</f>
        <v>384.66322295929552</v>
      </c>
      <c r="AO34" s="62">
        <f t="shared" si="36"/>
        <v>248.53970183513286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14.791666666666666</v>
      </c>
      <c r="BD34" s="13">
        <f>IF('Données projet'!$A$88&gt;35,BD33+BC34-BL33,IF(A34&lt;'Données projet'!$A$88,$BA$205^A34,IF(A34='Données projet'!$A$88,'Données projet'!$B$88,BD33+BC34-BL33)))</f>
        <v>167.04999999999998</v>
      </c>
      <c r="BE34" s="14">
        <f>BD34*VLOOKUP('Données projet'!$B$11,Paramètres!$A$1:$I$89,3,0)*VLOOKUP('Données projet'!$B$11,Paramètres!$A$1:$I$89,5,0)</f>
        <v>99.895899999999983</v>
      </c>
      <c r="BF34" s="14">
        <f t="shared" si="37"/>
        <v>26.937195655711115</v>
      </c>
      <c r="BG34" s="22">
        <f t="shared" si="7"/>
        <v>220.90097493369683</v>
      </c>
      <c r="BH34" s="62">
        <f t="shared" si="8"/>
        <v>514.2343082670302</v>
      </c>
      <c r="BI34" s="62">
        <f ca="1">AVERAGE(OFFSET($BH$3,0,0,'Données projet'!$E$11+1,1))-AVERAGE(OFFSET($H$3,0,0,'Données projet'!$E$11+1,1))</f>
        <v>146.25807703055079</v>
      </c>
      <c r="BJ34" s="62">
        <f t="shared" si="38"/>
        <v>177.40137940534413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0.34052115832039304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0.34052115832039304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16.058333333333334</v>
      </c>
      <c r="BY34" s="13">
        <f>IF('Données projet'!$A$114&gt;35,BY33+BX34-CG33,IF(A34&lt;'Données projet'!$A$114,$BV$205^A34,IF(A34='Données projet'!$A$114,'Données projet'!$B$114,BY33+BX34-CG33)))</f>
        <v>203.81000000000003</v>
      </c>
      <c r="BZ34" s="14">
        <f>BY34*VLOOKUP('Données projet'!$B$12,Paramètres!$A$1:$I$89,3,0)*VLOOKUP('Données projet'!$B$12,Paramètres!$A$1:$I$89,5,0)</f>
        <v>95.383080000000021</v>
      </c>
      <c r="CA34" s="14">
        <f t="shared" si="39"/>
        <v>25.859072436984274</v>
      </c>
      <c r="CB34" s="22">
        <f t="shared" si="10"/>
        <v>211.16341549441429</v>
      </c>
      <c r="CC34" s="62">
        <f t="shared" si="11"/>
        <v>504.49674882774764</v>
      </c>
      <c r="CD34" s="62">
        <f ca="1">AVERAGE(OFFSET($CC$3,0,0,'Données projet'!$E$12+1,1))-AVERAGE(OFFSET($H$3,0,0,'Données projet'!$E$12+1,1))</f>
        <v>287.12723448949828</v>
      </c>
      <c r="CE34" s="62">
        <f t="shared" si="40"/>
        <v>170.5203352323382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0.85964804009150064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0.85964804009150064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8.1</v>
      </c>
      <c r="CT34" s="13">
        <f>IF('Données projet'!$A$140&gt;35,CT33+CS34-DB33,IF(A34&lt;'Données projet'!$A$140,$CQ$205^A34,IF(A34='Données projet'!$A$140,'Données projet'!$B$140,CT33+CS34-DB33)))</f>
        <v>230.84999999999997</v>
      </c>
      <c r="CU34" s="18">
        <f>CT34*VLOOKUP('Données projet'!$B$13,Paramètres!$A$1:$I$89,3,0)*VLOOKUP('Données projet'!$B$13,Paramètres!$A$1:$I$89,5,0)</f>
        <v>223.27811999999997</v>
      </c>
      <c r="CV34" s="14">
        <f t="shared" si="41"/>
        <v>54.826754431595823</v>
      </c>
      <c r="CW34" s="22">
        <f t="shared" si="13"/>
        <v>484.36598963502939</v>
      </c>
      <c r="CX34" s="62">
        <f t="shared" si="14"/>
        <v>777.69932296836271</v>
      </c>
      <c r="CY34" s="62">
        <f ca="1">AVERAGE(OFFSET($CX$3,0,0,'Données projet'!$E$13+1,1))-AVERAGE(OFFSET($H$3,0,0,'Données projet'!$E$13+1,1))</f>
        <v>467.37715054082025</v>
      </c>
      <c r="CZ34" s="62">
        <f t="shared" si="42"/>
        <v>443.35096563136415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8.1</v>
      </c>
      <c r="DO34" s="13">
        <f>IF('Données projet'!$A$166&gt;35,DO33+DN34-DW33,IF(A34&lt;'Données projet'!$A$166,$DL$205^A34,IF(A34='Données projet'!$A$166,'Données projet'!$B$166,DO33+DN34-DW33)))</f>
        <v>230.84999999999997</v>
      </c>
      <c r="DP34" s="18">
        <f>DO34*VLOOKUP('Données projet'!$B$14,Paramètres!$A$1:$I$89,3,0)*VLOOKUP('Données projet'!$B$14,Paramètres!$A$1:$I$89,5,0)</f>
        <v>248.48693999999995</v>
      </c>
      <c r="DQ34" s="14">
        <f t="shared" si="43"/>
        <v>60.261827442482797</v>
      </c>
      <c r="DR34" s="22">
        <f t="shared" si="16"/>
        <v>537.73743662899074</v>
      </c>
      <c r="DS34" s="62">
        <f t="shared" si="17"/>
        <v>831.07076996232399</v>
      </c>
      <c r="DT34" s="62">
        <f ca="1">AVERAGE(OFFSET($DS$3,0,0,'Données projet'!$E$14+1,1))-AVERAGE(OFFSET($H$3,0,0,'Données projet'!$E$14+1,1))</f>
        <v>524.51242549438939</v>
      </c>
      <c r="DU34" s="62">
        <f t="shared" si="44"/>
        <v>494.88778446576327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321.69165612971409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5.166666666666667</v>
      </c>
      <c r="N35" s="14">
        <f>IF('Données projet'!$A$36&gt;35,N34+M35-V34,IF(A35&lt;'Données projet'!$A$36,$K$205^A35,IF(A35='Données projet'!$A$36,'Données projet'!$B$36,N34+M35-V34)))</f>
        <v>112.6666666666667</v>
      </c>
      <c r="O35" s="14">
        <f>N35*VLOOKUP('Données projet'!$B$9,Paramètres!$A$1:$I$89,3,0)*VLOOKUP('Données projet'!$B$9,Paramètres!$A$1:$I$89,5,0)</f>
        <v>101.94080000000002</v>
      </c>
      <c r="P35" s="14">
        <f t="shared" si="33"/>
        <v>27.423847852416618</v>
      </c>
      <c r="Q35" s="22">
        <f t="shared" ref="Q35:Q66" si="53">(O35+P35)*0.475*44/12</f>
        <v>225.31009500962568</v>
      </c>
      <c r="R35" s="62">
        <f t="shared" si="0"/>
        <v>518.64342834295894</v>
      </c>
      <c r="S35" s="62">
        <f ca="1">AVERAGE(OFFSET($R$3,0,0,'Données projet'!$E$9+1,1))-AVERAGE(OFFSET($H$3,0,0,'Données projet'!$E$9+1,1))</f>
        <v>299.17641394512162</v>
      </c>
      <c r="T35" s="62">
        <f t="shared" si="34"/>
        <v>180.73046320039873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4.4508333333333328</v>
      </c>
      <c r="AI35" s="14">
        <f>IF('Données projet'!$A$62&gt;35,AI34+AH35-AQ34,IF(A35&lt;'Données projet'!$A$62,$AF$205^A35,IF(A35='Données projet'!$A$62,'Données projet'!$B$62,AI34+AH35-AQ34)))</f>
        <v>131.27583333333334</v>
      </c>
      <c r="AJ35" s="14">
        <f>AI35*VLOOKUP('Données projet'!$B$10,Paramètres!$A$1:$I$89,3,0)*VLOOKUP('Données projet'!$B$10,Paramètres!$A$1:$I$89,5,0)</f>
        <v>133.11369500000001</v>
      </c>
      <c r="AK35" s="14">
        <f t="shared" si="35"/>
        <v>34.714848710622206</v>
      </c>
      <c r="AL35" s="22">
        <f t="shared" si="4"/>
        <v>292.30138029600039</v>
      </c>
      <c r="AM35" s="62">
        <f t="shared" si="5"/>
        <v>585.63471362933365</v>
      </c>
      <c r="AN35" s="62">
        <f ca="1">AVERAGE(OFFSET($AM$3,0,0,'Données projet'!$E$10+1,1))-AVERAGE(OFFSET($H$3,0,0,'Données projet'!$E$10+1,1))</f>
        <v>384.66322295929552</v>
      </c>
      <c r="AO35" s="62">
        <f t="shared" si="36"/>
        <v>248.53970183513286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14.791666666666666</v>
      </c>
      <c r="BD35" s="13">
        <f>IF('Données projet'!$A$88&gt;35,BD34+BC35-BL34,IF(A35&lt;'Données projet'!$A$88,$BA$205^A35,IF(A35='Données projet'!$A$88,'Données projet'!$B$88,BD34+BC35-BL34)))</f>
        <v>181.84166666666664</v>
      </c>
      <c r="BE35" s="14">
        <f>BD35*VLOOKUP('Données projet'!$B$11,Paramètres!$A$1:$I$89,3,0)*VLOOKUP('Données projet'!$B$11,Paramètres!$A$1:$I$89,5,0)</f>
        <v>108.74131666666666</v>
      </c>
      <c r="BF35" s="14">
        <f t="shared" si="37"/>
        <v>29.03423062221594</v>
      </c>
      <c r="BG35" s="22">
        <f t="shared" si="7"/>
        <v>239.95907819480385</v>
      </c>
      <c r="BH35" s="62">
        <f t="shared" si="8"/>
        <v>533.29241152813711</v>
      </c>
      <c r="BI35" s="62">
        <f ca="1">AVERAGE(OFFSET($BH$3,0,0,'Données projet'!$E$11+1,1))-AVERAGE(OFFSET($H$3,0,0,'Données projet'!$E$11+1,1))</f>
        <v>146.25807703055079</v>
      </c>
      <c r="BJ35" s="62">
        <f t="shared" si="38"/>
        <v>177.40137940534413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0.33120958933889244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0.33120958933889244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16.058333333333334</v>
      </c>
      <c r="BY35" s="13">
        <f>IF('Données projet'!$A$114&gt;35,BY34+BX35-CG34,IF(A35&lt;'Données projet'!$A$114,$BV$205^A35,IF(A35='Données projet'!$A$114,'Données projet'!$B$114,BY34+BX35-CG34)))</f>
        <v>219.86833333333337</v>
      </c>
      <c r="BZ35" s="14">
        <f>BY35*VLOOKUP('Données projet'!$B$12,Paramètres!$A$1:$I$89,3,0)*VLOOKUP('Données projet'!$B$12,Paramètres!$A$1:$I$89,5,0)</f>
        <v>102.89838000000002</v>
      </c>
      <c r="CA35" s="14">
        <f t="shared" si="39"/>
        <v>27.651344216182753</v>
      </c>
      <c r="CB35" s="22">
        <f t="shared" si="10"/>
        <v>227.37410300985164</v>
      </c>
      <c r="CC35" s="62">
        <f t="shared" si="11"/>
        <v>520.70743634318501</v>
      </c>
      <c r="CD35" s="62">
        <f ca="1">AVERAGE(OFFSET($CC$3,0,0,'Données projet'!$E$12+1,1))-AVERAGE(OFFSET($H$3,0,0,'Données projet'!$E$12+1,1))</f>
        <v>287.12723448949828</v>
      </c>
      <c r="CE35" s="62">
        <f t="shared" si="40"/>
        <v>170.5203352323382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0.83614091922827283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0.83614091922827283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8.1</v>
      </c>
      <c r="CT35" s="13">
        <f>IF('Données projet'!$A$140&gt;35,CT34+CS35-DB34,IF(A35&lt;'Données projet'!$A$140,$CQ$205^A35,IF(A35='Données projet'!$A$140,'Données projet'!$B$140,CT34+CS35-DB34)))</f>
        <v>238.94999999999996</v>
      </c>
      <c r="CU35" s="18">
        <f>CT35*VLOOKUP('Données projet'!$B$13,Paramètres!$A$1:$I$89,3,0)*VLOOKUP('Données projet'!$B$13,Paramètres!$A$1:$I$89,5,0)</f>
        <v>231.11243999999996</v>
      </c>
      <c r="CV35" s="14">
        <f t="shared" si="41"/>
        <v>56.523149479835901</v>
      </c>
      <c r="CW35" s="22">
        <f t="shared" si="13"/>
        <v>500.96531834404749</v>
      </c>
      <c r="CX35" s="62">
        <f t="shared" si="14"/>
        <v>794.2986516773808</v>
      </c>
      <c r="CY35" s="62">
        <f ca="1">AVERAGE(OFFSET($CX$3,0,0,'Données projet'!$E$13+1,1))-AVERAGE(OFFSET($H$3,0,0,'Données projet'!$E$13+1,1))</f>
        <v>467.37715054082025</v>
      </c>
      <c r="CZ35" s="62">
        <f t="shared" si="42"/>
        <v>443.35096563136415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8.1</v>
      </c>
      <c r="DO35" s="13">
        <f>IF('Données projet'!$A$166&gt;35,DO34+DN35-DW34,IF(A35&lt;'Données projet'!$A$166,$DL$205^A35,IF(A35='Données projet'!$A$166,'Données projet'!$B$166,DO34+DN35-DW34)))</f>
        <v>238.94999999999996</v>
      </c>
      <c r="DP35" s="18">
        <f>DO35*VLOOKUP('Données projet'!$B$14,Paramètres!$A$1:$I$89,3,0)*VLOOKUP('Données projet'!$B$14,Paramètres!$A$1:$I$89,5,0)</f>
        <v>257.20577999999995</v>
      </c>
      <c r="DQ35" s="14">
        <f t="shared" si="43"/>
        <v>62.12638912830851</v>
      </c>
      <c r="DR35" s="22">
        <f t="shared" si="16"/>
        <v>556.17019456513719</v>
      </c>
      <c r="DS35" s="62">
        <f t="shared" si="17"/>
        <v>849.50352789847057</v>
      </c>
      <c r="DT35" s="62">
        <f ca="1">AVERAGE(OFFSET($DS$3,0,0,'Données projet'!$E$14+1,1))-AVERAGE(OFFSET($H$3,0,0,'Données projet'!$E$14+1,1))</f>
        <v>524.51242549438939</v>
      </c>
      <c r="DU35" s="62">
        <f t="shared" si="44"/>
        <v>494.88778446576327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323.66665830191403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5.166666666666667</v>
      </c>
      <c r="N36" s="14">
        <f>IF('Données projet'!$A$36&gt;35,N35+M36-V35,IF(A36&lt;'Données projet'!$A$36,$K$205^A36,IF(A36='Données projet'!$A$36,'Données projet'!$B$36,N35+M36-V35)))</f>
        <v>117.83333333333337</v>
      </c>
      <c r="O36" s="14">
        <f>N36*VLOOKUP('Données projet'!$B$9,Paramètres!$A$1:$I$89,3,0)*VLOOKUP('Données projet'!$B$9,Paramètres!$A$1:$I$89,5,0)</f>
        <v>106.61560000000003</v>
      </c>
      <c r="P36" s="14">
        <f t="shared" si="33"/>
        <v>28.53214906316601</v>
      </c>
      <c r="Q36" s="22">
        <f t="shared" si="53"/>
        <v>235.38232961834748</v>
      </c>
      <c r="R36" s="62">
        <f t="shared" si="0"/>
        <v>528.71566295168077</v>
      </c>
      <c r="S36" s="62">
        <f ca="1">AVERAGE(OFFSET($R$3,0,0,'Données projet'!$E$9+1,1))-AVERAGE(OFFSET($H$3,0,0,'Données projet'!$E$9+1,1))</f>
        <v>299.17641394512162</v>
      </c>
      <c r="T36" s="62">
        <f t="shared" si="34"/>
        <v>180.73046320039873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4.4508333333333328</v>
      </c>
      <c r="AI36" s="14">
        <f>IF('Données projet'!$A$62&gt;35,AI35+AH36-AQ35,IF(A36&lt;'Données projet'!$A$62,$AF$205^A36,IF(A36='Données projet'!$A$62,'Données projet'!$B$62,AI35+AH36-AQ35)))</f>
        <v>135.72666666666666</v>
      </c>
      <c r="AJ36" s="14">
        <f>AI36*VLOOKUP('Données projet'!$B$10,Paramètres!$A$1:$I$89,3,0)*VLOOKUP('Données projet'!$B$10,Paramètres!$A$1:$I$89,5,0)</f>
        <v>137.62684000000002</v>
      </c>
      <c r="AK36" s="14">
        <f t="shared" si="35"/>
        <v>35.752808101034439</v>
      </c>
      <c r="AL36" s="22">
        <f t="shared" si="4"/>
        <v>301.96955377596834</v>
      </c>
      <c r="AM36" s="62">
        <f t="shared" si="5"/>
        <v>595.30288710930165</v>
      </c>
      <c r="AN36" s="62">
        <f ca="1">AVERAGE(OFFSET($AM$3,0,0,'Données projet'!$E$10+1,1))-AVERAGE(OFFSET($H$3,0,0,'Données projet'!$E$10+1,1))</f>
        <v>384.66322295929552</v>
      </c>
      <c r="AO36" s="62">
        <f t="shared" si="36"/>
        <v>248.53970183513286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14.791666666666666</v>
      </c>
      <c r="BD36" s="13">
        <f>IF('Données projet'!$A$88&gt;35,BD35+BC36-BL35,IF(A36&lt;'Données projet'!$A$88,$BA$205^A36,IF(A36='Données projet'!$A$88,'Données projet'!$B$88,BD35+BC36-BL35)))</f>
        <v>196.6333333333333</v>
      </c>
      <c r="BE36" s="14">
        <f>BD36*VLOOKUP('Données projet'!$B$11,Paramètres!$A$1:$I$89,3,0)*VLOOKUP('Données projet'!$B$11,Paramètres!$A$1:$I$89,5,0)</f>
        <v>117.58673333333333</v>
      </c>
      <c r="BF36" s="14">
        <f t="shared" si="37"/>
        <v>31.111480706510807</v>
      </c>
      <c r="BG36" s="22">
        <f t="shared" si="7"/>
        <v>258.98272278606186</v>
      </c>
      <c r="BH36" s="62">
        <f t="shared" si="8"/>
        <v>552.31605611939517</v>
      </c>
      <c r="BI36" s="62">
        <f ca="1">AVERAGE(OFFSET($BH$3,0,0,'Données projet'!$E$11+1,1))-AVERAGE(OFFSET($H$3,0,0,'Données projet'!$E$11+1,1))</f>
        <v>146.25807703055079</v>
      </c>
      <c r="BJ36" s="62">
        <f t="shared" si="38"/>
        <v>177.40137940534413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0.3221526457008651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0.3221526457008651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16.058333333333334</v>
      </c>
      <c r="BY36" s="13">
        <f>IF('Données projet'!$A$114&gt;35,BY35+BX36-CG35,IF(A36&lt;'Données projet'!$A$114,$BV$205^A36,IF(A36='Données projet'!$A$114,'Données projet'!$B$114,BY35+BX36-CG35)))</f>
        <v>235.9266666666667</v>
      </c>
      <c r="BZ36" s="14">
        <f>BY36*VLOOKUP('Données projet'!$B$12,Paramètres!$A$1:$I$89,3,0)*VLOOKUP('Données projet'!$B$12,Paramètres!$A$1:$I$89,5,0)</f>
        <v>110.41368000000001</v>
      </c>
      <c r="CA36" s="14">
        <f t="shared" si="39"/>
        <v>29.428429504083244</v>
      </c>
      <c r="CB36" s="22">
        <f t="shared" si="10"/>
        <v>243.55834071961166</v>
      </c>
      <c r="CC36" s="62">
        <f t="shared" si="11"/>
        <v>536.89167405294495</v>
      </c>
      <c r="CD36" s="62">
        <f ca="1">AVERAGE(OFFSET($CC$3,0,0,'Données projet'!$E$12+1,1))-AVERAGE(OFFSET($H$3,0,0,'Données projet'!$E$12+1,1))</f>
        <v>287.12723448949828</v>
      </c>
      <c r="CE36" s="62">
        <f t="shared" si="40"/>
        <v>170.5203352323382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0.81327660182123584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0.81327660182123584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8.1</v>
      </c>
      <c r="CT36" s="13">
        <f>IF('Données projet'!$A$140&gt;35,CT35+CS36-DB35,IF(A36&lt;'Données projet'!$A$140,$CQ$205^A36,IF(A36='Données projet'!$A$140,'Données projet'!$B$140,CT35+CS36-DB35)))</f>
        <v>247.04999999999995</v>
      </c>
      <c r="CU36" s="18">
        <f>CT36*VLOOKUP('Données projet'!$B$13,Paramètres!$A$1:$I$89,3,0)*VLOOKUP('Données projet'!$B$13,Paramètres!$A$1:$I$89,5,0)</f>
        <v>238.94675999999995</v>
      </c>
      <c r="CV36" s="14">
        <f t="shared" si="41"/>
        <v>58.212862792181234</v>
      </c>
      <c r="CW36" s="22">
        <f t="shared" si="13"/>
        <v>517.55300969638222</v>
      </c>
      <c r="CX36" s="62">
        <f t="shared" si="14"/>
        <v>810.88634302971559</v>
      </c>
      <c r="CY36" s="62">
        <f ca="1">AVERAGE(OFFSET($CX$3,0,0,'Données projet'!$E$13+1,1))-AVERAGE(OFFSET($H$3,0,0,'Données projet'!$E$13+1,1))</f>
        <v>467.37715054082025</v>
      </c>
      <c r="CZ36" s="62">
        <f t="shared" si="42"/>
        <v>443.35096563136415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8.1</v>
      </c>
      <c r="DO36" s="13">
        <f>IF('Données projet'!$A$166&gt;35,DO35+DN36-DW35,IF(A36&lt;'Données projet'!$A$166,$DL$205^A36,IF(A36='Données projet'!$A$166,'Données projet'!$B$166,DO35+DN36-DW35)))</f>
        <v>247.04999999999995</v>
      </c>
      <c r="DP36" s="18">
        <f>DO36*VLOOKUP('Données projet'!$B$14,Paramètres!$A$1:$I$89,3,0)*VLOOKUP('Données projet'!$B$14,Paramètres!$A$1:$I$89,5,0)</f>
        <v>265.92461999999995</v>
      </c>
      <c r="DQ36" s="14">
        <f t="shared" si="43"/>
        <v>63.98360670595779</v>
      </c>
      <c r="DR36" s="22">
        <f t="shared" si="16"/>
        <v>574.59016151287642</v>
      </c>
      <c r="DS36" s="62">
        <f t="shared" si="17"/>
        <v>867.92349484620968</v>
      </c>
      <c r="DT36" s="62">
        <f ca="1">AVERAGE(OFFSET($DS$3,0,0,'Données projet'!$E$14+1,1))-AVERAGE(OFFSET($H$3,0,0,'Données projet'!$E$14+1,1))</f>
        <v>524.51242549438939</v>
      </c>
      <c r="DU36" s="62">
        <f t="shared" si="44"/>
        <v>494.88778446576327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325.64015916094684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5.166666666666667</v>
      </c>
      <c r="N37" s="14">
        <f>IF('Données projet'!$A$36&gt;35,N36+M37-V36,IF(A37&lt;'Données projet'!$A$36,$K$205^A37,IF(A37='Données projet'!$A$36,'Données projet'!$B$36,N36+M37-V36)))</f>
        <v>123.00000000000004</v>
      </c>
      <c r="O37" s="14">
        <f>N37*VLOOKUP('Données projet'!$B$9,Paramètres!$A$1:$I$89,3,0)*VLOOKUP('Données projet'!$B$9,Paramètres!$A$1:$I$89,5,0)</f>
        <v>111.29040000000003</v>
      </c>
      <c r="P37" s="14">
        <f t="shared" si="33"/>
        <v>29.634806205918245</v>
      </c>
      <c r="Q37" s="22">
        <f t="shared" si="53"/>
        <v>245.44473414197432</v>
      </c>
      <c r="R37" s="62">
        <f t="shared" si="0"/>
        <v>538.77806747530758</v>
      </c>
      <c r="S37" s="62">
        <f ca="1">AVERAGE(OFFSET($R$3,0,0,'Données projet'!$E$9+1,1))-AVERAGE(OFFSET($H$3,0,0,'Données projet'!$E$9+1,1))</f>
        <v>299.17641394512162</v>
      </c>
      <c r="T37" s="62">
        <f t="shared" si="34"/>
        <v>180.73046320039873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4.4508333333333328</v>
      </c>
      <c r="AI37" s="14">
        <f>IF('Données projet'!$A$62&gt;35,AI36+AH37-AQ36,IF(A37&lt;'Données projet'!$A$62,$AF$205^A37,IF(A37='Données projet'!$A$62,'Données projet'!$B$62,AI36+AH37-AQ36)))</f>
        <v>140.17749999999998</v>
      </c>
      <c r="AJ37" s="14">
        <f>AI37*VLOOKUP('Données projet'!$B$10,Paramètres!$A$1:$I$89,3,0)*VLOOKUP('Données projet'!$B$10,Paramètres!$A$1:$I$89,5,0)</f>
        <v>142.139985</v>
      </c>
      <c r="AK37" s="14">
        <f t="shared" si="35"/>
        <v>36.786812339891178</v>
      </c>
      <c r="AL37" s="22">
        <f t="shared" si="4"/>
        <v>311.63083870031045</v>
      </c>
      <c r="AM37" s="62">
        <f t="shared" si="5"/>
        <v>604.96417203364376</v>
      </c>
      <c r="AN37" s="62">
        <f ca="1">AVERAGE(OFFSET($AM$3,0,0,'Données projet'!$E$10+1,1))-AVERAGE(OFFSET($H$3,0,0,'Données projet'!$E$10+1,1))</f>
        <v>384.66322295929552</v>
      </c>
      <c r="AO37" s="62">
        <f t="shared" si="36"/>
        <v>248.53970183513286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14.791666666666666</v>
      </c>
      <c r="BD37" s="13">
        <f>IF('Données projet'!$A$88&gt;35,BD36+BC37-BL36,IF(A37&lt;'Données projet'!$A$88,$BA$205^A37,IF(A37='Données projet'!$A$88,'Données projet'!$B$88,BD36+BC37-BL36)))</f>
        <v>211.42499999999995</v>
      </c>
      <c r="BE37" s="14">
        <f>BD37*VLOOKUP('Données projet'!$B$11,Paramètres!$A$1:$I$89,3,0)*VLOOKUP('Données projet'!$B$11,Paramètres!$A$1:$I$89,5,0)</f>
        <v>126.43214999999998</v>
      </c>
      <c r="BF37" s="14">
        <f t="shared" si="37"/>
        <v>33.170603450173381</v>
      </c>
      <c r="BG37" s="22">
        <f t="shared" si="7"/>
        <v>277.97479559238531</v>
      </c>
      <c r="BH37" s="62">
        <f t="shared" si="8"/>
        <v>571.30812892571862</v>
      </c>
      <c r="BI37" s="62">
        <f ca="1">AVERAGE(OFFSET($BH$3,0,0,'Données projet'!$E$11+1,1))-AVERAGE(OFFSET($H$3,0,0,'Données projet'!$E$11+1,1))</f>
        <v>146.25807703055079</v>
      </c>
      <c r="BJ37" s="62">
        <f t="shared" si="38"/>
        <v>177.40137940534413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0.31334336466290358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0.31334336466290358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16.058333333333334</v>
      </c>
      <c r="BY37" s="13">
        <f>IF('Données projet'!$A$114&gt;35,BY36+BX37-CG36,IF(A37&lt;'Données projet'!$A$114,$BV$205^A37,IF(A37='Données projet'!$A$114,'Données projet'!$B$114,BY36+BX37-CG36)))</f>
        <v>251.98500000000004</v>
      </c>
      <c r="BZ37" s="14">
        <f>BY37*VLOOKUP('Données projet'!$B$12,Paramètres!$A$1:$I$89,3,0)*VLOOKUP('Données projet'!$B$12,Paramètres!$A$1:$I$89,5,0)</f>
        <v>117.92898000000002</v>
      </c>
      <c r="CA37" s="14">
        <f t="shared" si="39"/>
        <v>31.191479565993987</v>
      </c>
      <c r="CB37" s="22">
        <f t="shared" si="10"/>
        <v>259.71813374410618</v>
      </c>
      <c r="CC37" s="62">
        <f t="shared" si="11"/>
        <v>553.0514670774395</v>
      </c>
      <c r="CD37" s="62">
        <f ca="1">AVERAGE(OFFSET($CC$3,0,0,'Données projet'!$E$12+1,1))-AVERAGE(OFFSET($H$3,0,0,'Données projet'!$E$12+1,1))</f>
        <v>287.12723448949828</v>
      </c>
      <c r="CE37" s="62">
        <f t="shared" si="40"/>
        <v>170.5203352323382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0.79103751037607639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0.79103751037607639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8.1</v>
      </c>
      <c r="CT37" s="13">
        <f>IF('Données projet'!$A$140&gt;35,CT36+CS37-DB36,IF(A37&lt;'Données projet'!$A$140,$CQ$205^A37,IF(A37='Données projet'!$A$140,'Données projet'!$B$140,CT36+CS37-DB36)))</f>
        <v>255.14999999999995</v>
      </c>
      <c r="CU37" s="18">
        <f>CT37*VLOOKUP('Données projet'!$B$13,Paramètres!$A$1:$I$89,3,0)*VLOOKUP('Données projet'!$B$13,Paramètres!$A$1:$I$89,5,0)</f>
        <v>246.78107999999995</v>
      </c>
      <c r="CV37" s="14">
        <f t="shared" si="41"/>
        <v>59.89613856481332</v>
      </c>
      <c r="CW37" s="22">
        <f t="shared" si="13"/>
        <v>534.12948900038316</v>
      </c>
      <c r="CX37" s="62">
        <f t="shared" si="14"/>
        <v>827.46282233371653</v>
      </c>
      <c r="CY37" s="62">
        <f ca="1">AVERAGE(OFFSET($CX$3,0,0,'Données projet'!$E$13+1,1))-AVERAGE(OFFSET($H$3,0,0,'Données projet'!$E$13+1,1))</f>
        <v>467.37715054082025</v>
      </c>
      <c r="CZ37" s="62">
        <f t="shared" si="42"/>
        <v>443.35096563136415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8.1</v>
      </c>
      <c r="DO37" s="13">
        <f>IF('Données projet'!$A$166&gt;35,DO36+DN37-DW36,IF(A37&lt;'Données projet'!$A$166,$DL$205^A37,IF(A37='Données projet'!$A$166,'Données projet'!$B$166,DO36+DN37-DW36)))</f>
        <v>255.14999999999995</v>
      </c>
      <c r="DP37" s="18">
        <f>DO37*VLOOKUP('Données projet'!$B$14,Paramètres!$A$1:$I$89,3,0)*VLOOKUP('Données projet'!$B$14,Paramètres!$A$1:$I$89,5,0)</f>
        <v>274.64345999999995</v>
      </c>
      <c r="DQ37" s="14">
        <f t="shared" si="43"/>
        <v>65.833748579210948</v>
      </c>
      <c r="DR37" s="22">
        <f t="shared" si="16"/>
        <v>592.99780494212564</v>
      </c>
      <c r="DS37" s="62">
        <f t="shared" si="17"/>
        <v>886.3311382754589</v>
      </c>
      <c r="DT37" s="62">
        <f ca="1">AVERAGE(OFFSET($DS$3,0,0,'Données projet'!$E$14+1,1))-AVERAGE(OFFSET($H$3,0,0,'Données projet'!$E$14+1,1))</f>
        <v>524.51242549438939</v>
      </c>
      <c r="DU37" s="62">
        <f t="shared" si="44"/>
        <v>494.88778446576327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327.61220793297304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5.166666666666667</v>
      </c>
      <c r="N38" s="14">
        <f>IF('Données projet'!$A$36&gt;35,N37+M38-V37,IF(A38&lt;'Données projet'!$A$36,$K$205^A38,IF(A38='Données projet'!$A$36,'Données projet'!$B$36,N37+M38-V37)))</f>
        <v>128.16666666666671</v>
      </c>
      <c r="O38" s="14">
        <f>N38*VLOOKUP('Données projet'!$B$9,Paramètres!$A$1:$I$89,3,0)*VLOOKUP('Données projet'!$B$9,Paramètres!$A$1:$I$89,5,0)</f>
        <v>115.96520000000004</v>
      </c>
      <c r="P38" s="14">
        <f t="shared" si="33"/>
        <v>30.732083470875732</v>
      </c>
      <c r="Q38" s="22">
        <f t="shared" si="53"/>
        <v>255.49776871177528</v>
      </c>
      <c r="R38" s="62">
        <f t="shared" si="0"/>
        <v>548.83110204510854</v>
      </c>
      <c r="S38" s="62">
        <f ca="1">AVERAGE(OFFSET($R$3,0,0,'Données projet'!$E$9+1,1))-AVERAGE(OFFSET($H$3,0,0,'Données projet'!$E$9+1,1))</f>
        <v>299.17641394512162</v>
      </c>
      <c r="T38" s="62">
        <f t="shared" si="34"/>
        <v>180.73046320039873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4.4508333333333328</v>
      </c>
      <c r="AI38" s="14">
        <f>IF('Données projet'!$A$62&gt;35,AI37+AH38-AQ37,IF(A38&lt;'Données projet'!$A$62,$AF$205^A38,IF(A38='Données projet'!$A$62,'Données projet'!$B$62,AI37+AH38-AQ37)))</f>
        <v>144.6283333333333</v>
      </c>
      <c r="AJ38" s="14">
        <f>AI38*VLOOKUP('Données projet'!$B$10,Paramètres!$A$1:$I$89,3,0)*VLOOKUP('Données projet'!$B$10,Paramètres!$A$1:$I$89,5,0)</f>
        <v>146.65312999999998</v>
      </c>
      <c r="AK38" s="14">
        <f t="shared" si="35"/>
        <v>37.817001415514973</v>
      </c>
      <c r="AL38" s="22">
        <f t="shared" si="4"/>
        <v>321.28547888202183</v>
      </c>
      <c r="AM38" s="62">
        <f t="shared" si="5"/>
        <v>614.61881221535509</v>
      </c>
      <c r="AN38" s="62">
        <f ca="1">AVERAGE(OFFSET($AM$3,0,0,'Données projet'!$E$10+1,1))-AVERAGE(OFFSET($H$3,0,0,'Données projet'!$E$10+1,1))</f>
        <v>384.66322295929552</v>
      </c>
      <c r="AO38" s="62">
        <f t="shared" si="36"/>
        <v>248.53970183513286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14.791666666666666</v>
      </c>
      <c r="BD38" s="13">
        <f>IF('Données projet'!$A$88&gt;35,BD37+BC38-BL37,IF(A38&lt;'Données projet'!$A$88,$BA$205^A38,IF(A38='Données projet'!$A$88,'Données projet'!$B$88,BD37+BC38-BL37)))</f>
        <v>226.21666666666661</v>
      </c>
      <c r="BE38" s="14">
        <f>BD38*VLOOKUP('Données projet'!$B$11,Paramètres!$A$1:$I$89,3,0)*VLOOKUP('Données projet'!$B$11,Paramètres!$A$1:$I$89,5,0)</f>
        <v>135.27756666666664</v>
      </c>
      <c r="BF38" s="14">
        <f t="shared" si="37"/>
        <v>35.213011330689511</v>
      </c>
      <c r="BG38" s="22">
        <f t="shared" si="7"/>
        <v>296.93775667872859</v>
      </c>
      <c r="BH38" s="62">
        <f t="shared" si="8"/>
        <v>590.2710900120619</v>
      </c>
      <c r="BI38" s="62">
        <f ca="1">AVERAGE(OFFSET($BH$3,0,0,'Données projet'!$E$11+1,1))-AVERAGE(OFFSET($H$3,0,0,'Données projet'!$E$11+1,1))</f>
        <v>146.25807703055079</v>
      </c>
      <c r="BJ38" s="62">
        <f t="shared" si="38"/>
        <v>177.40137940534413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0.30477497387818508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0.30477497387818508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16.058333333333334</v>
      </c>
      <c r="BY38" s="13">
        <f>IF('Données projet'!$A$114&gt;35,BY37+BX38-CG37,IF(A38&lt;'Données projet'!$A$114,$BV$205^A38,IF(A38='Données projet'!$A$114,'Données projet'!$B$114,BY37+BX38-CG37)))</f>
        <v>268.04333333333335</v>
      </c>
      <c r="BZ38" s="14">
        <f>BY38*VLOOKUP('Données projet'!$B$12,Paramètres!$A$1:$I$89,3,0)*VLOOKUP('Données projet'!$B$12,Paramètres!$A$1:$I$89,5,0)</f>
        <v>125.44428000000001</v>
      </c>
      <c r="CA38" s="14">
        <f t="shared" si="39"/>
        <v>32.94149063762557</v>
      </c>
      <c r="CB38" s="22">
        <f t="shared" si="10"/>
        <v>275.85521719386452</v>
      </c>
      <c r="CC38" s="62">
        <f t="shared" si="11"/>
        <v>569.18855052719778</v>
      </c>
      <c r="CD38" s="62">
        <f ca="1">AVERAGE(OFFSET($CC$3,0,0,'Données projet'!$E$12+1,1))-AVERAGE(OFFSET($H$3,0,0,'Données projet'!$E$12+1,1))</f>
        <v>287.12723448949828</v>
      </c>
      <c r="CE38" s="62">
        <f t="shared" si="40"/>
        <v>170.5203352323382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0.76940654805598785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0.76940654805598785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8.1</v>
      </c>
      <c r="CT38" s="13">
        <f>IF('Données projet'!$A$140&gt;35,CT37+CS38-DB37,IF(A38&lt;'Données projet'!$A$140,$CQ$205^A38,IF(A38='Données projet'!$A$140,'Données projet'!$B$140,CT37+CS38-DB37)))</f>
        <v>263.24999999999994</v>
      </c>
      <c r="CU38" s="18">
        <f>CT38*VLOOKUP('Données projet'!$B$13,Paramètres!$A$1:$I$89,3,0)*VLOOKUP('Données projet'!$B$13,Paramètres!$A$1:$I$89,5,0)</f>
        <v>254.61539999999997</v>
      </c>
      <c r="CV38" s="14">
        <f t="shared" si="41"/>
        <v>61.573204608952636</v>
      </c>
      <c r="CW38" s="22">
        <f t="shared" si="13"/>
        <v>550.69515302725915</v>
      </c>
      <c r="CX38" s="62">
        <f t="shared" si="14"/>
        <v>844.02848636059252</v>
      </c>
      <c r="CY38" s="62">
        <f ca="1">AVERAGE(OFFSET($CX$3,0,0,'Données projet'!$E$13+1,1))-AVERAGE(OFFSET($H$3,0,0,'Données projet'!$E$13+1,1))</f>
        <v>467.37715054082025</v>
      </c>
      <c r="CZ38" s="62">
        <f t="shared" si="42"/>
        <v>443.35096563136415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8.1</v>
      </c>
      <c r="DO38" s="13">
        <f>IF('Données projet'!$A$166&gt;35,DO37+DN38-DW37,IF(A38&lt;'Données projet'!$A$166,$DL$205^A38,IF(A38='Données projet'!$A$166,'Données projet'!$B$166,DO37+DN38-DW37)))</f>
        <v>263.24999999999994</v>
      </c>
      <c r="DP38" s="18">
        <f>DO38*VLOOKUP('Données projet'!$B$14,Paramètres!$A$1:$I$89,3,0)*VLOOKUP('Données projet'!$B$14,Paramètres!$A$1:$I$89,5,0)</f>
        <v>283.36229999999995</v>
      </c>
      <c r="DQ38" s="14">
        <f t="shared" si="43"/>
        <v>67.677065142617266</v>
      </c>
      <c r="DR38" s="22">
        <f t="shared" si="16"/>
        <v>611.39356095672497</v>
      </c>
      <c r="DS38" s="62">
        <f t="shared" si="17"/>
        <v>904.72689429005823</v>
      </c>
      <c r="DT38" s="62">
        <f ca="1">AVERAGE(OFFSET($DS$3,0,0,'Données projet'!$E$14+1,1))-AVERAGE(OFFSET($H$3,0,0,'Données projet'!$E$14+1,1))</f>
        <v>524.51242549438939</v>
      </c>
      <c r="DU38" s="62">
        <f t="shared" si="44"/>
        <v>494.88778446576327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329.58285087123795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5.166666666666667</v>
      </c>
      <c r="N39" s="14">
        <f>IF('Données projet'!$A$36&gt;35,N38+M39-V38,IF(A39&lt;'Données projet'!$A$36,$K$205^A39,IF(A39='Données projet'!$A$36,'Données projet'!$B$36,N38+M39-V38)))</f>
        <v>133.33333333333337</v>
      </c>
      <c r="O39" s="14">
        <f>N39*VLOOKUP('Données projet'!$B$9,Paramètres!$A$1:$I$89,3,0)*VLOOKUP('Données projet'!$B$9,Paramètres!$A$1:$I$89,5,0)</f>
        <v>120.64000000000004</v>
      </c>
      <c r="P39" s="14">
        <f t="shared" si="33"/>
        <v>31.82422254257969</v>
      </c>
      <c r="Q39" s="22">
        <f t="shared" si="53"/>
        <v>265.54185426165969</v>
      </c>
      <c r="R39" s="62">
        <f t="shared" si="0"/>
        <v>558.87518759499301</v>
      </c>
      <c r="S39" s="62">
        <f ca="1">AVERAGE(OFFSET($R$3,0,0,'Données projet'!$E$9+1,1))-AVERAGE(OFFSET($H$3,0,0,'Données projet'!$E$9+1,1))</f>
        <v>299.17641394512162</v>
      </c>
      <c r="T39" s="62">
        <f t="shared" si="34"/>
        <v>180.73046320039873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4.4508333333333328</v>
      </c>
      <c r="AI39" s="14">
        <f>IF('Données projet'!$A$62&gt;35,AI38+AH39-AQ38,IF(A39&lt;'Données projet'!$A$62,$AF$205^A39,IF(A39='Données projet'!$A$62,'Données projet'!$B$62,AI38+AH39-AQ38)))</f>
        <v>149.07916666666662</v>
      </c>
      <c r="AJ39" s="14">
        <f>AI39*VLOOKUP('Données projet'!$B$10,Paramètres!$A$1:$I$89,3,0)*VLOOKUP('Données projet'!$B$10,Paramètres!$A$1:$I$89,5,0)</f>
        <v>151.16627499999996</v>
      </c>
      <c r="AK39" s="14">
        <f t="shared" si="35"/>
        <v>38.843506210643667</v>
      </c>
      <c r="AL39" s="22">
        <f t="shared" si="4"/>
        <v>330.93370227520433</v>
      </c>
      <c r="AM39" s="62">
        <f t="shared" si="5"/>
        <v>624.26703560853764</v>
      </c>
      <c r="AN39" s="62">
        <f ca="1">AVERAGE(OFFSET($AM$3,0,0,'Données projet'!$E$10+1,1))-AVERAGE(OFFSET($H$3,0,0,'Données projet'!$E$10+1,1))</f>
        <v>384.66322295929552</v>
      </c>
      <c r="AO39" s="62">
        <f t="shared" si="36"/>
        <v>248.53970183513286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14.791666666666666</v>
      </c>
      <c r="BD39" s="13">
        <f>IF('Données projet'!$A$88&gt;35,BD38+BC39-BL38,IF(A39&lt;'Données projet'!$A$88,$BA$205^A39,IF(A39='Données projet'!$A$88,'Données projet'!$B$88,BD38+BC39-BL38)))</f>
        <v>241.00833333333327</v>
      </c>
      <c r="BE39" s="14">
        <f>BD39*VLOOKUP('Données projet'!$B$11,Paramètres!$A$1:$I$89,3,0)*VLOOKUP('Données projet'!$B$11,Paramètres!$A$1:$I$89,5,0)</f>
        <v>144.12298333333331</v>
      </c>
      <c r="BF39" s="14">
        <f t="shared" si="37"/>
        <v>37.239921663052137</v>
      </c>
      <c r="BG39" s="22">
        <f t="shared" si="7"/>
        <v>315.87372620203797</v>
      </c>
      <c r="BH39" s="62">
        <f t="shared" si="8"/>
        <v>609.20705953537129</v>
      </c>
      <c r="BI39" s="62">
        <f ca="1">AVERAGE(OFFSET($BH$3,0,0,'Données projet'!$E$11+1,1))-AVERAGE(OFFSET($H$3,0,0,'Données projet'!$E$11+1,1))</f>
        <v>146.25807703055079</v>
      </c>
      <c r="BJ39" s="62">
        <f t="shared" si="38"/>
        <v>177.40137940534413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0.29644088619006681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0.29644088619006681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16.058333333333334</v>
      </c>
      <c r="BY39" s="13">
        <f>IF('Données projet'!$A$114&gt;35,BY38+BX39-CG38,IF(A39&lt;'Données projet'!$A$114,$BV$205^A39,IF(A39='Données projet'!$A$114,'Données projet'!$B$114,BY38+BX39-CG38)))</f>
        <v>284.10166666666669</v>
      </c>
      <c r="BZ39" s="14">
        <f>BY39*VLOOKUP('Données projet'!$B$12,Paramètres!$A$1:$I$89,3,0)*VLOOKUP('Données projet'!$B$12,Paramètres!$A$1:$I$89,5,0)</f>
        <v>132.95958000000002</v>
      </c>
      <c r="CA39" s="14">
        <f t="shared" si="39"/>
        <v>34.679332842783069</v>
      </c>
      <c r="CB39" s="22">
        <f t="shared" si="10"/>
        <v>291.97110653451392</v>
      </c>
      <c r="CC39" s="62">
        <f t="shared" si="11"/>
        <v>585.30443986784724</v>
      </c>
      <c r="CD39" s="62">
        <f ca="1">AVERAGE(OFFSET($CC$3,0,0,'Données projet'!$E$12+1,1))-AVERAGE(OFFSET($H$3,0,0,'Données projet'!$E$12+1,1))</f>
        <v>287.12723448949828</v>
      </c>
      <c r="CE39" s="62">
        <f t="shared" si="40"/>
        <v>170.5203352323382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0.74836708553806497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0.74836708553806497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8.1</v>
      </c>
      <c r="CT39" s="13">
        <f>IF('Données projet'!$A$140&gt;35,CT38+CS39-DB38,IF(A39&lt;'Données projet'!$A$140,$CQ$205^A39,IF(A39='Données projet'!$A$140,'Données projet'!$B$140,CT38+CS39-DB38)))</f>
        <v>271.34999999999997</v>
      </c>
      <c r="CU39" s="18">
        <f>CT39*VLOOKUP('Données projet'!$B$13,Paramètres!$A$1:$I$89,3,0)*VLOOKUP('Données projet'!$B$13,Paramètres!$A$1:$I$89,5,0)</f>
        <v>262.44971999999996</v>
      </c>
      <c r="CV39" s="14">
        <f t="shared" si="41"/>
        <v>63.244273920197841</v>
      </c>
      <c r="CW39" s="22">
        <f t="shared" si="13"/>
        <v>567.25037274434442</v>
      </c>
      <c r="CX39" s="62">
        <f t="shared" si="14"/>
        <v>860.58370607767779</v>
      </c>
      <c r="CY39" s="62">
        <f ca="1">AVERAGE(OFFSET($CX$3,0,0,'Données projet'!$E$13+1,1))-AVERAGE(OFFSET($H$3,0,0,'Données projet'!$E$13+1,1))</f>
        <v>467.37715054082025</v>
      </c>
      <c r="CZ39" s="62">
        <f t="shared" si="42"/>
        <v>443.35096563136415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8.1</v>
      </c>
      <c r="DO39" s="13">
        <f>IF('Données projet'!$A$166&gt;35,DO38+DN39-DW38,IF(A39&lt;'Données projet'!$A$166,$DL$205^A39,IF(A39='Données projet'!$A$166,'Données projet'!$B$166,DO38+DN39-DW38)))</f>
        <v>271.34999999999997</v>
      </c>
      <c r="DP39" s="18">
        <f>DO39*VLOOKUP('Données projet'!$B$14,Paramètres!$A$1:$I$89,3,0)*VLOOKUP('Données projet'!$B$14,Paramètres!$A$1:$I$89,5,0)</f>
        <v>292.08113999999995</v>
      </c>
      <c r="DQ39" s="14">
        <f t="shared" si="43"/>
        <v>69.513790506405243</v>
      </c>
      <c r="DR39" s="22">
        <f t="shared" si="16"/>
        <v>629.77783729865575</v>
      </c>
      <c r="DS39" s="62">
        <f t="shared" si="17"/>
        <v>923.11117063198913</v>
      </c>
      <c r="DT39" s="62">
        <f ca="1">AVERAGE(OFFSET($DS$3,0,0,'Données projet'!$E$14+1,1))-AVERAGE(OFFSET($H$3,0,0,'Données projet'!$E$14+1,1))</f>
        <v>524.51242549438939</v>
      </c>
      <c r="DU39" s="62">
        <f t="shared" si="44"/>
        <v>494.88778446576327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331.55213151314524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>
        <f>VLOOKUP(A40,'Données projet'!$A$35:$I$55,2,0)</f>
        <v>138.5</v>
      </c>
      <c r="L40" s="13">
        <f>VLOOKUP(A40,'Données projet'!$A$35:$I$55,9,0)</f>
        <v>5.166666666666667</v>
      </c>
      <c r="M40" s="13">
        <f t="array" ref="M40">INDEX(L:L,MIN(IF(ISNUMBER(L40:L236),ROW(L40:L236),"")))</f>
        <v>5.166666666666667</v>
      </c>
      <c r="N40" s="14">
        <f>IF('Données projet'!$A$36&gt;35,N39+M40-V39,IF(A40&lt;'Données projet'!$A$36,$K$205^A40,IF(A40='Données projet'!$A$36,'Données projet'!$B$36,N39+M40-V39)))</f>
        <v>138.50000000000003</v>
      </c>
      <c r="O40" s="14">
        <f>N40*VLOOKUP('Données projet'!$B$9,Paramètres!$A$1:$I$89,3,0)*VLOOKUP('Données projet'!$B$9,Paramètres!$A$1:$I$89,5,0)</f>
        <v>125.31480000000002</v>
      </c>
      <c r="P40" s="14">
        <f t="shared" si="33"/>
        <v>32.911445314387194</v>
      </c>
      <c r="Q40" s="22">
        <f t="shared" si="53"/>
        <v>275.57737725589101</v>
      </c>
      <c r="R40" s="62">
        <f t="shared" si="0"/>
        <v>568.91071058922432</v>
      </c>
      <c r="S40" s="62">
        <f ca="1">AVERAGE(OFFSET($R$3,0,0,'Données projet'!$E$9+1,1))-AVERAGE(OFFSET($H$3,0,0,'Données projet'!$E$9+1,1))</f>
        <v>299.17641394512162</v>
      </c>
      <c r="T40" s="62">
        <f t="shared" si="34"/>
        <v>180.73046320039873</v>
      </c>
      <c r="U40" s="16">
        <f>IF(ISNA(VLOOKUP(A40,'Données projet'!$A$35:$I$55,3,0)),0,VLOOKUP(A40,'Données projet'!$A$35:$I$55,3,0))</f>
        <v>2</v>
      </c>
      <c r="V40" s="16">
        <f>IF(ISNA(VLOOKUP(A40,'Données projet'!$A$35:$I$55,4,0)),0,VLOOKUP(A40,'Données projet'!$A$35:$I$55,4,0))</f>
        <v>13.85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>
        <f>VLOOKUP(A40,'Données projet'!$A$61:$I$81,2,0)</f>
        <v>153.53</v>
      </c>
      <c r="AG40" s="13">
        <f>VLOOKUP(A40,'Données projet'!$A$61:$I$81,9,0)</f>
        <v>4.4508333333333328</v>
      </c>
      <c r="AH40" s="13">
        <f t="array" ref="AH40">INDEX(AG:AG,MIN(IF(ISNUMBER(AG40:AG236),ROW(AG40:AG236),"")))</f>
        <v>4.4508333333333328</v>
      </c>
      <c r="AI40" s="14">
        <f>IF('Données projet'!$A$62&gt;35,AI39+AH40-AQ39,IF(A40&lt;'Données projet'!$A$62,$AF$205^A40,IF(A40='Données projet'!$A$62,'Données projet'!$B$62,AI39+AH40-AQ39)))</f>
        <v>153.52999999999994</v>
      </c>
      <c r="AJ40" s="14">
        <f>AI40*VLOOKUP('Données projet'!$B$10,Paramètres!$A$1:$I$89,3,0)*VLOOKUP('Données projet'!$B$10,Paramètres!$A$1:$I$89,5,0)</f>
        <v>155.67941999999996</v>
      </c>
      <c r="AK40" s="14">
        <f t="shared" si="35"/>
        <v>39.866449348669995</v>
      </c>
      <c r="AL40" s="22">
        <f t="shared" si="4"/>
        <v>340.5757224489335</v>
      </c>
      <c r="AM40" s="62">
        <f t="shared" si="5"/>
        <v>633.90905578226682</v>
      </c>
      <c r="AN40" s="62">
        <f ca="1">AVERAGE(OFFSET($AM$3,0,0,'Données projet'!$E$10+1,1))-AVERAGE(OFFSET($H$3,0,0,'Données projet'!$E$10+1,1))</f>
        <v>384.66322295929552</v>
      </c>
      <c r="AO40" s="62">
        <f t="shared" si="36"/>
        <v>248.53970183513286</v>
      </c>
      <c r="AP40" s="16">
        <f>IF(ISNA(VLOOKUP(A40,'Données projet'!$A$61:$I$81,3,0)),0,VLOOKUP(A40,'Données projet'!$A$61:$I$81,3,0))</f>
        <v>2</v>
      </c>
      <c r="AQ40" s="16">
        <f>IF(ISNA(VLOOKUP(A40,'Données projet'!$A$61:$I$81,4,0)),0,VLOOKUP(A40,'Données projet'!$A$61:$I$81,4,0))</f>
        <v>15.35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255.8</v>
      </c>
      <c r="BB40" s="13">
        <f>VLOOKUP(A40,'Données projet'!$A$87:$I$107,9,0)</f>
        <v>14.791666666666666</v>
      </c>
      <c r="BC40" s="13">
        <f t="array" ref="BC40">INDEX(BB:BB,MIN(IF(ISNUMBER(BB40:BB236),ROW(BB40:BB236),"")))</f>
        <v>14.791666666666666</v>
      </c>
      <c r="BD40" s="13">
        <f>IF('Données projet'!$A$88&gt;35,BD39+BC40-BL39,IF(A40&lt;'Données projet'!$A$88,$BA$205^A40,IF(A40='Données projet'!$A$88,'Données projet'!$B$88,BD39+BC40-BL39)))</f>
        <v>255.79999999999993</v>
      </c>
      <c r="BE40" s="14">
        <f>BD40*VLOOKUP('Données projet'!$B$11,Paramètres!$A$1:$I$89,3,0)*VLOOKUP('Données projet'!$B$11,Paramètres!$A$1:$I$89,5,0)</f>
        <v>152.96839999999997</v>
      </c>
      <c r="BF40" s="14">
        <f t="shared" si="37"/>
        <v>39.252393895255061</v>
      </c>
      <c r="BG40" s="22">
        <f t="shared" si="7"/>
        <v>334.78454936756918</v>
      </c>
      <c r="BH40" s="62">
        <f t="shared" si="8"/>
        <v>628.11788270090256</v>
      </c>
      <c r="BI40" s="62">
        <f ca="1">AVERAGE(OFFSET($BH$3,0,0,'Données projet'!$E$11+1,1))-AVERAGE(OFFSET($H$3,0,0,'Données projet'!$E$11+1,1))</f>
        <v>146.25807703055079</v>
      </c>
      <c r="BJ40" s="62">
        <f t="shared" si="38"/>
        <v>177.40137940534413</v>
      </c>
      <c r="BK40" s="16">
        <f>IF(ISNA(VLOOKUP(A40,'Données projet'!$A$87:$I$107,3,0)),0,VLOOKUP(A40,'Données projet'!$A$87:$I$107,3,0))</f>
        <v>2</v>
      </c>
      <c r="BL40" s="16">
        <f>IF(ISNA(VLOOKUP(A40,'Données projet'!$A$87:$I$107,4,0)),0,VLOOKUP(A40,'Données projet'!$A$87:$I$107,4,0))</f>
        <v>25.58</v>
      </c>
      <c r="BM40" s="17">
        <f>IF(ISNA(VLOOKUP(A40,'Données projet'!$A$87:$I$107,5,0)),0%,VLOOKUP(A40,'Données projet'!$A$87:$I$107,5,0)*VLOOKUP('Données projet'!$B$11,Paramètres!$A$1:$I$89,7,0))</f>
        <v>0.108</v>
      </c>
      <c r="BN40" s="17">
        <f>IF(ISNA(VLOOKUP(A40,'Données projet'!$A$87:$I$107,6,0)),0%,VLOOKUP(A40,'Données projet'!$A$87:$I$107,6,0)*VLOOKUP('Données projet'!$B$11,Paramètres!$A$1:$I$89,7,0))</f>
        <v>0.11700000000000001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2.1915623762509435</v>
      </c>
      <c r="BQ40" s="23">
        <f>EXP(-LN(2)/25)*BQ39+(1-EXP(-LN(2)/25))/(LN(2)/25)*Calculateur!BL40*Calculateur!BN40*VLOOKUP('Données projet'!$B$11,Paramètres!$A$1:$I$89,3,0)*0.475*44/12</f>
        <v>2.6531791680367047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4.8447415442876487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>
        <f>VLOOKUP(A40,'Données projet'!$A$113:$I$133,2,0)</f>
        <v>300.16000000000003</v>
      </c>
      <c r="BW40" s="13">
        <f>VLOOKUP(A40,'Données projet'!$A$113:$I$133,9,0)</f>
        <v>16.058333333333334</v>
      </c>
      <c r="BX40" s="13">
        <f t="array" ref="BX40">INDEX(BW:BW,MIN(IF(ISNUMBER(BW40:BW236),ROW(BW40:BW236),"")))</f>
        <v>16.058333333333334</v>
      </c>
      <c r="BY40" s="13">
        <f>IF('Données projet'!$A$114&gt;35,BY39+BX40-CG39,IF(A40&lt;'Données projet'!$A$114,$BV$205^A40,IF(A40='Données projet'!$A$114,'Données projet'!$B$114,BY39+BX40-CG39)))</f>
        <v>300.16000000000003</v>
      </c>
      <c r="BZ40" s="14">
        <f>BY40*VLOOKUP('Données projet'!$B$12,Paramètres!$A$1:$I$89,3,0)*VLOOKUP('Données projet'!$B$12,Paramètres!$A$1:$I$89,5,0)</f>
        <v>140.47488000000001</v>
      </c>
      <c r="CA40" s="14">
        <f t="shared" si="39"/>
        <v>36.405772385199718</v>
      </c>
      <c r="CB40" s="22">
        <f t="shared" si="10"/>
        <v>308.06713623755621</v>
      </c>
      <c r="CC40" s="62">
        <f t="shared" si="11"/>
        <v>601.40046957088953</v>
      </c>
      <c r="CD40" s="62">
        <f ca="1">AVERAGE(OFFSET($CC$3,0,0,'Données projet'!$E$12+1,1))-AVERAGE(OFFSET($H$3,0,0,'Données projet'!$E$12+1,1))</f>
        <v>287.12723448949828</v>
      </c>
      <c r="CE40" s="62">
        <f t="shared" si="40"/>
        <v>170.5203352323382</v>
      </c>
      <c r="CF40" s="16">
        <f>IF(ISNA(VLOOKUP(A40,'Données projet'!$A$113:$I$133,3,0)),0,VLOOKUP(A40,'Données projet'!$A$113:$I$133,3,0))</f>
        <v>2</v>
      </c>
      <c r="CG40" s="16">
        <f>IF(ISNA(VLOOKUP(A40,'Données projet'!$A$113:$I$133,4,0)),0,VLOOKUP(A40,'Données projet'!$A$113:$I$133,4,0))</f>
        <v>30.02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0.25850000000000001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5.5266967220221943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5.5266967220221943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>
        <f>VLOOKUP(A40,'Données projet'!$A$139:$I$159,2,0)</f>
        <v>279.45</v>
      </c>
      <c r="CR40" s="13">
        <f>VLOOKUP(A40,'Données projet'!$A$139:$I$159,9,0)</f>
        <v>8.1</v>
      </c>
      <c r="CS40" s="13">
        <f t="array" ref="CS40">INDEX(CR:CR,MIN(IF(ISNUMBER(CR40:CR236),ROW(CR40:CR236),"")))</f>
        <v>8.1</v>
      </c>
      <c r="CT40" s="13">
        <f>IF('Données projet'!$A$140&gt;35,CT39+CS40-DB39,IF(A40&lt;'Données projet'!$A$140,$CQ$205^A40,IF(A40='Données projet'!$A$140,'Données projet'!$B$140,CT39+CS40-DB39)))</f>
        <v>279.45</v>
      </c>
      <c r="CU40" s="18">
        <f>CT40*VLOOKUP('Données projet'!$B$13,Paramètres!$A$1:$I$89,3,0)*VLOOKUP('Données projet'!$B$13,Paramètres!$A$1:$I$89,5,0)</f>
        <v>270.28404</v>
      </c>
      <c r="CV40" s="14">
        <f t="shared" si="41"/>
        <v>64.909546055215984</v>
      </c>
      <c r="CW40" s="22">
        <f t="shared" si="13"/>
        <v>583.79549571283451</v>
      </c>
      <c r="CX40" s="62">
        <f t="shared" si="14"/>
        <v>877.12882904616777</v>
      </c>
      <c r="CY40" s="62">
        <f ca="1">AVERAGE(OFFSET($CX$3,0,0,'Données projet'!$E$13+1,1))-AVERAGE(OFFSET($H$3,0,0,'Données projet'!$E$13+1,1))</f>
        <v>467.37715054082025</v>
      </c>
      <c r="CZ40" s="62">
        <f t="shared" si="42"/>
        <v>443.35096563136415</v>
      </c>
      <c r="DA40" s="16">
        <f>IF(ISNA(VLOOKUP(A40,'Données projet'!$A$139:$I$159,3,0)),0,VLOOKUP(A40,'Données projet'!$A$139:$I$159,3,0))</f>
        <v>2</v>
      </c>
      <c r="DB40" s="16">
        <f>IF(ISNA(VLOOKUP(A40,'Données projet'!$A$139:$I$159,4,0)),0,VLOOKUP(A40,'Données projet'!$A$139:$I$159,4,0))</f>
        <v>27.95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>
        <f>VLOOKUP(A40,'Données projet'!$A$165:$I$185,2,0)</f>
        <v>279.45</v>
      </c>
      <c r="DM40" s="13">
        <f>VLOOKUP(A40,'Données projet'!$A$165:$I$185,9,0)</f>
        <v>8.1</v>
      </c>
      <c r="DN40" s="13">
        <f t="array" ref="DN40">INDEX(DM:DM,MIN(IF(ISNUMBER(DM40:DM236),ROW(DM40:DM236),"")))</f>
        <v>8.1</v>
      </c>
      <c r="DO40" s="13">
        <f>IF('Données projet'!$A$166&gt;35,DO39+DN40-DW39,IF(A40&lt;'Données projet'!$A$166,$DL$205^A40,IF(A40='Données projet'!$A$166,'Données projet'!$B$166,DO39+DN40-DW39)))</f>
        <v>279.45</v>
      </c>
      <c r="DP40" s="18">
        <f>DO40*VLOOKUP('Données projet'!$B$14,Paramètres!$A$1:$I$89,3,0)*VLOOKUP('Données projet'!$B$14,Paramètres!$A$1:$I$89,5,0)</f>
        <v>300.79998000000001</v>
      </c>
      <c r="DQ40" s="14">
        <f t="shared" si="43"/>
        <v>71.34414400964684</v>
      </c>
      <c r="DR40" s="22">
        <f t="shared" si="16"/>
        <v>648.15101598346814</v>
      </c>
      <c r="DS40" s="62">
        <f t="shared" si="17"/>
        <v>941.4843493168014</v>
      </c>
      <c r="DT40" s="62">
        <f ca="1">AVERAGE(OFFSET($DS$3,0,0,'Données projet'!$E$14+1,1))-AVERAGE(OFFSET($H$3,0,0,'Données projet'!$E$14+1,1))</f>
        <v>524.51242549438939</v>
      </c>
      <c r="DU40" s="62">
        <f t="shared" si="44"/>
        <v>494.88778446576327</v>
      </c>
      <c r="DV40" s="16">
        <f>IF(ISNA(VLOOKUP(A40,'Données projet'!$A$165:$I$185,3,0)),0,VLOOKUP(A40,'Données projet'!$A$165:$I$185,3,0))</f>
        <v>2</v>
      </c>
      <c r="DW40" s="16">
        <f>IF(ISNA(VLOOKUP(A40,'Données projet'!$A$165:$I$185,4,0)),0,VLOOKUP(A40,'Données projet'!$A$165:$I$185,4,0))</f>
        <v>27.95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333.52009090875754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5.5750000000000002</v>
      </c>
      <c r="N41" s="14">
        <f>IF('Données projet'!$A$36&gt;35,N40+M41-V40,IF(A41&lt;'Données projet'!$A$36,$K$205^A41,IF(A41='Données projet'!$A$36,'Données projet'!$B$36,N40+M41-V40)))</f>
        <v>130.22500000000002</v>
      </c>
      <c r="O41" s="14">
        <f>N41*VLOOKUP('Données projet'!$B$9,Paramètres!$A$1:$I$89,3,0)*VLOOKUP('Données projet'!$B$9,Paramètres!$A$1:$I$89,5,0)</f>
        <v>117.82758000000001</v>
      </c>
      <c r="P41" s="14">
        <f t="shared" si="33"/>
        <v>31.1677805215391</v>
      </c>
      <c r="Q41" s="22">
        <f t="shared" si="53"/>
        <v>259.50025290834731</v>
      </c>
      <c r="R41" s="62">
        <f t="shared" si="0"/>
        <v>552.83358624168068</v>
      </c>
      <c r="S41" s="62">
        <f ca="1">AVERAGE(OFFSET($R$3,0,0,'Données projet'!$E$9+1,1))-AVERAGE(OFFSET($H$3,0,0,'Données projet'!$E$9+1,1))</f>
        <v>299.17641394512162</v>
      </c>
      <c r="T41" s="62">
        <f t="shared" si="34"/>
        <v>180.73046320039873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4.4491666666666658</v>
      </c>
      <c r="AI41" s="14">
        <f>IF('Données projet'!$A$62&gt;35,AI40+AH41-AQ40,IF(A41&lt;'Données projet'!$A$62,$AF$205^A41,IF(A41='Données projet'!$A$62,'Données projet'!$B$62,AI40+AH41-AQ40)))</f>
        <v>142.62916666666661</v>
      </c>
      <c r="AJ41" s="14">
        <f>AI41*VLOOKUP('Données projet'!$B$10,Paramètres!$A$1:$I$89,3,0)*VLOOKUP('Données projet'!$B$10,Paramètres!$A$1:$I$89,5,0)</f>
        <v>144.62597499999995</v>
      </c>
      <c r="AK41" s="14">
        <f t="shared" si="35"/>
        <v>37.354738057427568</v>
      </c>
      <c r="AL41" s="22">
        <f t="shared" si="4"/>
        <v>316.94974190835291</v>
      </c>
      <c r="AM41" s="62">
        <f t="shared" si="5"/>
        <v>610.28307524168622</v>
      </c>
      <c r="AN41" s="62">
        <f ca="1">AVERAGE(OFFSET($AM$3,0,0,'Données projet'!$E$10+1,1))-AVERAGE(OFFSET($H$3,0,0,'Données projet'!$E$10+1,1))</f>
        <v>384.66322295929552</v>
      </c>
      <c r="AO41" s="62">
        <f t="shared" si="36"/>
        <v>248.53970183513286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12</v>
      </c>
      <c r="BD41" s="13">
        <f>IF('Données projet'!$A$88&gt;35,BD40+BC41-BL40,IF(A41&lt;'Données projet'!$A$88,$BA$205^A41,IF(A41='Données projet'!$A$88,'Données projet'!$B$88,BD40+BC41-BL40)))</f>
        <v>242.21999999999997</v>
      </c>
      <c r="BE41" s="14">
        <f>BD41*VLOOKUP('Données projet'!$B$11,Paramètres!$A$1:$I$89,3,0)*VLOOKUP('Données projet'!$B$11,Paramètres!$A$1:$I$89,5,0)</f>
        <v>144.84755999999999</v>
      </c>
      <c r="BF41" s="14">
        <f t="shared" si="37"/>
        <v>37.405303842583351</v>
      </c>
      <c r="BG41" s="22">
        <f t="shared" si="7"/>
        <v>317.42373785916595</v>
      </c>
      <c r="BH41" s="62">
        <f t="shared" si="8"/>
        <v>610.75707119249932</v>
      </c>
      <c r="BI41" s="62">
        <f ca="1">AVERAGE(OFFSET($BH$3,0,0,'Données projet'!$E$11+1,1))-AVERAGE(OFFSET($H$3,0,0,'Données projet'!$E$11+1,1))</f>
        <v>146.25807703055079</v>
      </c>
      <c r="BJ41" s="62">
        <f t="shared" si="38"/>
        <v>177.40137940534413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2.1485871747737217</v>
      </c>
      <c r="BQ41" s="23">
        <f>EXP(-LN(2)/25)*BQ40+(1-EXP(-LN(2)/25))/(LN(2)/25)*Calculateur!BL41*Calculateur!BN41*VLOOKUP('Données projet'!$B$11,Paramètres!$A$1:$I$89,3,0)*0.475*44/12</f>
        <v>2.5806278441621124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4.7292150189358342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17.599999999999994</v>
      </c>
      <c r="BY41" s="13">
        <f>IF('Données projet'!$A$114&gt;35,BY40+BX41-CG40,IF(A41&lt;'Données projet'!$A$114,$BV$205^A41,IF(A41='Données projet'!$A$114,'Données projet'!$B$114,BY40+BX41-CG40)))</f>
        <v>287.74</v>
      </c>
      <c r="BZ41" s="14">
        <f>BY41*VLOOKUP('Données projet'!$B$12,Paramètres!$A$1:$I$89,3,0)*VLOOKUP('Données projet'!$B$12,Paramètres!$A$1:$I$89,5,0)</f>
        <v>134.66231999999999</v>
      </c>
      <c r="CA41" s="14">
        <f t="shared" si="39"/>
        <v>35.071465364931534</v>
      </c>
      <c r="CB41" s="22">
        <f t="shared" si="10"/>
        <v>295.61967617725571</v>
      </c>
      <c r="CC41" s="62">
        <f t="shared" si="11"/>
        <v>588.95300951058903</v>
      </c>
      <c r="CD41" s="62">
        <f ca="1">AVERAGE(OFFSET($CC$3,0,0,'Données projet'!$E$12+1,1))-AVERAGE(OFFSET($H$3,0,0,'Données projet'!$E$12+1,1))</f>
        <v>287.12723448949828</v>
      </c>
      <c r="CE41" s="62">
        <f t="shared" si="40"/>
        <v>170.5203352323382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5.3755689095221486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5.3755689095221486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8.1008333333333322</v>
      </c>
      <c r="CT41" s="13">
        <f>IF('Données projet'!$A$140&gt;35,CT40+CS41-DB40,IF(A41&lt;'Données projet'!$A$140,$CQ$205^A41,IF(A41='Données projet'!$A$140,'Données projet'!$B$140,CT40+CS41-DB40)))</f>
        <v>259.60083333333336</v>
      </c>
      <c r="CU41" s="18">
        <f>CT41*VLOOKUP('Données projet'!$B$13,Paramètres!$A$1:$I$89,3,0)*VLOOKUP('Données projet'!$B$13,Paramètres!$A$1:$I$89,5,0)</f>
        <v>251.085926</v>
      </c>
      <c r="CV41" s="14">
        <f t="shared" si="41"/>
        <v>60.818416870551218</v>
      </c>
      <c r="CW41" s="22">
        <f t="shared" si="13"/>
        <v>543.23339716621001</v>
      </c>
      <c r="CX41" s="62">
        <f t="shared" si="14"/>
        <v>836.56673049954338</v>
      </c>
      <c r="CY41" s="62">
        <f ca="1">AVERAGE(OFFSET($CX$3,0,0,'Données projet'!$E$13+1,1))-AVERAGE(OFFSET($H$3,0,0,'Données projet'!$E$13+1,1))</f>
        <v>467.37715054082025</v>
      </c>
      <c r="CZ41" s="62">
        <f t="shared" si="42"/>
        <v>443.35096563136415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8.1008333333333322</v>
      </c>
      <c r="DO41" s="13">
        <f>IF('Données projet'!$A$166&gt;35,DO40+DN41-DW40,IF(A41&lt;'Données projet'!$A$166,$DL$205^A41,IF(A41='Données projet'!$A$166,'Données projet'!$B$166,DO40+DN41-DW40)))</f>
        <v>259.60083333333336</v>
      </c>
      <c r="DP41" s="18">
        <f>DO41*VLOOKUP('Données projet'!$B$14,Paramètres!$A$1:$I$89,3,0)*VLOOKUP('Données projet'!$B$14,Paramètres!$A$1:$I$89,5,0)</f>
        <v>279.43433699999997</v>
      </c>
      <c r="DQ41" s="14">
        <f t="shared" si="43"/>
        <v>66.847453962477147</v>
      </c>
      <c r="DR41" s="22">
        <f t="shared" si="16"/>
        <v>603.10745259298085</v>
      </c>
      <c r="DS41" s="62">
        <f t="shared" si="17"/>
        <v>896.44078592631422</v>
      </c>
      <c r="DT41" s="62">
        <f ca="1">AVERAGE(OFFSET($DS$3,0,0,'Données projet'!$E$14+1,1))-AVERAGE(OFFSET($H$3,0,0,'Données projet'!$E$14+1,1))</f>
        <v>524.51242549438939</v>
      </c>
      <c r="DU41" s="62">
        <f t="shared" si="44"/>
        <v>494.88778446576327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335.48676782456732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5.5750000000000002</v>
      </c>
      <c r="N42" s="14">
        <f>IF('Données projet'!$A$36&gt;35,N41+M42-V41,IF(A42&lt;'Données projet'!$A$36,$K$205^A42,IF(A42='Données projet'!$A$36,'Données projet'!$B$36,N41+M42-V41)))</f>
        <v>135.80000000000001</v>
      </c>
      <c r="O42" s="14">
        <f>N42*VLOOKUP('Données projet'!$B$9,Paramètres!$A$1:$I$89,3,0)*VLOOKUP('Données projet'!$B$9,Paramètres!$A$1:$I$89,5,0)</f>
        <v>122.87183999999999</v>
      </c>
      <c r="P42" s="14">
        <f t="shared" si="33"/>
        <v>32.343884079052181</v>
      </c>
      <c r="Q42" s="22">
        <f t="shared" si="53"/>
        <v>270.33405277101582</v>
      </c>
      <c r="R42" s="62">
        <f t="shared" si="0"/>
        <v>563.66738610434913</v>
      </c>
      <c r="S42" s="62">
        <f ca="1">AVERAGE(OFFSET($R$3,0,0,'Données projet'!$E$9+1,1))-AVERAGE(OFFSET($H$3,0,0,'Données projet'!$E$9+1,1))</f>
        <v>299.17641394512162</v>
      </c>
      <c r="T42" s="62">
        <f t="shared" si="34"/>
        <v>180.73046320039873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4.4491666666666658</v>
      </c>
      <c r="AI42" s="14">
        <f>IF('Données projet'!$A$62&gt;35,AI41+AH42-AQ41,IF(A42&lt;'Données projet'!$A$62,$AF$205^A42,IF(A42='Données projet'!$A$62,'Données projet'!$B$62,AI41+AH42-AQ41)))</f>
        <v>147.07833333333326</v>
      </c>
      <c r="AJ42" s="14">
        <f>AI42*VLOOKUP('Données projet'!$B$10,Paramètres!$A$1:$I$89,3,0)*VLOOKUP('Données projet'!$B$10,Paramètres!$A$1:$I$89,5,0)</f>
        <v>149.13742999999994</v>
      </c>
      <c r="AK42" s="14">
        <f t="shared" si="35"/>
        <v>38.382497748192002</v>
      </c>
      <c r="AL42" s="22">
        <f t="shared" si="4"/>
        <v>326.59720749476764</v>
      </c>
      <c r="AM42" s="62">
        <f t="shared" si="5"/>
        <v>619.9305408281009</v>
      </c>
      <c r="AN42" s="62">
        <f ca="1">AVERAGE(OFFSET($AM$3,0,0,'Données projet'!$E$10+1,1))-AVERAGE(OFFSET($H$3,0,0,'Données projet'!$E$10+1,1))</f>
        <v>384.66322295929552</v>
      </c>
      <c r="AO42" s="62">
        <f t="shared" si="36"/>
        <v>248.53970183513286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12</v>
      </c>
      <c r="BD42" s="13">
        <f>IF('Données projet'!$A$88&gt;35,BD41+BC42-BL41,IF(A42&lt;'Données projet'!$A$88,$BA$205^A42,IF(A42='Données projet'!$A$88,'Données projet'!$B$88,BD41+BC42-BL41)))</f>
        <v>254.21999999999997</v>
      </c>
      <c r="BE42" s="14">
        <f>BD42*VLOOKUP('Données projet'!$B$11,Paramètres!$A$1:$I$89,3,0)*VLOOKUP('Données projet'!$B$11,Paramètres!$A$1:$I$89,5,0)</f>
        <v>152.02356</v>
      </c>
      <c r="BF42" s="14">
        <f t="shared" si="37"/>
        <v>39.038087635809802</v>
      </c>
      <c r="BG42" s="22">
        <f t="shared" si="7"/>
        <v>332.76570296570208</v>
      </c>
      <c r="BH42" s="62">
        <f t="shared" si="8"/>
        <v>626.09903629903533</v>
      </c>
      <c r="BI42" s="62">
        <f ca="1">AVERAGE(OFFSET($BH$3,0,0,'Données projet'!$E$11+1,1))-AVERAGE(OFFSET($H$3,0,0,'Données projet'!$E$11+1,1))</f>
        <v>146.25807703055079</v>
      </c>
      <c r="BJ42" s="62">
        <f t="shared" si="38"/>
        <v>177.40137940534413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2.1064546907851835</v>
      </c>
      <c r="BQ42" s="23">
        <f>EXP(-LN(2)/25)*BQ41+(1-EXP(-LN(2)/25))/(LN(2)/25)*Calculateur!BL42*Calculateur!BN42*VLOOKUP('Données projet'!$B$11,Paramètres!$A$1:$I$89,3,0)*0.475*44/12</f>
        <v>2.5100604400541791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4.6165151308393622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17.599999999999994</v>
      </c>
      <c r="BY42" s="13">
        <f>IF('Données projet'!$A$114&gt;35,BY41+BX42-CG41,IF(A42&lt;'Données projet'!$A$114,$BV$205^A42,IF(A42='Données projet'!$A$114,'Données projet'!$B$114,BY41+BX42-CG41)))</f>
        <v>305.34000000000003</v>
      </c>
      <c r="BZ42" s="14">
        <f>BY42*VLOOKUP('Données projet'!$B$12,Paramètres!$A$1:$I$89,3,0)*VLOOKUP('Données projet'!$B$12,Paramètres!$A$1:$I$89,5,0)</f>
        <v>142.89912000000001</v>
      </c>
      <c r="CA42" s="14">
        <f t="shared" si="39"/>
        <v>36.960358843257275</v>
      </c>
      <c r="CB42" s="22">
        <f t="shared" si="10"/>
        <v>313.25525898533971</v>
      </c>
      <c r="CC42" s="62">
        <f t="shared" si="11"/>
        <v>606.58859231867302</v>
      </c>
      <c r="CD42" s="62">
        <f ca="1">AVERAGE(OFFSET($CC$3,0,0,'Données projet'!$E$12+1,1))-AVERAGE(OFFSET($H$3,0,0,'Données projet'!$E$12+1,1))</f>
        <v>287.12723448949828</v>
      </c>
      <c r="CE42" s="62">
        <f t="shared" si="40"/>
        <v>170.5203352323382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5.2285736950023827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5.2285736950023827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8.1008333333333322</v>
      </c>
      <c r="CT42" s="13">
        <f>IF('Données projet'!$A$140&gt;35,CT41+CS42-DB41,IF(A42&lt;'Données projet'!$A$140,$CQ$205^A42,IF(A42='Données projet'!$A$140,'Données projet'!$B$140,CT41+CS42-DB41)))</f>
        <v>267.70166666666671</v>
      </c>
      <c r="CU42" s="18">
        <f>CT42*VLOOKUP('Données projet'!$B$13,Paramètres!$A$1:$I$89,3,0)*VLOOKUP('Données projet'!$B$13,Paramètres!$A$1:$I$89,5,0)</f>
        <v>258.92105200000003</v>
      </c>
      <c r="CV42" s="14">
        <f t="shared" si="41"/>
        <v>62.492334211519115</v>
      </c>
      <c r="CW42" s="22">
        <f t="shared" si="13"/>
        <v>559.79498098506247</v>
      </c>
      <c r="CX42" s="62">
        <f t="shared" si="14"/>
        <v>853.12831431839572</v>
      </c>
      <c r="CY42" s="62">
        <f ca="1">AVERAGE(OFFSET($CX$3,0,0,'Données projet'!$E$13+1,1))-AVERAGE(OFFSET($H$3,0,0,'Données projet'!$E$13+1,1))</f>
        <v>467.37715054082025</v>
      </c>
      <c r="CZ42" s="62">
        <f t="shared" si="42"/>
        <v>443.35096563136415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8.1008333333333322</v>
      </c>
      <c r="DO42" s="13">
        <f>IF('Données projet'!$A$166&gt;35,DO41+DN42-DW41,IF(A42&lt;'Données projet'!$A$166,$DL$205^A42,IF(A42='Données projet'!$A$166,'Données projet'!$B$166,DO41+DN42-DW41)))</f>
        <v>267.70166666666671</v>
      </c>
      <c r="DP42" s="18">
        <f>DO42*VLOOKUP('Données projet'!$B$14,Paramètres!$A$1:$I$89,3,0)*VLOOKUP('Données projet'!$B$14,Paramètres!$A$1:$I$89,5,0)</f>
        <v>288.15407400000004</v>
      </c>
      <c r="DQ42" s="14">
        <f t="shared" si="43"/>
        <v>68.687309686204955</v>
      </c>
      <c r="DR42" s="22">
        <f t="shared" si="16"/>
        <v>621.49874325347366</v>
      </c>
      <c r="DS42" s="62">
        <f t="shared" si="17"/>
        <v>914.83207658680703</v>
      </c>
      <c r="DT42" s="62">
        <f ca="1">AVERAGE(OFFSET($DS$3,0,0,'Données projet'!$E$14+1,1))-AVERAGE(OFFSET($H$3,0,0,'Données projet'!$E$14+1,1))</f>
        <v>524.51242549438939</v>
      </c>
      <c r="DU42" s="62">
        <f t="shared" si="44"/>
        <v>494.88778446576327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337.45219892578052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5.5750000000000002</v>
      </c>
      <c r="N43" s="14">
        <f>IF('Données projet'!$A$36&gt;35,N42+M43-V42,IF(A43&lt;'Données projet'!$A$36,$K$205^A43,IF(A43='Données projet'!$A$36,'Données projet'!$B$36,N42+M43-V42)))</f>
        <v>141.375</v>
      </c>
      <c r="O43" s="14">
        <f>N43*VLOOKUP('Données projet'!$B$9,Paramètres!$A$1:$I$89,3,0)*VLOOKUP('Données projet'!$B$9,Paramètres!$A$1:$I$89,5,0)</f>
        <v>127.91609999999999</v>
      </c>
      <c r="P43" s="14">
        <f t="shared" si="33"/>
        <v>33.514379284632739</v>
      </c>
      <c r="Q43" s="22">
        <f t="shared" si="53"/>
        <v>281.15808475406868</v>
      </c>
      <c r="R43" s="62">
        <f t="shared" si="0"/>
        <v>574.49141808740205</v>
      </c>
      <c r="S43" s="62">
        <f ca="1">AVERAGE(OFFSET($R$3,0,0,'Données projet'!$E$9+1,1))-AVERAGE(OFFSET($H$3,0,0,'Données projet'!$E$9+1,1))</f>
        <v>299.17641394512162</v>
      </c>
      <c r="T43" s="62">
        <f t="shared" si="34"/>
        <v>180.73046320039873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4.4491666666666658</v>
      </c>
      <c r="AI43" s="14">
        <f>IF('Données projet'!$A$62&gt;35,AI42+AH43-AQ42,IF(A43&lt;'Données projet'!$A$62,$AF$205^A43,IF(A43='Données projet'!$A$62,'Données projet'!$B$62,AI42+AH43-AQ42)))</f>
        <v>151.52749999999992</v>
      </c>
      <c r="AJ43" s="14">
        <f>AI43*VLOOKUP('Données projet'!$B$10,Paramètres!$A$1:$I$89,3,0)*VLOOKUP('Données projet'!$B$10,Paramètres!$A$1:$I$89,5,0)</f>
        <v>153.64888499999992</v>
      </c>
      <c r="AK43" s="14">
        <f t="shared" si="35"/>
        <v>39.406644337611432</v>
      </c>
      <c r="AL43" s="22">
        <f t="shared" si="4"/>
        <v>336.23838026300643</v>
      </c>
      <c r="AM43" s="62">
        <f t="shared" si="5"/>
        <v>629.57171359633981</v>
      </c>
      <c r="AN43" s="62">
        <f ca="1">AVERAGE(OFFSET($AM$3,0,0,'Données projet'!$E$10+1,1))-AVERAGE(OFFSET($H$3,0,0,'Données projet'!$E$10+1,1))</f>
        <v>384.66322295929552</v>
      </c>
      <c r="AO43" s="62">
        <f t="shared" si="36"/>
        <v>248.53970183513286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12</v>
      </c>
      <c r="BD43" s="13">
        <f>IF('Données projet'!$A$88&gt;35,BD42+BC43-BL42,IF(A43&lt;'Données projet'!$A$88,$BA$205^A43,IF(A43='Données projet'!$A$88,'Données projet'!$B$88,BD42+BC43-BL42)))</f>
        <v>266.21999999999997</v>
      </c>
      <c r="BE43" s="14">
        <f>BD43*VLOOKUP('Données projet'!$B$11,Paramètres!$A$1:$I$89,3,0)*VLOOKUP('Données projet'!$B$11,Paramètres!$A$1:$I$89,5,0)</f>
        <v>159.19955999999999</v>
      </c>
      <c r="BF43" s="14">
        <f t="shared" si="37"/>
        <v>40.661921265813291</v>
      </c>
      <c r="BG43" s="22">
        <f t="shared" si="7"/>
        <v>348.09207987129145</v>
      </c>
      <c r="BH43" s="62">
        <f t="shared" si="8"/>
        <v>641.42541320462476</v>
      </c>
      <c r="BI43" s="62">
        <f ca="1">AVERAGE(OFFSET($BH$3,0,0,'Données projet'!$E$11+1,1))-AVERAGE(OFFSET($H$3,0,0,'Données projet'!$E$11+1,1))</f>
        <v>146.25807703055079</v>
      </c>
      <c r="BJ43" s="62">
        <f t="shared" si="38"/>
        <v>177.40137940534413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2.0651483991093831</v>
      </c>
      <c r="BQ43" s="23">
        <f>EXP(-LN(2)/25)*BQ42+(1-EXP(-LN(2)/25))/(LN(2)/25)*Calculateur!BL43*Calculateur!BN43*VLOOKUP('Données projet'!$B$11,Paramètres!$A$1:$I$89,3,0)*0.475*44/12</f>
        <v>2.4414227053225557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4.5065711044319388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17.599999999999994</v>
      </c>
      <c r="BY43" s="13">
        <f>IF('Données projet'!$A$114&gt;35,BY42+BX43-CG42,IF(A43&lt;'Données projet'!$A$114,$BV$205^A43,IF(A43='Données projet'!$A$114,'Données projet'!$B$114,BY42+BX43-CG42)))</f>
        <v>322.94000000000005</v>
      </c>
      <c r="BZ43" s="14">
        <f>BY43*VLOOKUP('Données projet'!$B$12,Paramètres!$A$1:$I$89,3,0)*VLOOKUP('Données projet'!$B$12,Paramètres!$A$1:$I$89,5,0)</f>
        <v>151.13592000000003</v>
      </c>
      <c r="CA43" s="14">
        <f t="shared" si="39"/>
        <v>38.836614063616679</v>
      </c>
      <c r="CB43" s="22">
        <f t="shared" si="10"/>
        <v>330.86883016079906</v>
      </c>
      <c r="CC43" s="62">
        <f t="shared" si="11"/>
        <v>624.20216349413238</v>
      </c>
      <c r="CD43" s="62">
        <f ca="1">AVERAGE(OFFSET($CC$3,0,0,'Données projet'!$E$12+1,1))-AVERAGE(OFFSET($H$3,0,0,'Données projet'!$E$12+1,1))</f>
        <v>287.12723448949828</v>
      </c>
      <c r="CE43" s="62">
        <f t="shared" si="40"/>
        <v>170.5203352323382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5.0855980723538021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5.0855980723538021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8.1008333333333322</v>
      </c>
      <c r="CT43" s="13">
        <f>IF('Données projet'!$A$140&gt;35,CT42+CS43-DB42,IF(A43&lt;'Données projet'!$A$140,$CQ$205^A43,IF(A43='Données projet'!$A$140,'Données projet'!$B$140,CT42+CS43-DB42)))</f>
        <v>275.80250000000007</v>
      </c>
      <c r="CU43" s="18">
        <f>CT43*VLOOKUP('Données projet'!$B$13,Paramètres!$A$1:$I$89,3,0)*VLOOKUP('Données projet'!$B$13,Paramètres!$A$1:$I$89,5,0)</f>
        <v>266.75617800000009</v>
      </c>
      <c r="CV43" s="14">
        <f t="shared" si="41"/>
        <v>64.160364864670996</v>
      </c>
      <c r="CW43" s="22">
        <f t="shared" si="13"/>
        <v>576.3463121559688</v>
      </c>
      <c r="CX43" s="62">
        <f t="shared" si="14"/>
        <v>869.67964548930217</v>
      </c>
      <c r="CY43" s="62">
        <f ca="1">AVERAGE(OFFSET($CX$3,0,0,'Données projet'!$E$13+1,1))-AVERAGE(OFFSET($H$3,0,0,'Données projet'!$E$13+1,1))</f>
        <v>467.37715054082025</v>
      </c>
      <c r="CZ43" s="62">
        <f t="shared" si="42"/>
        <v>443.35096563136415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8.1008333333333322</v>
      </c>
      <c r="DO43" s="13">
        <f>IF('Données projet'!$A$166&gt;35,DO42+DN43-DW42,IF(A43&lt;'Données projet'!$A$166,$DL$205^A43,IF(A43='Données projet'!$A$166,'Données projet'!$B$166,DO42+DN43-DW42)))</f>
        <v>275.80250000000007</v>
      </c>
      <c r="DP43" s="18">
        <f>DO43*VLOOKUP('Données projet'!$B$14,Paramètres!$A$1:$I$89,3,0)*VLOOKUP('Données projet'!$B$14,Paramètres!$A$1:$I$89,5,0)</f>
        <v>296.8738110000001</v>
      </c>
      <c r="DQ43" s="14">
        <f t="shared" si="43"/>
        <v>70.520695164355445</v>
      </c>
      <c r="DR43" s="22">
        <f t="shared" si="16"/>
        <v>639.87876490291922</v>
      </c>
      <c r="DS43" s="62">
        <f t="shared" si="17"/>
        <v>933.21209823625259</v>
      </c>
      <c r="DT43" s="62">
        <f ca="1">AVERAGE(OFFSET($DS$3,0,0,'Données projet'!$E$14+1,1))-AVERAGE(OFFSET($H$3,0,0,'Données projet'!$E$14+1,1))</f>
        <v>524.51242549438939</v>
      </c>
      <c r="DU43" s="62">
        <f t="shared" si="44"/>
        <v>494.88778446576327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339.41641893985832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5.5750000000000002</v>
      </c>
      <c r="N44" s="14">
        <f>IF('Données projet'!$A$36&gt;35,N43+M44-V43,IF(A44&lt;'Données projet'!$A$36,$K$205^A44,IF(A44='Données projet'!$A$36,'Données projet'!$B$36,N43+M44-V43)))</f>
        <v>146.94999999999999</v>
      </c>
      <c r="O44" s="14">
        <f>N44*VLOOKUP('Données projet'!$B$9,Paramètres!$A$1:$I$89,3,0)*VLOOKUP('Données projet'!$B$9,Paramètres!$A$1:$I$89,5,0)</f>
        <v>132.96036000000001</v>
      </c>
      <c r="P44" s="14">
        <f t="shared" si="33"/>
        <v>34.67951260617783</v>
      </c>
      <c r="Q44" s="22">
        <f t="shared" si="53"/>
        <v>291.9727781224264</v>
      </c>
      <c r="R44" s="62">
        <f t="shared" si="0"/>
        <v>585.30611145575972</v>
      </c>
      <c r="S44" s="62">
        <f ca="1">AVERAGE(OFFSET($R$3,0,0,'Données projet'!$E$9+1,1))-AVERAGE(OFFSET($H$3,0,0,'Données projet'!$E$9+1,1))</f>
        <v>299.17641394512162</v>
      </c>
      <c r="T44" s="62">
        <f t="shared" si="34"/>
        <v>180.73046320039873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4.4491666666666658</v>
      </c>
      <c r="AI44" s="14">
        <f>IF('Données projet'!$A$62&gt;35,AI43+AH44-AQ43,IF(A44&lt;'Données projet'!$A$62,$AF$205^A44,IF(A44='Données projet'!$A$62,'Données projet'!$B$62,AI43+AH44-AQ43)))</f>
        <v>155.97666666666657</v>
      </c>
      <c r="AJ44" s="14">
        <f>AI44*VLOOKUP('Données projet'!$B$10,Paramètres!$A$1:$I$89,3,0)*VLOOKUP('Données projet'!$B$10,Paramètres!$A$1:$I$89,5,0)</f>
        <v>158.16033999999991</v>
      </c>
      <c r="AK44" s="14">
        <f t="shared" si="35"/>
        <v>40.427296094915953</v>
      </c>
      <c r="AL44" s="22">
        <f t="shared" si="4"/>
        <v>345.87346619864508</v>
      </c>
      <c r="AM44" s="62">
        <f t="shared" si="5"/>
        <v>639.20679953197839</v>
      </c>
      <c r="AN44" s="62">
        <f ca="1">AVERAGE(OFFSET($AM$3,0,0,'Données projet'!$E$10+1,1))-AVERAGE(OFFSET($H$3,0,0,'Données projet'!$E$10+1,1))</f>
        <v>384.66322295929552</v>
      </c>
      <c r="AO44" s="62">
        <f t="shared" si="36"/>
        <v>248.53970183513286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12</v>
      </c>
      <c r="BD44" s="13">
        <f>IF('Données projet'!$A$88&gt;35,BD43+BC44-BL43,IF(A44&lt;'Données projet'!$A$88,$BA$205^A44,IF(A44='Données projet'!$A$88,'Données projet'!$B$88,BD43+BC44-BL43)))</f>
        <v>278.21999999999997</v>
      </c>
      <c r="BE44" s="14">
        <f>BD44*VLOOKUP('Données projet'!$B$11,Paramètres!$A$1:$I$89,3,0)*VLOOKUP('Données projet'!$B$11,Paramètres!$A$1:$I$89,5,0)</f>
        <v>166.37555999999998</v>
      </c>
      <c r="BF44" s="14">
        <f t="shared" si="37"/>
        <v>42.277254256809073</v>
      </c>
      <c r="BG44" s="22">
        <f t="shared" si="7"/>
        <v>363.4036514972758</v>
      </c>
      <c r="BH44" s="62">
        <f t="shared" si="8"/>
        <v>656.73698483060912</v>
      </c>
      <c r="BI44" s="62">
        <f ca="1">AVERAGE(OFFSET($BH$3,0,0,'Données projet'!$E$11+1,1))-AVERAGE(OFFSET($H$3,0,0,'Données projet'!$E$11+1,1))</f>
        <v>146.25807703055079</v>
      </c>
      <c r="BJ44" s="62">
        <f t="shared" si="38"/>
        <v>177.40137940534413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2.0246520986189949</v>
      </c>
      <c r="BQ44" s="23">
        <f>EXP(-LN(2)/25)*BQ43+(1-EXP(-LN(2)/25))/(LN(2)/25)*Calculateur!BL44*Calculateur!BN44*VLOOKUP('Données projet'!$B$11,Paramètres!$A$1:$I$89,3,0)*0.475*44/12</f>
        <v>2.3746618730566702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4.3993139716756655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17.599999999999994</v>
      </c>
      <c r="BY44" s="13">
        <f>IF('Données projet'!$A$114&gt;35,BY43+BX44-CG43,IF(A44&lt;'Données projet'!$A$114,$BV$205^A44,IF(A44='Données projet'!$A$114,'Données projet'!$B$114,BY43+BX44-CG43)))</f>
        <v>340.54000000000008</v>
      </c>
      <c r="BZ44" s="14">
        <f>BY44*VLOOKUP('Données projet'!$B$12,Paramètres!$A$1:$I$89,3,0)*VLOOKUP('Données projet'!$B$12,Paramètres!$A$1:$I$89,5,0)</f>
        <v>159.37272000000004</v>
      </c>
      <c r="CA44" s="14">
        <f t="shared" si="39"/>
        <v>40.700998321535856</v>
      </c>
      <c r="CB44" s="22">
        <f t="shared" si="10"/>
        <v>348.46172607667501</v>
      </c>
      <c r="CC44" s="62">
        <f t="shared" si="11"/>
        <v>641.79505941000832</v>
      </c>
      <c r="CD44" s="62">
        <f ca="1">AVERAGE(OFFSET($CC$3,0,0,'Données projet'!$E$12+1,1))-AVERAGE(OFFSET($H$3,0,0,'Données projet'!$E$12+1,1))</f>
        <v>287.12723448949828</v>
      </c>
      <c r="CE44" s="62">
        <f t="shared" si="40"/>
        <v>170.5203352323382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4.9465321256253079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4.9465321256253079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8.1008333333333322</v>
      </c>
      <c r="CT44" s="13">
        <f>IF('Données projet'!$A$140&gt;35,CT43+CS44-DB43,IF(A44&lt;'Données projet'!$A$140,$CQ$205^A44,IF(A44='Données projet'!$A$140,'Données projet'!$B$140,CT43+CS44-DB43)))</f>
        <v>283.90333333333342</v>
      </c>
      <c r="CU44" s="18">
        <f>CT44*VLOOKUP('Données projet'!$B$13,Paramètres!$A$1:$I$89,3,0)*VLOOKUP('Données projet'!$B$13,Paramètres!$A$1:$I$89,5,0)</f>
        <v>274.59130400000009</v>
      </c>
      <c r="CV44" s="14">
        <f t="shared" si="41"/>
        <v>65.822701585494599</v>
      </c>
      <c r="CW44" s="22">
        <f t="shared" si="13"/>
        <v>592.88772639473655</v>
      </c>
      <c r="CX44" s="62">
        <f t="shared" si="14"/>
        <v>886.2210597280698</v>
      </c>
      <c r="CY44" s="62">
        <f ca="1">AVERAGE(OFFSET($CX$3,0,0,'Données projet'!$E$13+1,1))-AVERAGE(OFFSET($H$3,0,0,'Données projet'!$E$13+1,1))</f>
        <v>467.37715054082025</v>
      </c>
      <c r="CZ44" s="62">
        <f t="shared" si="42"/>
        <v>443.35096563136415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8.1008333333333322</v>
      </c>
      <c r="DO44" s="13">
        <f>IF('Données projet'!$A$166&gt;35,DO43+DN44-DW43,IF(A44&lt;'Données projet'!$A$166,$DL$205^A44,IF(A44='Données projet'!$A$166,'Données projet'!$B$166,DO43+DN44-DW43)))</f>
        <v>283.90333333333342</v>
      </c>
      <c r="DP44" s="18">
        <f>DO44*VLOOKUP('Données projet'!$B$14,Paramètres!$A$1:$I$89,3,0)*VLOOKUP('Données projet'!$B$14,Paramètres!$A$1:$I$89,5,0)</f>
        <v>305.59354800000006</v>
      </c>
      <c r="DQ44" s="14">
        <f t="shared" si="43"/>
        <v>72.347822260608311</v>
      </c>
      <c r="DR44" s="22">
        <f t="shared" si="16"/>
        <v>658.24788653722624</v>
      </c>
      <c r="DS44" s="62">
        <f t="shared" si="17"/>
        <v>951.58121987055961</v>
      </c>
      <c r="DT44" s="62">
        <f ca="1">AVERAGE(OFFSET($DS$3,0,0,'Données projet'!$E$14+1,1))-AVERAGE(OFFSET($H$3,0,0,'Données projet'!$E$14+1,1))</f>
        <v>524.51242549438939</v>
      </c>
      <c r="DU44" s="62">
        <f t="shared" si="44"/>
        <v>494.88778446576327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341.37946080365469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5.5750000000000002</v>
      </c>
      <c r="N45" s="14">
        <f>IF('Données projet'!$A$36&gt;35,N44+M45-V44,IF(A45&lt;'Données projet'!$A$36,$K$205^A45,IF(A45='Données projet'!$A$36,'Données projet'!$B$36,N44+M45-V44)))</f>
        <v>152.52499999999998</v>
      </c>
      <c r="O45" s="14">
        <f>N45*VLOOKUP('Données projet'!$B$9,Paramètres!$A$1:$I$89,3,0)*VLOOKUP('Données projet'!$B$9,Paramètres!$A$1:$I$89,5,0)</f>
        <v>138.00461999999999</v>
      </c>
      <c r="P45" s="14">
        <f t="shared" si="33"/>
        <v>35.839510751295997</v>
      </c>
      <c r="Q45" s="22">
        <f t="shared" si="53"/>
        <v>302.77852772517383</v>
      </c>
      <c r="R45" s="62">
        <f t="shared" si="0"/>
        <v>596.1118610585072</v>
      </c>
      <c r="S45" s="62">
        <f ca="1">AVERAGE(OFFSET($R$3,0,0,'Données projet'!$E$9+1,1))-AVERAGE(OFFSET($H$3,0,0,'Données projet'!$E$9+1,1))</f>
        <v>299.17641394512162</v>
      </c>
      <c r="T45" s="62">
        <f t="shared" si="34"/>
        <v>180.73046320039873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4.4491666666666658</v>
      </c>
      <c r="AI45" s="14">
        <f>IF('Données projet'!$A$62&gt;35,AI44+AH45-AQ44,IF(A45&lt;'Données projet'!$A$62,$AF$205^A45,IF(A45='Données projet'!$A$62,'Données projet'!$B$62,AI44+AH45-AQ44)))</f>
        <v>160.42583333333323</v>
      </c>
      <c r="AJ45" s="14">
        <f>AI45*VLOOKUP('Données projet'!$B$10,Paramètres!$A$1:$I$89,3,0)*VLOOKUP('Données projet'!$B$10,Paramètres!$A$1:$I$89,5,0)</f>
        <v>162.67179499999989</v>
      </c>
      <c r="AK45" s="14">
        <f t="shared" si="35"/>
        <v>41.444564158408596</v>
      </c>
      <c r="AL45" s="22">
        <f t="shared" si="4"/>
        <v>355.50265886756142</v>
      </c>
      <c r="AM45" s="62">
        <f t="shared" si="5"/>
        <v>648.83599220089468</v>
      </c>
      <c r="AN45" s="62">
        <f ca="1">AVERAGE(OFFSET($AM$3,0,0,'Données projet'!$E$10+1,1))-AVERAGE(OFFSET($H$3,0,0,'Données projet'!$E$10+1,1))</f>
        <v>384.66322295929552</v>
      </c>
      <c r="AO45" s="62">
        <f t="shared" si="36"/>
        <v>248.53970183513286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12</v>
      </c>
      <c r="BD45" s="13">
        <f>IF('Données projet'!$A$88&gt;35,BD44+BC45-BL44,IF(A45&lt;'Données projet'!$A$88,$BA$205^A45,IF(A45='Données projet'!$A$88,'Données projet'!$B$88,BD44+BC45-BL44)))</f>
        <v>290.21999999999997</v>
      </c>
      <c r="BE45" s="14">
        <f>BD45*VLOOKUP('Données projet'!$B$11,Paramètres!$A$1:$I$89,3,0)*VLOOKUP('Données projet'!$B$11,Paramètres!$A$1:$I$89,5,0)</f>
        <v>173.55155999999999</v>
      </c>
      <c r="BF45" s="14">
        <f t="shared" si="37"/>
        <v>43.884495162823065</v>
      </c>
      <c r="BG45" s="22">
        <f t="shared" si="7"/>
        <v>378.70112940858348</v>
      </c>
      <c r="BH45" s="62">
        <f t="shared" si="8"/>
        <v>672.03446274191674</v>
      </c>
      <c r="BI45" s="62">
        <f ca="1">AVERAGE(OFFSET($BH$3,0,0,'Données projet'!$E$11+1,1))-AVERAGE(OFFSET($H$3,0,0,'Données projet'!$E$11+1,1))</f>
        <v>146.25807703055079</v>
      </c>
      <c r="BJ45" s="62">
        <f t="shared" si="38"/>
        <v>177.40137940534413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1.9849499058809188</v>
      </c>
      <c r="BQ45" s="23">
        <f>EXP(-LN(2)/25)*BQ44+(1-EXP(-LN(2)/25))/(LN(2)/25)*Calculateur!BL45*Calculateur!BN45*VLOOKUP('Données projet'!$B$11,Paramètres!$A$1:$I$89,3,0)*0.475*44/12</f>
        <v>2.3097266192598949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4.2946765251408134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17.599999999999994</v>
      </c>
      <c r="BY45" s="13">
        <f>IF('Données projet'!$A$114&gt;35,BY44+BX45-CG44,IF(A45&lt;'Données projet'!$A$114,$BV$205^A45,IF(A45='Données projet'!$A$114,'Données projet'!$B$114,BY44+BX45-CG44)))</f>
        <v>358.1400000000001</v>
      </c>
      <c r="BZ45" s="14">
        <f>BY45*VLOOKUP('Données projet'!$B$12,Paramètres!$A$1:$I$89,3,0)*VLOOKUP('Données projet'!$B$12,Paramètres!$A$1:$I$89,5,0)</f>
        <v>167.60952000000003</v>
      </c>
      <c r="CA45" s="14">
        <f t="shared" si="39"/>
        <v>42.554195121147814</v>
      </c>
      <c r="CB45" s="22">
        <f t="shared" si="10"/>
        <v>366.03513716933247</v>
      </c>
      <c r="CC45" s="62">
        <f t="shared" si="11"/>
        <v>659.36847050266579</v>
      </c>
      <c r="CD45" s="62">
        <f ca="1">AVERAGE(OFFSET($CC$3,0,0,'Données projet'!$E$12+1,1))-AVERAGE(OFFSET($H$3,0,0,'Données projet'!$E$12+1,1))</f>
        <v>287.12723448949828</v>
      </c>
      <c r="CE45" s="62">
        <f t="shared" si="40"/>
        <v>170.5203352323382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4.811268944523265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4.811268944523265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8.1008333333333322</v>
      </c>
      <c r="CT45" s="13">
        <f>IF('Données projet'!$A$140&gt;35,CT44+CS45-DB44,IF(A45&lt;'Données projet'!$A$140,$CQ$205^A45,IF(A45='Données projet'!$A$140,'Données projet'!$B$140,CT44+CS45-DB44)))</f>
        <v>292.00416666666678</v>
      </c>
      <c r="CU45" s="18">
        <f>CT45*VLOOKUP('Données projet'!$B$13,Paramètres!$A$1:$I$89,3,0)*VLOOKUP('Données projet'!$B$13,Paramètres!$A$1:$I$89,5,0)</f>
        <v>282.4264300000001</v>
      </c>
      <c r="CV45" s="14">
        <f t="shared" si="41"/>
        <v>67.479525503726222</v>
      </c>
      <c r="CW45" s="22">
        <f t="shared" si="13"/>
        <v>609.41953916899001</v>
      </c>
      <c r="CX45" s="62">
        <f t="shared" si="14"/>
        <v>902.75287250232327</v>
      </c>
      <c r="CY45" s="62">
        <f ca="1">AVERAGE(OFFSET($CX$3,0,0,'Données projet'!$E$13+1,1))-AVERAGE(OFFSET($H$3,0,0,'Données projet'!$E$13+1,1))</f>
        <v>467.37715054082025</v>
      </c>
      <c r="CZ45" s="62">
        <f t="shared" si="42"/>
        <v>443.35096563136415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8.1008333333333322</v>
      </c>
      <c r="DO45" s="13">
        <f>IF('Données projet'!$A$166&gt;35,DO44+DN45-DW44,IF(A45&lt;'Données projet'!$A$166,$DL$205^A45,IF(A45='Données projet'!$A$166,'Données projet'!$B$166,DO44+DN45-DW44)))</f>
        <v>292.00416666666678</v>
      </c>
      <c r="DP45" s="18">
        <f>DO45*VLOOKUP('Données projet'!$B$14,Paramètres!$A$1:$I$89,3,0)*VLOOKUP('Données projet'!$B$14,Paramètres!$A$1:$I$89,5,0)</f>
        <v>314.31328500000012</v>
      </c>
      <c r="DQ45" s="14">
        <f t="shared" si="43"/>
        <v>74.168890060410774</v>
      </c>
      <c r="DR45" s="22">
        <f t="shared" si="16"/>
        <v>676.60645489688227</v>
      </c>
      <c r="DS45" s="62">
        <f t="shared" si="17"/>
        <v>969.93978823021553</v>
      </c>
      <c r="DT45" s="62">
        <f ca="1">AVERAGE(OFFSET($DS$3,0,0,'Données projet'!$E$14+1,1))-AVERAGE(OFFSET($H$3,0,0,'Données projet'!$E$14+1,1))</f>
        <v>524.51242549438939</v>
      </c>
      <c r="DU45" s="62">
        <f t="shared" si="44"/>
        <v>494.88778446576327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343.34135579614605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5.5750000000000002</v>
      </c>
      <c r="N46" s="14">
        <f>IF('Données projet'!$A$36&gt;35,N45+M46-V45,IF(A46&lt;'Données projet'!$A$36,$K$205^A46,IF(A46='Données projet'!$A$36,'Données projet'!$B$36,N45+M46-V45)))</f>
        <v>158.09999999999997</v>
      </c>
      <c r="O46" s="14">
        <f>N46*VLOOKUP('Données projet'!$B$9,Paramètres!$A$1:$I$89,3,0)*VLOOKUP('Données projet'!$B$9,Paramètres!$A$1:$I$89,5,0)</f>
        <v>143.04887999999997</v>
      </c>
      <c r="P46" s="14">
        <f t="shared" si="33"/>
        <v>36.994582915452646</v>
      </c>
      <c r="Q46" s="22">
        <f t="shared" si="53"/>
        <v>313.57569791107994</v>
      </c>
      <c r="R46" s="62">
        <f t="shared" si="0"/>
        <v>606.9090312444132</v>
      </c>
      <c r="S46" s="62">
        <f ca="1">AVERAGE(OFFSET($R$3,0,0,'Données projet'!$E$9+1,1))-AVERAGE(OFFSET($H$3,0,0,'Données projet'!$E$9+1,1))</f>
        <v>299.17641394512162</v>
      </c>
      <c r="T46" s="62">
        <f t="shared" si="34"/>
        <v>180.73046320039873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4.4491666666666658</v>
      </c>
      <c r="AI46" s="14">
        <f>IF('Données projet'!$A$62&gt;35,AI45+AH46-AQ45,IF(A46&lt;'Données projet'!$A$62,$AF$205^A46,IF(A46='Données projet'!$A$62,'Données projet'!$B$62,AI45+AH46-AQ45)))</f>
        <v>164.87499999999989</v>
      </c>
      <c r="AJ46" s="14">
        <f>AI46*VLOOKUP('Données projet'!$B$10,Paramètres!$A$1:$I$89,3,0)*VLOOKUP('Données projet'!$B$10,Paramètres!$A$1:$I$89,5,0)</f>
        <v>167.1832499999999</v>
      </c>
      <c r="AK46" s="14">
        <f t="shared" si="35"/>
        <v>42.458553151107232</v>
      </c>
      <c r="AL46" s="22">
        <f t="shared" si="4"/>
        <v>365.12614048817818</v>
      </c>
      <c r="AM46" s="62">
        <f t="shared" si="5"/>
        <v>658.45947382151144</v>
      </c>
      <c r="AN46" s="62">
        <f ca="1">AVERAGE(OFFSET($AM$3,0,0,'Données projet'!$E$10+1,1))-AVERAGE(OFFSET($H$3,0,0,'Données projet'!$E$10+1,1))</f>
        <v>384.66322295929552</v>
      </c>
      <c r="AO46" s="62">
        <f t="shared" si="36"/>
        <v>248.53970183513286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12</v>
      </c>
      <c r="BD46" s="13">
        <f>IF('Données projet'!$A$88&gt;35,BD45+BC46-BL45,IF(A46&lt;'Données projet'!$A$88,$BA$205^A46,IF(A46='Données projet'!$A$88,'Données projet'!$B$88,BD45+BC46-BL45)))</f>
        <v>302.21999999999997</v>
      </c>
      <c r="BE46" s="14">
        <f>BD46*VLOOKUP('Données projet'!$B$11,Paramètres!$A$1:$I$89,3,0)*VLOOKUP('Données projet'!$B$11,Paramètres!$A$1:$I$89,5,0)</f>
        <v>180.72756000000001</v>
      </c>
      <c r="BF46" s="14">
        <f t="shared" si="37"/>
        <v>45.484016840516631</v>
      </c>
      <c r="BG46" s="22">
        <f t="shared" si="7"/>
        <v>393.98516299723315</v>
      </c>
      <c r="BH46" s="62">
        <f t="shared" si="8"/>
        <v>687.3184963305664</v>
      </c>
      <c r="BI46" s="62">
        <f ca="1">AVERAGE(OFFSET($BH$3,0,0,'Données projet'!$E$11+1,1))-AVERAGE(OFFSET($H$3,0,0,'Données projet'!$E$11+1,1))</f>
        <v>146.25807703055079</v>
      </c>
      <c r="BJ46" s="62">
        <f t="shared" si="38"/>
        <v>177.40137940534413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1.9460262489264899</v>
      </c>
      <c r="BQ46" s="23">
        <f>EXP(-LN(2)/25)*BQ45+(1-EXP(-LN(2)/25))/(LN(2)/25)*Calculateur!BL46*Calculateur!BN46*VLOOKUP('Données projet'!$B$11,Paramètres!$A$1:$I$89,3,0)*0.475*44/12</f>
        <v>2.2465670233929891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4.1925932723194794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17.599999999999994</v>
      </c>
      <c r="BY46" s="13">
        <f>IF('Données projet'!$A$114&gt;35,BY45+BX46-CG45,IF(A46&lt;'Données projet'!$A$114,$BV$205^A46,IF(A46='Données projet'!$A$114,'Données projet'!$B$114,BY45+BX46-CG45)))</f>
        <v>375.74000000000012</v>
      </c>
      <c r="BZ46" s="14">
        <f>BY46*VLOOKUP('Données projet'!$B$12,Paramètres!$A$1:$I$89,3,0)*VLOOKUP('Données projet'!$B$12,Paramètres!$A$1:$I$89,5,0)</f>
        <v>175.84632000000005</v>
      </c>
      <c r="CA46" s="14">
        <f t="shared" si="39"/>
        <v>44.396816992758644</v>
      </c>
      <c r="CB46" s="22">
        <f t="shared" si="10"/>
        <v>383.59013026238807</v>
      </c>
      <c r="CC46" s="62">
        <f t="shared" si="11"/>
        <v>676.92346359572139</v>
      </c>
      <c r="CD46" s="62">
        <f ca="1">AVERAGE(OFFSET($CC$3,0,0,'Données projet'!$E$12+1,1))-AVERAGE(OFFSET($H$3,0,0,'Données projet'!$E$12+1,1))</f>
        <v>287.12723448949828</v>
      </c>
      <c r="CE46" s="62">
        <f t="shared" si="40"/>
        <v>170.5203352323382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4.6797045422216392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4.6797045422216392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8.1008333333333322</v>
      </c>
      <c r="CT46" s="13">
        <f>IF('Données projet'!$A$140&gt;35,CT45+CS46-DB45,IF(A46&lt;'Données projet'!$A$140,$CQ$205^A46,IF(A46='Données projet'!$A$140,'Données projet'!$B$140,CT45+CS46-DB45)))</f>
        <v>300.10500000000013</v>
      </c>
      <c r="CU46" s="18">
        <f>CT46*VLOOKUP('Données projet'!$B$13,Paramètres!$A$1:$I$89,3,0)*VLOOKUP('Données projet'!$B$13,Paramètres!$A$1:$I$89,5,0)</f>
        <v>290.26155600000016</v>
      </c>
      <c r="CV46" s="14">
        <f t="shared" si="41"/>
        <v>69.131007127364384</v>
      </c>
      <c r="CW46" s="22">
        <f t="shared" si="13"/>
        <v>625.94204744682656</v>
      </c>
      <c r="CX46" s="62">
        <f t="shared" si="14"/>
        <v>919.27538078015982</v>
      </c>
      <c r="CY46" s="62">
        <f ca="1">AVERAGE(OFFSET($CX$3,0,0,'Données projet'!$E$13+1,1))-AVERAGE(OFFSET($H$3,0,0,'Données projet'!$E$13+1,1))</f>
        <v>467.37715054082025</v>
      </c>
      <c r="CZ46" s="62">
        <f t="shared" si="42"/>
        <v>443.35096563136415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8.1008333333333322</v>
      </c>
      <c r="DO46" s="13">
        <f>IF('Données projet'!$A$166&gt;35,DO45+DN46-DW45,IF(A46&lt;'Données projet'!$A$166,$DL$205^A46,IF(A46='Données projet'!$A$166,'Données projet'!$B$166,DO45+DN46-DW45)))</f>
        <v>300.10500000000013</v>
      </c>
      <c r="DP46" s="18">
        <f>DO46*VLOOKUP('Données projet'!$B$14,Paramètres!$A$1:$I$89,3,0)*VLOOKUP('Données projet'!$B$14,Paramètres!$A$1:$I$89,5,0)</f>
        <v>323.03302200000013</v>
      </c>
      <c r="DQ46" s="14">
        <f t="shared" si="43"/>
        <v>75.984085974520156</v>
      </c>
      <c r="DR46" s="22">
        <f t="shared" si="16"/>
        <v>694.9547963889562</v>
      </c>
      <c r="DS46" s="62">
        <f t="shared" si="17"/>
        <v>988.28812972228957</v>
      </c>
      <c r="DT46" s="62">
        <f ca="1">AVERAGE(OFFSET($DS$3,0,0,'Données projet'!$E$14+1,1))-AVERAGE(OFFSET($H$3,0,0,'Données projet'!$E$14+1,1))</f>
        <v>524.51242549438939</v>
      </c>
      <c r="DU46" s="62">
        <f t="shared" si="44"/>
        <v>494.88778446576327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345.30213365846572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5.5750000000000002</v>
      </c>
      <c r="N47" s="14">
        <f>IF('Données projet'!$A$36&gt;35,N46+M47-V46,IF(A47&lt;'Données projet'!$A$36,$K$205^A47,IF(A47='Données projet'!$A$36,'Données projet'!$B$36,N46+M47-V46)))</f>
        <v>163.67499999999995</v>
      </c>
      <c r="O47" s="14">
        <f>N47*VLOOKUP('Données projet'!$B$9,Paramètres!$A$1:$I$89,3,0)*VLOOKUP('Données projet'!$B$9,Paramètres!$A$1:$I$89,5,0)</f>
        <v>148.09313999999995</v>
      </c>
      <c r="P47" s="14">
        <f t="shared" si="33"/>
        <v>38.144922704104395</v>
      </c>
      <c r="Q47" s="22">
        <f t="shared" si="53"/>
        <v>324.36462587631507</v>
      </c>
      <c r="R47" s="62">
        <f t="shared" si="0"/>
        <v>617.69795920964839</v>
      </c>
      <c r="S47" s="62">
        <f ca="1">AVERAGE(OFFSET($R$3,0,0,'Données projet'!$E$9+1,1))-AVERAGE(OFFSET($H$3,0,0,'Données projet'!$E$9+1,1))</f>
        <v>299.17641394512162</v>
      </c>
      <c r="T47" s="62">
        <f t="shared" si="34"/>
        <v>180.73046320039873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4.4491666666666658</v>
      </c>
      <c r="AI47" s="14">
        <f>IF('Données projet'!$A$62&gt;35,AI46+AH47-AQ46,IF(A47&lt;'Données projet'!$A$62,$AF$205^A47,IF(A47='Données projet'!$A$62,'Données projet'!$B$62,AI46+AH47-AQ46)))</f>
        <v>169.32416666666654</v>
      </c>
      <c r="AJ47" s="14">
        <f>AI47*VLOOKUP('Données projet'!$B$10,Paramètres!$A$1:$I$89,3,0)*VLOOKUP('Données projet'!$B$10,Paramètres!$A$1:$I$89,5,0)</f>
        <v>171.69470499999989</v>
      </c>
      <c r="AK47" s="14">
        <f t="shared" si="35"/>
        <v>43.469361728065394</v>
      </c>
      <c r="AL47" s="22">
        <f t="shared" si="4"/>
        <v>374.74408288471363</v>
      </c>
      <c r="AM47" s="62">
        <f t="shared" si="5"/>
        <v>668.07741621804689</v>
      </c>
      <c r="AN47" s="62">
        <f ca="1">AVERAGE(OFFSET($AM$3,0,0,'Données projet'!$E$10+1,1))-AVERAGE(OFFSET($H$3,0,0,'Données projet'!$E$10+1,1))</f>
        <v>384.66322295929552</v>
      </c>
      <c r="AO47" s="62">
        <f t="shared" si="36"/>
        <v>248.53970183513286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12</v>
      </c>
      <c r="BD47" s="13">
        <f>IF('Données projet'!$A$88&gt;35,BD46+BC47-BL46,IF(A47&lt;'Données projet'!$A$88,$BA$205^A47,IF(A47='Données projet'!$A$88,'Données projet'!$B$88,BD46+BC47-BL46)))</f>
        <v>314.21999999999997</v>
      </c>
      <c r="BE47" s="14">
        <f>BD47*VLOOKUP('Données projet'!$B$11,Paramètres!$A$1:$I$89,3,0)*VLOOKUP('Données projet'!$B$11,Paramètres!$A$1:$I$89,5,0)</f>
        <v>187.90356</v>
      </c>
      <c r="BF47" s="14">
        <f t="shared" si="37"/>
        <v>47.07616086098799</v>
      </c>
      <c r="BG47" s="22">
        <f t="shared" si="7"/>
        <v>409.25634716622079</v>
      </c>
      <c r="BH47" s="62">
        <f t="shared" si="8"/>
        <v>702.58968049955411</v>
      </c>
      <c r="BI47" s="62">
        <f ca="1">AVERAGE(OFFSET($BH$3,0,0,'Données projet'!$E$11+1,1))-AVERAGE(OFFSET($H$3,0,0,'Données projet'!$E$11+1,1))</f>
        <v>146.25807703055079</v>
      </c>
      <c r="BJ47" s="62">
        <f t="shared" si="38"/>
        <v>177.40137940534413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1.9078658611438508</v>
      </c>
      <c r="BQ47" s="23">
        <f>EXP(-LN(2)/25)*BQ46+(1-EXP(-LN(2)/25))/(LN(2)/25)*Calculateur!BL47*Calculateur!BN47*VLOOKUP('Données projet'!$B$11,Paramètres!$A$1:$I$89,3,0)*0.475*44/12</f>
        <v>2.1851345299964828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4.0930003911403334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17.599999999999994</v>
      </c>
      <c r="BY47" s="13">
        <f>IF('Données projet'!$A$114&gt;35,BY46+BX47-CG46,IF(A47&lt;'Données projet'!$A$114,$BV$205^A47,IF(A47='Données projet'!$A$114,'Données projet'!$B$114,BY46+BX47-CG46)))</f>
        <v>393.34000000000015</v>
      </c>
      <c r="BZ47" s="14">
        <f>BY47*VLOOKUP('Données projet'!$B$12,Paramètres!$A$1:$I$89,3,0)*VLOOKUP('Données projet'!$B$12,Paramètres!$A$1:$I$89,5,0)</f>
        <v>184.08312000000006</v>
      </c>
      <c r="CA47" s="14">
        <f t="shared" si="39"/>
        <v>46.229415840884222</v>
      </c>
      <c r="CB47" s="22">
        <f t="shared" si="10"/>
        <v>401.12766658954007</v>
      </c>
      <c r="CC47" s="62">
        <f t="shared" si="11"/>
        <v>694.46099992287338</v>
      </c>
      <c r="CD47" s="62">
        <f ca="1">AVERAGE(OFFSET($CC$3,0,0,'Données projet'!$E$12+1,1))-AVERAGE(OFFSET($H$3,0,0,'Données projet'!$E$12+1,1))</f>
        <v>287.12723448949828</v>
      </c>
      <c r="CE47" s="62">
        <f t="shared" si="40"/>
        <v>170.5203352323382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4.551737775419622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4.551737775419622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8.1008333333333322</v>
      </c>
      <c r="CT47" s="13">
        <f>IF('Données projet'!$A$140&gt;35,CT46+CS47-DB46,IF(A47&lt;'Données projet'!$A$140,$CQ$205^A47,IF(A47='Données projet'!$A$140,'Données projet'!$B$140,CT46+CS47-DB46)))</f>
        <v>308.20583333333349</v>
      </c>
      <c r="CU47" s="18">
        <f>CT47*VLOOKUP('Données projet'!$B$13,Paramètres!$A$1:$I$89,3,0)*VLOOKUP('Données projet'!$B$13,Paramètres!$A$1:$I$89,5,0)</f>
        <v>298.09668200000016</v>
      </c>
      <c r="CV47" s="14">
        <f t="shared" si="41"/>
        <v>70.777307235227767</v>
      </c>
      <c r="CW47" s="22">
        <f t="shared" si="13"/>
        <v>642.45553125135518</v>
      </c>
      <c r="CX47" s="62">
        <f t="shared" si="14"/>
        <v>935.78886458468855</v>
      </c>
      <c r="CY47" s="62">
        <f ca="1">AVERAGE(OFFSET($CX$3,0,0,'Données projet'!$E$13+1,1))-AVERAGE(OFFSET($H$3,0,0,'Données projet'!$E$13+1,1))</f>
        <v>467.37715054082025</v>
      </c>
      <c r="CZ47" s="62">
        <f t="shared" si="42"/>
        <v>443.35096563136415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8.1008333333333322</v>
      </c>
      <c r="DO47" s="13">
        <f>IF('Données projet'!$A$166&gt;35,DO46+DN47-DW46,IF(A47&lt;'Données projet'!$A$166,$DL$205^A47,IF(A47='Données projet'!$A$166,'Données projet'!$B$166,DO46+DN47-DW46)))</f>
        <v>308.20583333333349</v>
      </c>
      <c r="DP47" s="18">
        <f>DO47*VLOOKUP('Données projet'!$B$14,Paramètres!$A$1:$I$89,3,0)*VLOOKUP('Données projet'!$B$14,Paramètres!$A$1:$I$89,5,0)</f>
        <v>331.75275900000014</v>
      </c>
      <c r="DQ47" s="14">
        <f t="shared" si="43"/>
        <v>77.793586720043606</v>
      </c>
      <c r="DR47" s="22">
        <f t="shared" si="16"/>
        <v>713.29321879574275</v>
      </c>
      <c r="DS47" s="62">
        <f t="shared" si="17"/>
        <v>1006.6265521290761</v>
      </c>
      <c r="DT47" s="62">
        <f ca="1">AVERAGE(OFFSET($DS$3,0,0,'Données projet'!$E$14+1,1))-AVERAGE(OFFSET($H$3,0,0,'Données projet'!$E$14+1,1))</f>
        <v>524.51242549438939</v>
      </c>
      <c r="DU47" s="62">
        <f t="shared" si="44"/>
        <v>494.88778446576327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347.2618227027192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5.5750000000000002</v>
      </c>
      <c r="N48" s="14">
        <f>IF('Données projet'!$A$36&gt;35,N47+M48-V47,IF(A48&lt;'Données projet'!$A$36,$K$205^A48,IF(A48='Données projet'!$A$36,'Données projet'!$B$36,N47+M48-V47)))</f>
        <v>169.24999999999994</v>
      </c>
      <c r="O48" s="14">
        <f>N48*VLOOKUP('Données projet'!$B$9,Paramètres!$A$1:$I$89,3,0)*VLOOKUP('Données projet'!$B$9,Paramètres!$A$1:$I$89,5,0)</f>
        <v>153.13739999999996</v>
      </c>
      <c r="P48" s="14">
        <f t="shared" si="33"/>
        <v>39.290709785594153</v>
      </c>
      <c r="Q48" s="22">
        <f t="shared" si="53"/>
        <v>335.14562454324306</v>
      </c>
      <c r="R48" s="62">
        <f t="shared" si="0"/>
        <v>628.47895787657637</v>
      </c>
      <c r="S48" s="62">
        <f ca="1">AVERAGE(OFFSET($R$3,0,0,'Données projet'!$E$9+1,1))-AVERAGE(OFFSET($H$3,0,0,'Données projet'!$E$9+1,1))</f>
        <v>299.17641394512162</v>
      </c>
      <c r="T48" s="62">
        <f t="shared" si="34"/>
        <v>180.73046320039873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4.4491666666666658</v>
      </c>
      <c r="AI48" s="14">
        <f>IF('Données projet'!$A$62&gt;35,AI47+AH48-AQ47,IF(A48&lt;'Données projet'!$A$62,$AF$205^A48,IF(A48='Données projet'!$A$62,'Données projet'!$B$62,AI47+AH48-AQ47)))</f>
        <v>173.7733333333332</v>
      </c>
      <c r="AJ48" s="14">
        <f>AI48*VLOOKUP('Données projet'!$B$10,Paramètres!$A$1:$I$89,3,0)*VLOOKUP('Données projet'!$B$10,Paramètres!$A$1:$I$89,5,0)</f>
        <v>176.20615999999987</v>
      </c>
      <c r="AK48" s="14">
        <f t="shared" si="35"/>
        <v>44.477083064549106</v>
      </c>
      <c r="AL48" s="22">
        <f t="shared" si="4"/>
        <v>384.35664833742277</v>
      </c>
      <c r="AM48" s="62">
        <f t="shared" si="5"/>
        <v>677.68998167075608</v>
      </c>
      <c r="AN48" s="62">
        <f ca="1">AVERAGE(OFFSET($AM$3,0,0,'Données projet'!$E$10+1,1))-AVERAGE(OFFSET($H$3,0,0,'Données projet'!$E$10+1,1))</f>
        <v>384.66322295929552</v>
      </c>
      <c r="AO48" s="62">
        <f t="shared" si="36"/>
        <v>248.53970183513286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12</v>
      </c>
      <c r="BD48" s="13">
        <f>IF('Données projet'!$A$88&gt;35,BD47+BC48-BL47,IF(A48&lt;'Données projet'!$A$88,$BA$205^A48,IF(A48='Données projet'!$A$88,'Données projet'!$B$88,BD47+BC48-BL47)))</f>
        <v>326.21999999999997</v>
      </c>
      <c r="BE48" s="14">
        <f>BD48*VLOOKUP('Données projet'!$B$11,Paramètres!$A$1:$I$89,3,0)*VLOOKUP('Données projet'!$B$11,Paramètres!$A$1:$I$89,5,0)</f>
        <v>195.07955999999999</v>
      </c>
      <c r="BF48" s="14">
        <f t="shared" si="37"/>
        <v>48.661241228675316</v>
      </c>
      <c r="BG48" s="22">
        <f t="shared" si="7"/>
        <v>424.51522880660946</v>
      </c>
      <c r="BH48" s="62">
        <f t="shared" si="8"/>
        <v>717.84856213994271</v>
      </c>
      <c r="BI48" s="62">
        <f ca="1">AVERAGE(OFFSET($BH$3,0,0,'Données projet'!$E$11+1,1))-AVERAGE(OFFSET($H$3,0,0,'Données projet'!$E$11+1,1))</f>
        <v>146.25807703055079</v>
      </c>
      <c r="BJ48" s="62">
        <f t="shared" si="38"/>
        <v>177.40137940534413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1.8704537752900909</v>
      </c>
      <c r="BQ48" s="23">
        <f>EXP(-LN(2)/25)*BQ47+(1-EXP(-LN(2)/25))/(LN(2)/25)*Calculateur!BL48*Calculateur!BN48*VLOOKUP('Données projet'!$B$11,Paramètres!$A$1:$I$89,3,0)*0.475*44/12</f>
        <v>2.1253819113624983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3.9958356866525895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17.599999999999994</v>
      </c>
      <c r="BY48" s="13">
        <f>IF('Données projet'!$A$114&gt;35,BY47+BX48-CG47,IF(A48&lt;'Données projet'!$A$114,$BV$205^A48,IF(A48='Données projet'!$A$114,'Données projet'!$B$114,BY47+BX48-CG47)))</f>
        <v>410.94000000000017</v>
      </c>
      <c r="BZ48" s="14">
        <f>BY48*VLOOKUP('Données projet'!$B$12,Paramètres!$A$1:$I$89,3,0)*VLOOKUP('Données projet'!$B$12,Paramètres!$A$1:$I$89,5,0)</f>
        <v>192.31992000000008</v>
      </c>
      <c r="CA48" s="14">
        <f t="shared" si="39"/>
        <v>48.052491387876429</v>
      </c>
      <c r="CB48" s="22">
        <f t="shared" si="10"/>
        <v>418.64861650055155</v>
      </c>
      <c r="CC48" s="62">
        <f t="shared" si="11"/>
        <v>711.98194983388487</v>
      </c>
      <c r="CD48" s="62">
        <f ca="1">AVERAGE(OFFSET($CC$3,0,0,'Données projet'!$E$12+1,1))-AVERAGE(OFFSET($H$3,0,0,'Données projet'!$E$12+1,1))</f>
        <v>287.12723448949828</v>
      </c>
      <c r="CE48" s="62">
        <f t="shared" si="40"/>
        <v>170.5203352323382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4.4272702665852863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4.4272702665852863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8.1008333333333322</v>
      </c>
      <c r="CT48" s="13">
        <f>IF('Données projet'!$A$140&gt;35,CT47+CS48-DB47,IF(A48&lt;'Données projet'!$A$140,$CQ$205^A48,IF(A48='Données projet'!$A$140,'Données projet'!$B$140,CT47+CS48-DB47)))</f>
        <v>316.30666666666684</v>
      </c>
      <c r="CU48" s="18">
        <f>CT48*VLOOKUP('Données projet'!$B$13,Paramètres!$A$1:$I$89,3,0)*VLOOKUP('Données projet'!$B$13,Paramètres!$A$1:$I$89,5,0)</f>
        <v>305.93180800000016</v>
      </c>
      <c r="CV48" s="14">
        <f t="shared" si="41"/>
        <v>72.418577673034534</v>
      </c>
      <c r="CW48" s="22">
        <f t="shared" si="13"/>
        <v>658.96025504720205</v>
      </c>
      <c r="CX48" s="62">
        <f t="shared" si="14"/>
        <v>952.29358838053531</v>
      </c>
      <c r="CY48" s="62">
        <f ca="1">AVERAGE(OFFSET($CX$3,0,0,'Données projet'!$E$13+1,1))-AVERAGE(OFFSET($H$3,0,0,'Données projet'!$E$13+1,1))</f>
        <v>467.37715054082025</v>
      </c>
      <c r="CZ48" s="62">
        <f t="shared" si="42"/>
        <v>443.35096563136415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8.1008333333333322</v>
      </c>
      <c r="DO48" s="13">
        <f>IF('Données projet'!$A$166&gt;35,DO47+DN48-DW47,IF(A48&lt;'Données projet'!$A$166,$DL$205^A48,IF(A48='Données projet'!$A$166,'Données projet'!$B$166,DO47+DN48-DW47)))</f>
        <v>316.30666666666684</v>
      </c>
      <c r="DP48" s="18">
        <f>DO48*VLOOKUP('Données projet'!$B$14,Paramètres!$A$1:$I$89,3,0)*VLOOKUP('Données projet'!$B$14,Paramètres!$A$1:$I$89,5,0)</f>
        <v>340.47249600000021</v>
      </c>
      <c r="DQ48" s="14">
        <f t="shared" si="43"/>
        <v>79.597559195433575</v>
      </c>
      <c r="DR48" s="22">
        <f t="shared" si="16"/>
        <v>731.62201279871385</v>
      </c>
      <c r="DS48" s="62">
        <f t="shared" si="17"/>
        <v>1024.9553461320472</v>
      </c>
      <c r="DT48" s="62">
        <f ca="1">AVERAGE(OFFSET($DS$3,0,0,'Données projet'!$E$14+1,1))-AVERAGE(OFFSET($H$3,0,0,'Données projet'!$E$14+1,1))</f>
        <v>524.51242549438939</v>
      </c>
      <c r="DU48" s="62">
        <f t="shared" si="44"/>
        <v>494.88778446576327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349.22044991085374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5.5750000000000002</v>
      </c>
      <c r="N49" s="14">
        <f>IF('Données projet'!$A$36&gt;35,N48+M49-V48,IF(A49&lt;'Données projet'!$A$36,$K$205^A49,IF(A49='Données projet'!$A$36,'Données projet'!$B$36,N48+M49-V48)))</f>
        <v>174.82499999999993</v>
      </c>
      <c r="O49" s="14">
        <f>N49*VLOOKUP('Données projet'!$B$9,Paramètres!$A$1:$I$89,3,0)*VLOOKUP('Données projet'!$B$9,Paramètres!$A$1:$I$89,5,0)</f>
        <v>158.18165999999994</v>
      </c>
      <c r="P49" s="14">
        <f t="shared" si="33"/>
        <v>40.43211132014661</v>
      </c>
      <c r="Q49" s="22">
        <f t="shared" si="53"/>
        <v>345.91898504925524</v>
      </c>
      <c r="R49" s="62">
        <f t="shared" si="0"/>
        <v>639.25231838258856</v>
      </c>
      <c r="S49" s="62">
        <f ca="1">AVERAGE(OFFSET($R$3,0,0,'Données projet'!$E$9+1,1))-AVERAGE(OFFSET($H$3,0,0,'Données projet'!$E$9+1,1))</f>
        <v>299.17641394512162</v>
      </c>
      <c r="T49" s="62">
        <f t="shared" si="34"/>
        <v>180.73046320039873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4.4491666666666658</v>
      </c>
      <c r="AI49" s="14">
        <f>IF('Données projet'!$A$62&gt;35,AI48+AH49-AQ48,IF(A49&lt;'Données projet'!$A$62,$AF$205^A49,IF(A49='Données projet'!$A$62,'Données projet'!$B$62,AI48+AH49-AQ48)))</f>
        <v>178.22249999999985</v>
      </c>
      <c r="AJ49" s="14">
        <f>AI49*VLOOKUP('Données projet'!$B$10,Paramètres!$A$1:$I$89,3,0)*VLOOKUP('Données projet'!$B$10,Paramètres!$A$1:$I$89,5,0)</f>
        <v>180.71761499999985</v>
      </c>
      <c r="AK49" s="14">
        <f t="shared" si="35"/>
        <v>45.481805292811231</v>
      </c>
      <c r="AL49" s="22">
        <f t="shared" si="4"/>
        <v>393.96399034331262</v>
      </c>
      <c r="AM49" s="62">
        <f t="shared" si="5"/>
        <v>687.29732367664587</v>
      </c>
      <c r="AN49" s="62">
        <f ca="1">AVERAGE(OFFSET($AM$3,0,0,'Données projet'!$E$10+1,1))-AVERAGE(OFFSET($H$3,0,0,'Données projet'!$E$10+1,1))</f>
        <v>384.66322295929552</v>
      </c>
      <c r="AO49" s="62">
        <f t="shared" si="36"/>
        <v>248.53970183513286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12</v>
      </c>
      <c r="BD49" s="13">
        <f>IF('Données projet'!$A$88&gt;35,BD48+BC49-BL48,IF(A49&lt;'Données projet'!$A$88,$BA$205^A49,IF(A49='Données projet'!$A$88,'Données projet'!$B$88,BD48+BC49-BL48)))</f>
        <v>338.21999999999997</v>
      </c>
      <c r="BE49" s="14">
        <f>BD49*VLOOKUP('Données projet'!$B$11,Paramètres!$A$1:$I$89,3,0)*VLOOKUP('Données projet'!$B$11,Paramètres!$A$1:$I$89,5,0)</f>
        <v>202.25556</v>
      </c>
      <c r="BF49" s="14">
        <f t="shared" si="37"/>
        <v>50.239547537680004</v>
      </c>
      <c r="BG49" s="22">
        <f t="shared" si="7"/>
        <v>439.76231229479259</v>
      </c>
      <c r="BH49" s="62">
        <f t="shared" si="8"/>
        <v>733.09564562812591</v>
      </c>
      <c r="BI49" s="62">
        <f ca="1">AVERAGE(OFFSET($BH$3,0,0,'Données projet'!$E$11+1,1))-AVERAGE(OFFSET($H$3,0,0,'Données projet'!$E$11+1,1))</f>
        <v>146.25807703055079</v>
      </c>
      <c r="BJ49" s="62">
        <f t="shared" si="38"/>
        <v>177.40137940534413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1.8337753176208043</v>
      </c>
      <c r="BQ49" s="23">
        <f>EXP(-LN(2)/25)*BQ48+(1-EXP(-LN(2)/25))/(LN(2)/25)*Calculateur!BL49*Calculateur!BN49*VLOOKUP('Données projet'!$B$11,Paramètres!$A$1:$I$89,3,0)*0.475*44/12</f>
        <v>2.0672632312273138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3.9010385488481178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17.599999999999994</v>
      </c>
      <c r="BY49" s="13">
        <f>IF('Données projet'!$A$114&gt;35,BY48+BX49-CG48,IF(A49&lt;'Données projet'!$A$114,$BV$205^A49,IF(A49='Données projet'!$A$114,'Données projet'!$B$114,BY48+BX49-CG48)))</f>
        <v>428.54000000000019</v>
      </c>
      <c r="BZ49" s="14">
        <f>BY49*VLOOKUP('Données projet'!$B$12,Paramètres!$A$1:$I$89,3,0)*VLOOKUP('Données projet'!$B$12,Paramètres!$A$1:$I$89,5,0)</f>
        <v>200.5567200000001</v>
      </c>
      <c r="CA49" s="14">
        <f t="shared" si="39"/>
        <v>49.866498130238455</v>
      </c>
      <c r="CB49" s="22">
        <f t="shared" si="10"/>
        <v>436.15377157683207</v>
      </c>
      <c r="CC49" s="62">
        <f t="shared" si="11"/>
        <v>729.48710491016539</v>
      </c>
      <c r="CD49" s="62">
        <f ca="1">AVERAGE(OFFSET($CC$3,0,0,'Données projet'!$E$12+1,1))-AVERAGE(OFFSET($H$3,0,0,'Données projet'!$E$12+1,1))</f>
        <v>287.12723448949828</v>
      </c>
      <c r="CE49" s="62">
        <f t="shared" si="40"/>
        <v>170.5203352323382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4.3062063283254872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4.3062063283254872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8.1008333333333322</v>
      </c>
      <c r="CT49" s="13">
        <f>IF('Données projet'!$A$140&gt;35,CT48+CS49-DB48,IF(A49&lt;'Données projet'!$A$140,$CQ$205^A49,IF(A49='Données projet'!$A$140,'Données projet'!$B$140,CT48+CS49-DB48)))</f>
        <v>324.4075000000002</v>
      </c>
      <c r="CU49" s="18">
        <f>CT49*VLOOKUP('Données projet'!$B$13,Paramètres!$A$1:$I$89,3,0)*VLOOKUP('Données projet'!$B$13,Paramètres!$A$1:$I$89,5,0)</f>
        <v>313.76693400000022</v>
      </c>
      <c r="CV49" s="14">
        <f t="shared" si="41"/>
        <v>74.054962065634214</v>
      </c>
      <c r="CW49" s="22">
        <f t="shared" si="13"/>
        <v>675.45646898097982</v>
      </c>
      <c r="CX49" s="62">
        <f t="shared" si="14"/>
        <v>968.78980231431319</v>
      </c>
      <c r="CY49" s="62">
        <f ca="1">AVERAGE(OFFSET($CX$3,0,0,'Données projet'!$E$13+1,1))-AVERAGE(OFFSET($H$3,0,0,'Données projet'!$E$13+1,1))</f>
        <v>467.37715054082025</v>
      </c>
      <c r="CZ49" s="62">
        <f t="shared" si="42"/>
        <v>443.35096563136415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8.1008333333333322</v>
      </c>
      <c r="DO49" s="13">
        <f>IF('Données projet'!$A$166&gt;35,DO48+DN49-DW48,IF(A49&lt;'Données projet'!$A$166,$DL$205^A49,IF(A49='Données projet'!$A$166,'Données projet'!$B$166,DO48+DN49-DW48)))</f>
        <v>324.4075000000002</v>
      </c>
      <c r="DP49" s="18">
        <f>DO49*VLOOKUP('Données projet'!$B$14,Paramètres!$A$1:$I$89,3,0)*VLOOKUP('Données projet'!$B$14,Paramètres!$A$1:$I$89,5,0)</f>
        <v>349.19223300000016</v>
      </c>
      <c r="DQ49" s="14">
        <f t="shared" si="43"/>
        <v>81.396161263324373</v>
      </c>
      <c r="DR49" s="22">
        <f t="shared" si="16"/>
        <v>749.94145334195684</v>
      </c>
      <c r="DS49" s="62">
        <f t="shared" si="17"/>
        <v>1043.2747866752902</v>
      </c>
      <c r="DT49" s="62">
        <f ca="1">AVERAGE(OFFSET($DS$3,0,0,'Données projet'!$E$14+1,1))-AVERAGE(OFFSET($H$3,0,0,'Données projet'!$E$14+1,1))</f>
        <v>524.51242549438939</v>
      </c>
      <c r="DU49" s="62">
        <f t="shared" si="44"/>
        <v>494.88778446576327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351.17804102468818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5.5750000000000002</v>
      </c>
      <c r="N50" s="14">
        <f>IF('Données projet'!$A$36&gt;35,N49+M50-V49,IF(A50&lt;'Données projet'!$A$36,$K$205^A50,IF(A50='Données projet'!$A$36,'Données projet'!$B$36,N49+M50-V49)))</f>
        <v>180.39999999999992</v>
      </c>
      <c r="O50" s="14">
        <f>N50*VLOOKUP('Données projet'!$B$9,Paramètres!$A$1:$I$89,3,0)*VLOOKUP('Données projet'!$B$9,Paramètres!$A$1:$I$89,5,0)</f>
        <v>163.22591999999992</v>
      </c>
      <c r="P50" s="14">
        <f t="shared" si="33"/>
        <v>41.56928320146605</v>
      </c>
      <c r="Q50" s="22">
        <f t="shared" si="53"/>
        <v>356.68497890921986</v>
      </c>
      <c r="R50" s="62">
        <f t="shared" si="0"/>
        <v>650.01831224255318</v>
      </c>
      <c r="S50" s="62">
        <f ca="1">AVERAGE(OFFSET($R$3,0,0,'Données projet'!$E$9+1,1))-AVERAGE(OFFSET($H$3,0,0,'Données projet'!$E$9+1,1))</f>
        <v>299.17641394512162</v>
      </c>
      <c r="T50" s="62">
        <f t="shared" si="34"/>
        <v>180.73046320039873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4.4491666666666658</v>
      </c>
      <c r="AI50" s="14">
        <f>IF('Données projet'!$A$62&gt;35,AI49+AH50-AQ49,IF(A50&lt;'Données projet'!$A$62,$AF$205^A50,IF(A50='Données projet'!$A$62,'Données projet'!$B$62,AI49+AH50-AQ49)))</f>
        <v>182.67166666666651</v>
      </c>
      <c r="AJ50" s="14">
        <f>AI50*VLOOKUP('Données projet'!$B$10,Paramètres!$A$1:$I$89,3,0)*VLOOKUP('Données projet'!$B$10,Paramètres!$A$1:$I$89,5,0)</f>
        <v>185.22906999999984</v>
      </c>
      <c r="AK50" s="14">
        <f t="shared" si="35"/>
        <v>46.483611894023184</v>
      </c>
      <c r="AL50" s="22">
        <f t="shared" si="4"/>
        <v>403.56625429875675</v>
      </c>
      <c r="AM50" s="62">
        <f t="shared" si="5"/>
        <v>696.89958763209006</v>
      </c>
      <c r="AN50" s="62">
        <f ca="1">AVERAGE(OFFSET($AM$3,0,0,'Données projet'!$E$10+1,1))-AVERAGE(OFFSET($H$3,0,0,'Données projet'!$E$10+1,1))</f>
        <v>384.66322295929552</v>
      </c>
      <c r="AO50" s="62">
        <f t="shared" si="36"/>
        <v>248.53970183513286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12</v>
      </c>
      <c r="BD50" s="13">
        <f>IF('Données projet'!$A$88&gt;35,BD49+BC50-BL49,IF(A50&lt;'Données projet'!$A$88,$BA$205^A50,IF(A50='Données projet'!$A$88,'Données projet'!$B$88,BD49+BC50-BL49)))</f>
        <v>350.21999999999997</v>
      </c>
      <c r="BE50" s="14">
        <f>BD50*VLOOKUP('Données projet'!$B$11,Paramètres!$A$1:$I$89,3,0)*VLOOKUP('Données projet'!$B$11,Paramètres!$A$1:$I$89,5,0)</f>
        <v>209.43156000000002</v>
      </c>
      <c r="BF50" s="14">
        <f t="shared" si="37"/>
        <v>51.811347667558543</v>
      </c>
      <c r="BG50" s="22">
        <f t="shared" si="7"/>
        <v>454.9980641876644</v>
      </c>
      <c r="BH50" s="62">
        <f t="shared" si="8"/>
        <v>748.33139752099771</v>
      </c>
      <c r="BI50" s="62">
        <f ca="1">AVERAGE(OFFSET($BH$3,0,0,'Données projet'!$E$11+1,1))-AVERAGE(OFFSET($H$3,0,0,'Données projet'!$E$11+1,1))</f>
        <v>146.25807703055079</v>
      </c>
      <c r="BJ50" s="62">
        <f t="shared" si="38"/>
        <v>177.40137940534413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1.7978161021347621</v>
      </c>
      <c r="BQ50" s="23">
        <f>EXP(-LN(2)/25)*BQ49+(1-EXP(-LN(2)/25))/(LN(2)/25)*Calculateur!BL50*Calculateur!BN50*VLOOKUP('Données projet'!$B$11,Paramètres!$A$1:$I$89,3,0)*0.475*44/12</f>
        <v>2.0107338094567542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3.8085499115915162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17.599999999999994</v>
      </c>
      <c r="BY50" s="13">
        <f>IF('Données projet'!$A$114&gt;35,BY49+BX50-CG49,IF(A50&lt;'Données projet'!$A$114,$BV$205^A50,IF(A50='Données projet'!$A$114,'Données projet'!$B$114,BY49+BX50-CG49)))</f>
        <v>446.14000000000021</v>
      </c>
      <c r="BZ50" s="14">
        <f>BY50*VLOOKUP('Données projet'!$B$12,Paramètres!$A$1:$I$89,3,0)*VLOOKUP('Données projet'!$B$12,Paramètres!$A$1:$I$89,5,0)</f>
        <v>208.79352000000011</v>
      </c>
      <c r="CA50" s="14">
        <f t="shared" si="39"/>
        <v>51.671851119976957</v>
      </c>
      <c r="CB50" s="22">
        <f t="shared" si="10"/>
        <v>453.64385470062672</v>
      </c>
      <c r="CC50" s="62">
        <f t="shared" si="11"/>
        <v>746.97718803396003</v>
      </c>
      <c r="CD50" s="62">
        <f ca="1">AVERAGE(OFFSET($CC$3,0,0,'Données projet'!$E$12+1,1))-AVERAGE(OFFSET($H$3,0,0,'Données projet'!$E$12+1,1))</f>
        <v>287.12723448949828</v>
      </c>
      <c r="CE50" s="62">
        <f t="shared" si="40"/>
        <v>170.5203352323382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4.1884528898238775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4.1884528898238775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8.1008333333333322</v>
      </c>
      <c r="CT50" s="13">
        <f>IF('Données projet'!$A$140&gt;35,CT49+CS50-DB49,IF(A50&lt;'Données projet'!$A$140,$CQ$205^A50,IF(A50='Données projet'!$A$140,'Données projet'!$B$140,CT49+CS50-DB49)))</f>
        <v>332.50833333333355</v>
      </c>
      <c r="CU50" s="18">
        <f>CT50*VLOOKUP('Données projet'!$B$13,Paramètres!$A$1:$I$89,3,0)*VLOOKUP('Données projet'!$B$13,Paramètres!$A$1:$I$89,5,0)</f>
        <v>321.60206000000022</v>
      </c>
      <c r="CV50" s="14">
        <f t="shared" si="41"/>
        <v>75.686596456095245</v>
      </c>
      <c r="CW50" s="22">
        <f t="shared" si="13"/>
        <v>691.9444099943662</v>
      </c>
      <c r="CX50" s="62">
        <f t="shared" si="14"/>
        <v>985.27774332769945</v>
      </c>
      <c r="CY50" s="62">
        <f ca="1">AVERAGE(OFFSET($CX$3,0,0,'Données projet'!$E$13+1,1))-AVERAGE(OFFSET($H$3,0,0,'Données projet'!$E$13+1,1))</f>
        <v>467.37715054082025</v>
      </c>
      <c r="CZ50" s="62">
        <f t="shared" si="42"/>
        <v>443.35096563136415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8.1008333333333322</v>
      </c>
      <c r="DO50" s="13">
        <f>IF('Données projet'!$A$166&gt;35,DO49+DN50-DW49,IF(A50&lt;'Données projet'!$A$166,$DL$205^A50,IF(A50='Données projet'!$A$166,'Données projet'!$B$166,DO49+DN50-DW49)))</f>
        <v>332.50833333333355</v>
      </c>
      <c r="DP50" s="18">
        <f>DO50*VLOOKUP('Données projet'!$B$14,Paramètres!$A$1:$I$89,3,0)*VLOOKUP('Données projet'!$B$14,Paramètres!$A$1:$I$89,5,0)</f>
        <v>357.91197000000022</v>
      </c>
      <c r="DQ50" s="14">
        <f t="shared" si="43"/>
        <v>83.18954245297445</v>
      </c>
      <c r="DR50" s="22">
        <f t="shared" si="16"/>
        <v>768.25180085559759</v>
      </c>
      <c r="DS50" s="62">
        <f t="shared" si="17"/>
        <v>1061.5851341889309</v>
      </c>
      <c r="DT50" s="62">
        <f ca="1">AVERAGE(OFFSET($DS$3,0,0,'Données projet'!$E$14+1,1))-AVERAGE(OFFSET($H$3,0,0,'Données projet'!$E$14+1,1))</f>
        <v>524.51242549438939</v>
      </c>
      <c r="DU50" s="62">
        <f t="shared" si="44"/>
        <v>494.88778446576327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353.13462062806445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5.5750000000000002</v>
      </c>
      <c r="N51" s="14">
        <f>IF('Données projet'!$A$36&gt;35,N50+M51-V50,IF(A51&lt;'Données projet'!$A$36,$K$205^A51,IF(A51='Données projet'!$A$36,'Données projet'!$B$36,N50+M51-V50)))</f>
        <v>185.97499999999991</v>
      </c>
      <c r="O51" s="14">
        <f>N51*VLOOKUP('Données projet'!$B$9,Paramètres!$A$1:$I$89,3,0)*VLOOKUP('Données projet'!$B$9,Paramètres!$A$1:$I$89,5,0)</f>
        <v>168.27017999999993</v>
      </c>
      <c r="P51" s="14">
        <f t="shared" si="33"/>
        <v>42.702371140544017</v>
      </c>
      <c r="Q51" s="22">
        <f t="shared" si="53"/>
        <v>367.44385990311406</v>
      </c>
      <c r="R51" s="62">
        <f t="shared" si="0"/>
        <v>660.77719323644737</v>
      </c>
      <c r="S51" s="62">
        <f ca="1">AVERAGE(OFFSET($R$3,0,0,'Données projet'!$E$9+1,1))-AVERAGE(OFFSET($H$3,0,0,'Données projet'!$E$9+1,1))</f>
        <v>299.17641394512162</v>
      </c>
      <c r="T51" s="62">
        <f t="shared" si="34"/>
        <v>180.73046320039873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4.4491666666666658</v>
      </c>
      <c r="AI51" s="14">
        <f>IF('Données projet'!$A$62&gt;35,AI50+AH51-AQ50,IF(A51&lt;'Données projet'!$A$62,$AF$205^A51,IF(A51='Données projet'!$A$62,'Données projet'!$B$62,AI50+AH51-AQ50)))</f>
        <v>187.12083333333317</v>
      </c>
      <c r="AJ51" s="14">
        <f>AI51*VLOOKUP('Données projet'!$B$10,Paramètres!$A$1:$I$89,3,0)*VLOOKUP('Données projet'!$B$10,Paramètres!$A$1:$I$89,5,0)</f>
        <v>189.74052499999985</v>
      </c>
      <c r="AK51" s="14">
        <f t="shared" si="35"/>
        <v>47.482582050948096</v>
      </c>
      <c r="AL51" s="22">
        <f t="shared" si="4"/>
        <v>413.16357811373427</v>
      </c>
      <c r="AM51" s="62">
        <f t="shared" si="5"/>
        <v>706.49691144706753</v>
      </c>
      <c r="AN51" s="62">
        <f ca="1">AVERAGE(OFFSET($AM$3,0,0,'Données projet'!$E$10+1,1))-AVERAGE(OFFSET($H$3,0,0,'Données projet'!$E$10+1,1))</f>
        <v>384.66322295929552</v>
      </c>
      <c r="AO51" s="62">
        <f t="shared" si="36"/>
        <v>248.53970183513286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12</v>
      </c>
      <c r="BD51" s="13">
        <f>IF('Données projet'!$A$88&gt;35,BD50+BC51-BL50,IF(A51&lt;'Données projet'!$A$88,$BA$205^A51,IF(A51='Données projet'!$A$88,'Données projet'!$B$88,BD50+BC51-BL50)))</f>
        <v>362.21999999999997</v>
      </c>
      <c r="BE51" s="14">
        <f>BD51*VLOOKUP('Données projet'!$B$11,Paramètres!$A$1:$I$89,3,0)*VLOOKUP('Données projet'!$B$11,Paramètres!$A$1:$I$89,5,0)</f>
        <v>216.60755999999998</v>
      </c>
      <c r="BF51" s="14">
        <f t="shared" si="37"/>
        <v>53.376890099258326</v>
      </c>
      <c r="BG51" s="22">
        <f t="shared" si="7"/>
        <v>470.22291725620818</v>
      </c>
      <c r="BH51" s="62">
        <f t="shared" si="8"/>
        <v>763.55625058954149</v>
      </c>
      <c r="BI51" s="62">
        <f ca="1">AVERAGE(OFFSET($BH$3,0,0,'Données projet'!$E$11+1,1))-AVERAGE(OFFSET($H$3,0,0,'Données projet'!$E$11+1,1))</f>
        <v>146.25807703055079</v>
      </c>
      <c r="BJ51" s="62">
        <f t="shared" si="38"/>
        <v>177.40137940534413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1.7625620249314453</v>
      </c>
      <c r="BQ51" s="23">
        <f>EXP(-LN(2)/25)*BQ50+(1-EXP(-LN(2)/25))/(LN(2)/25)*Calculateur!BL51*Calculateur!BN51*VLOOKUP('Données projet'!$B$11,Paramètres!$A$1:$I$89,3,0)*0.475*44/12</f>
        <v>1.9557501876972638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3.7183122126287094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17.599999999999994</v>
      </c>
      <c r="BY51" s="13">
        <f>IF('Données projet'!$A$114&gt;35,BY50+BX51-CG50,IF(A51&lt;'Données projet'!$A$114,$BV$205^A51,IF(A51='Données projet'!$A$114,'Données projet'!$B$114,BY50+BX51-CG50)))</f>
        <v>463.74000000000024</v>
      </c>
      <c r="BZ51" s="14">
        <f>BY51*VLOOKUP('Données projet'!$B$12,Paramètres!$A$1:$I$89,3,0)*VLOOKUP('Données projet'!$B$12,Paramètres!$A$1:$I$89,5,0)</f>
        <v>217.0303200000001</v>
      </c>
      <c r="CA51" s="14">
        <f t="shared" si="39"/>
        <v>53.468930807996429</v>
      </c>
      <c r="CB51" s="22">
        <f t="shared" si="10"/>
        <v>471.11952849059395</v>
      </c>
      <c r="CC51" s="62">
        <f t="shared" si="11"/>
        <v>764.45286182392726</v>
      </c>
      <c r="CD51" s="62">
        <f ca="1">AVERAGE(OFFSET($CC$3,0,0,'Données projet'!$E$12+1,1))-AVERAGE(OFFSET($H$3,0,0,'Données projet'!$E$12+1,1))</f>
        <v>287.12723448949828</v>
      </c>
      <c r="CE51" s="62">
        <f t="shared" si="40"/>
        <v>170.5203352323382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4.0739194252904793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4.0739194252904793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8.1008333333333322</v>
      </c>
      <c r="CT51" s="13">
        <f>IF('Données projet'!$A$140&gt;35,CT50+CS51-DB50,IF(A51&lt;'Données projet'!$A$140,$CQ$205^A51,IF(A51='Données projet'!$A$140,'Données projet'!$B$140,CT50+CS51-DB50)))</f>
        <v>340.60916666666691</v>
      </c>
      <c r="CU51" s="18">
        <f>CT51*VLOOKUP('Données projet'!$B$13,Paramètres!$A$1:$I$89,3,0)*VLOOKUP('Données projet'!$B$13,Paramètres!$A$1:$I$89,5,0)</f>
        <v>329.43718600000022</v>
      </c>
      <c r="CV51" s="14">
        <f t="shared" si="41"/>
        <v>77.313609880760282</v>
      </c>
      <c r="CW51" s="22">
        <f t="shared" si="13"/>
        <v>708.42430282565783</v>
      </c>
      <c r="CX51" s="62">
        <f t="shared" si="14"/>
        <v>1001.7576361589911</v>
      </c>
      <c r="CY51" s="62">
        <f ca="1">AVERAGE(OFFSET($CX$3,0,0,'Données projet'!$E$13+1,1))-AVERAGE(OFFSET($H$3,0,0,'Données projet'!$E$13+1,1))</f>
        <v>467.37715054082025</v>
      </c>
      <c r="CZ51" s="62">
        <f t="shared" si="42"/>
        <v>443.35096563136415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8.1008333333333322</v>
      </c>
      <c r="DO51" s="13">
        <f>IF('Données projet'!$A$166&gt;35,DO50+DN51-DW50,IF(A51&lt;'Données projet'!$A$166,$DL$205^A51,IF(A51='Données projet'!$A$166,'Données projet'!$B$166,DO50+DN51-DW50)))</f>
        <v>340.60916666666691</v>
      </c>
      <c r="DP51" s="18">
        <f>DO51*VLOOKUP('Données projet'!$B$14,Paramètres!$A$1:$I$89,3,0)*VLOOKUP('Données projet'!$B$14,Paramètres!$A$1:$I$89,5,0)</f>
        <v>366.63170700000023</v>
      </c>
      <c r="DQ51" s="14">
        <f t="shared" si="43"/>
        <v>84.977844592326775</v>
      </c>
      <c r="DR51" s="22">
        <f t="shared" si="16"/>
        <v>786.55330235663621</v>
      </c>
      <c r="DS51" s="62">
        <f t="shared" si="17"/>
        <v>1079.8866356899696</v>
      </c>
      <c r="DT51" s="62">
        <f ca="1">AVERAGE(OFFSET($DS$3,0,0,'Données projet'!$E$14+1,1))-AVERAGE(OFFSET($H$3,0,0,'Données projet'!$E$14+1,1))</f>
        <v>524.51242549438939</v>
      </c>
      <c r="DU51" s="62">
        <f t="shared" si="44"/>
        <v>494.88778446576327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355.09021222196009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191.55</v>
      </c>
      <c r="L52" s="13">
        <f>VLOOKUP(A52,'Données projet'!$A$35:$I$55,9,0)</f>
        <v>5.5750000000000002</v>
      </c>
      <c r="M52" s="13">
        <f t="array" ref="M52">INDEX(L:L,MIN(IF(ISNUMBER(L52:L248),ROW(L52:L248),"")))</f>
        <v>5.5750000000000002</v>
      </c>
      <c r="N52" s="14">
        <f>IF('Données projet'!$A$36&gt;35,N51+M52-V51,IF(A52&lt;'Données projet'!$A$36,$K$205^A52,IF(A52='Données projet'!$A$36,'Données projet'!$B$36,N51+M52-V51)))</f>
        <v>191.5499999999999</v>
      </c>
      <c r="O52" s="14">
        <f>N52*VLOOKUP('Données projet'!$B$9,Paramètres!$A$1:$I$89,3,0)*VLOOKUP('Données projet'!$B$9,Paramètres!$A$1:$I$89,5,0)</f>
        <v>173.31443999999991</v>
      </c>
      <c r="P52" s="14">
        <f t="shared" si="33"/>
        <v>43.831511615856584</v>
      </c>
      <c r="Q52" s="22">
        <f t="shared" si="53"/>
        <v>378.19586573095006</v>
      </c>
      <c r="R52" s="62">
        <f t="shared" si="0"/>
        <v>671.52919906428338</v>
      </c>
      <c r="S52" s="62">
        <f ca="1">AVERAGE(OFFSET($R$3,0,0,'Données projet'!$E$9+1,1))-AVERAGE(OFFSET($H$3,0,0,'Données projet'!$E$9+1,1))</f>
        <v>299.17641394512162</v>
      </c>
      <c r="T52" s="62">
        <f t="shared" si="34"/>
        <v>180.73046320039873</v>
      </c>
      <c r="U52" s="16">
        <f>IF(ISNA(VLOOKUP(A52,'Données projet'!$A$35:$I$55,3,0)),0,VLOOKUP(A52,'Données projet'!$A$35:$I$55,3,0))</f>
        <v>3</v>
      </c>
      <c r="V52" s="16">
        <f>IF(ISNA(VLOOKUP(A52,'Données projet'!$A$35:$I$55,4,0)),0,VLOOKUP(A52,'Données projet'!$A$35:$I$55,4,0))</f>
        <v>19.16</v>
      </c>
      <c r="W52" s="17">
        <f>IF(ISNA(VLOOKUP(A52,'Données projet'!$A$35:$I$55,5,0)),0%,VLOOKUP(A52,'Données projet'!$A$35:$I$55,5,0)*VLOOKUP('Données projet'!$B$9,Paramètres!$A$1:$I$89,7,0))</f>
        <v>5.16E-2</v>
      </c>
      <c r="X52" s="17">
        <f>IF(ISNA(VLOOKUP(A52,'Données projet'!$A$35:$I$55,6,0)),0%,VLOOKUP(A52,'Données projet'!$A$35:$I$55,6,0)*VLOOKUP('Données projet'!$B$9,Paramètres!$A$1:$I$89,7,0))</f>
        <v>6.88E-2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0.98888299482580366</v>
      </c>
      <c r="AA52" s="23">
        <f>EXP(-LN(2)/25)*AA51+(1-EXP(-LN(2)/25))/(LN(2)/25)*Calculateur!V52*Calculateur!X52*VLOOKUP('Données projet'!$B$9,Paramètres!$A$1:$I$89,3,0)*0.475*44/12</f>
        <v>1.313319180908284</v>
      </c>
      <c r="AB52" s="23">
        <f>EXP(-LN(2)/2)*AB51+(1-EXP(-LN(2)/2))/(LN(2)/2)*V52*Y52*VLOOKUP('Données projet'!$B$9,Paramètres!$A$1:$I$89,3,0)*0.475*44/12</f>
        <v>0</v>
      </c>
      <c r="AC52" s="24">
        <f t="shared" si="3"/>
        <v>2.3022021757340876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>
        <f>VLOOKUP(A52,'Données projet'!$A$61:$I$81,2,0)</f>
        <v>191.57</v>
      </c>
      <c r="AG52" s="13">
        <f>VLOOKUP(A52,'Données projet'!$A$61:$I$81,9,0)</f>
        <v>4.4491666666666658</v>
      </c>
      <c r="AH52" s="13">
        <f t="array" ref="AH52">INDEX(AG:AG,MIN(IF(ISNUMBER(AG52:AG248),ROW(AG52:AG248),"")))</f>
        <v>4.4491666666666658</v>
      </c>
      <c r="AI52" s="14">
        <f>IF('Données projet'!$A$62&gt;35,AI51+AH52-AQ51,IF(A52&lt;'Données projet'!$A$62,$AF$205^A52,IF(A52='Données projet'!$A$62,'Données projet'!$B$62,AI51+AH52-AQ51)))</f>
        <v>191.56999999999982</v>
      </c>
      <c r="AJ52" s="14">
        <f>AI52*VLOOKUP('Données projet'!$B$10,Paramètres!$A$1:$I$89,3,0)*VLOOKUP('Données projet'!$B$10,Paramètres!$A$1:$I$89,5,0)</f>
        <v>194.25197999999983</v>
      </c>
      <c r="AK52" s="14">
        <f t="shared" si="35"/>
        <v>48.47879096612683</v>
      </c>
      <c r="AL52" s="22">
        <f t="shared" si="4"/>
        <v>422.75609276600397</v>
      </c>
      <c r="AM52" s="62">
        <f t="shared" si="5"/>
        <v>716.08942609933729</v>
      </c>
      <c r="AN52" s="62">
        <f ca="1">AVERAGE(OFFSET($AM$3,0,0,'Données projet'!$E$10+1,1))-AVERAGE(OFFSET($H$3,0,0,'Données projet'!$E$10+1,1))</f>
        <v>384.66322295929552</v>
      </c>
      <c r="AO52" s="62">
        <f t="shared" si="36"/>
        <v>248.53970183513286</v>
      </c>
      <c r="AP52" s="16">
        <f>IF(ISNA(VLOOKUP(A52,'Données projet'!$A$61:$I$81,3,0)),0,VLOOKUP(A52,'Données projet'!$A$61:$I$81,3,0))</f>
        <v>3</v>
      </c>
      <c r="AQ52" s="16">
        <f>IF(ISNA(VLOOKUP(A52,'Données projet'!$A$61:$I$81,4,0)),0,VLOOKUP(A52,'Données projet'!$A$61:$I$81,4,0))</f>
        <v>19.16</v>
      </c>
      <c r="AR52" s="17">
        <f>IF(ISNA(VLOOKUP(A52,'Données projet'!$A$61:$I$81,5,0)),0%,VLOOKUP(A52,'Données projet'!$A$61:$I$81,5,0)*VLOOKUP('Données projet'!$B$10,Paramètres!$A$1:$I$89,7,0))</f>
        <v>3.8699999999999998E-2</v>
      </c>
      <c r="AS52" s="17">
        <f>IF(ISNA(VLOOKUP(A52,'Données projet'!$A$61:$I$81,6,0)),0%,VLOOKUP(A52,'Données projet'!$A$61:$I$81,6,0)*VLOOKUP('Données projet'!$B$10,Paramètres!$A$1:$I$89,7,0))</f>
        <v>6.0200000000000004E-2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0.83117320685789542</v>
      </c>
      <c r="AV52" s="23">
        <f>EXP(-LN(2)/25)*AV51+(1-EXP(-LN(2)/25))/(LN(2)/25)*Calculateur!AQ52*Calculateur!AS52*VLOOKUP('Données projet'!$B$10,Paramètres!$A$1:$I$89,3,0)*0.475*44/12</f>
        <v>1.2878453174854945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2.1190185243433897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>
        <f>VLOOKUP(A52,'Données projet'!$A$87:$I$107,2,0)</f>
        <v>374.22</v>
      </c>
      <c r="BB52" s="13">
        <f>VLOOKUP(A52,'Données projet'!$A$87:$I$107,9,0)</f>
        <v>12</v>
      </c>
      <c r="BC52" s="13">
        <f t="array" ref="BC52">INDEX(BB:BB,MIN(IF(ISNUMBER(BB52:BB248),ROW(BB52:BB248),"")))</f>
        <v>12</v>
      </c>
      <c r="BD52" s="13">
        <f>IF('Données projet'!$A$88&gt;35,BD51+BC52-BL51,IF(A52&lt;'Données projet'!$A$88,$BA$205^A52,IF(A52='Données projet'!$A$88,'Données projet'!$B$88,BD51+BC52-BL51)))</f>
        <v>374.21999999999997</v>
      </c>
      <c r="BE52" s="14">
        <f>BD52*VLOOKUP('Données projet'!$B$11,Paramètres!$A$1:$I$89,3,0)*VLOOKUP('Données projet'!$B$11,Paramètres!$A$1:$I$89,5,0)</f>
        <v>223.78355999999999</v>
      </c>
      <c r="BF52" s="14">
        <f t="shared" si="37"/>
        <v>54.936405915533534</v>
      </c>
      <c r="BG52" s="22">
        <f t="shared" si="7"/>
        <v>485.43727396955416</v>
      </c>
      <c r="BH52" s="62">
        <f t="shared" si="8"/>
        <v>778.77060730288747</v>
      </c>
      <c r="BI52" s="62">
        <f ca="1">AVERAGE(OFFSET($BH$3,0,0,'Données projet'!$E$11+1,1))-AVERAGE(OFFSET($H$3,0,0,'Données projet'!$E$11+1,1))</f>
        <v>146.25807703055079</v>
      </c>
      <c r="BJ52" s="62">
        <f t="shared" si="38"/>
        <v>177.40137940534413</v>
      </c>
      <c r="BK52" s="16">
        <f>IF(ISNA(VLOOKUP(A52,'Données projet'!$A$87:$I$107,3,0)),0,VLOOKUP(A52,'Données projet'!$A$87:$I$107,3,0))</f>
        <v>3</v>
      </c>
      <c r="BL52" s="16">
        <f>IF(ISNA(VLOOKUP(A52,'Données projet'!$A$87:$I$107,4,0)),0,VLOOKUP(A52,'Données projet'!$A$87:$I$107,4,0))</f>
        <v>37.42</v>
      </c>
      <c r="BM52" s="17">
        <f>IF(ISNA(VLOOKUP(A52,'Données projet'!$A$87:$I$107,5,0)),0%,VLOOKUP(A52,'Données projet'!$A$87:$I$107,5,0)*VLOOKUP('Données projet'!$B$11,Paramètres!$A$1:$I$89,7,0))</f>
        <v>0.16200000000000001</v>
      </c>
      <c r="BN52" s="17">
        <f>IF(ISNA(VLOOKUP(A52,'Données projet'!$A$87:$I$107,6,0)),0%,VLOOKUP(A52,'Données projet'!$A$87:$I$107,6,0)*VLOOKUP('Données projet'!$B$11,Paramètres!$A$1:$I$89,7,0))</f>
        <v>0.1305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6.536927959967942</v>
      </c>
      <c r="BQ52" s="23">
        <f>EXP(-LN(2)/25)*BQ51+(1-EXP(-LN(2)/25))/(LN(2)/25)*Calculateur!BL52*Calculateur!BN52*VLOOKUP('Données projet'!$B$11,Paramètres!$A$1:$I$89,3,0)*0.475*44/12</f>
        <v>5.7608764677090694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12.297804427677011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>
        <f>VLOOKUP(A52,'Données projet'!$A$113:$I$133,2,0)</f>
        <v>481.34</v>
      </c>
      <c r="BW52" s="13">
        <f>VLOOKUP(A52,'Données projet'!$A$113:$I$133,9,0)</f>
        <v>17.599999999999994</v>
      </c>
      <c r="BX52" s="13">
        <f t="array" ref="BX52">INDEX(BW:BW,MIN(IF(ISNUMBER(BW52:BW248),ROW(BW52:BW248),"")))</f>
        <v>17.599999999999994</v>
      </c>
      <c r="BY52" s="13">
        <f>IF('Données projet'!$A$114&gt;35,BY51+BX52-CG51,IF(A52&lt;'Données projet'!$A$114,$BV$205^A52,IF(A52='Données projet'!$A$114,'Données projet'!$B$114,BY51+BX52-CG51)))</f>
        <v>481.34000000000026</v>
      </c>
      <c r="BZ52" s="14">
        <f>BY52*VLOOKUP('Données projet'!$B$12,Paramètres!$A$1:$I$89,3,0)*VLOOKUP('Données projet'!$B$12,Paramètres!$A$1:$I$89,5,0)</f>
        <v>225.26712000000012</v>
      </c>
      <c r="CA52" s="14">
        <f t="shared" si="39"/>
        <v>55.258087131544585</v>
      </c>
      <c r="CB52" s="22">
        <f t="shared" si="10"/>
        <v>488.5814024207736</v>
      </c>
      <c r="CC52" s="62">
        <f t="shared" si="11"/>
        <v>781.91473575410691</v>
      </c>
      <c r="CD52" s="62">
        <f ca="1">AVERAGE(OFFSET($CC$3,0,0,'Données projet'!$E$12+1,1))-AVERAGE(OFFSET($H$3,0,0,'Données projet'!$E$12+1,1))</f>
        <v>287.12723448949828</v>
      </c>
      <c r="CE52" s="62">
        <f t="shared" si="40"/>
        <v>170.5203352323382</v>
      </c>
      <c r="CF52" s="16">
        <f>IF(ISNA(VLOOKUP(A52,'Données projet'!$A$113:$I$133,3,0)),0,VLOOKUP(A52,'Données projet'!$A$113:$I$133,3,0))</f>
        <v>3</v>
      </c>
      <c r="CG52" s="16">
        <f>IF(ISNA(VLOOKUP(A52,'Données projet'!$A$113:$I$133,4,0)),0,VLOOKUP(A52,'Données projet'!$A$113:$I$133,4,0))</f>
        <v>48.13</v>
      </c>
      <c r="CH52" s="17">
        <f>IF(ISNA(VLOOKUP(A52,'Données projet'!$A$113:$I$133,5,0)),0%,VLOOKUP(A52,'Données projet'!$A$113:$I$133,5,0)*VLOOKUP('Données projet'!$B$12,Paramètres!$A$1:$I$89,7,0))</f>
        <v>3.8500000000000006E-2</v>
      </c>
      <c r="CI52" s="17">
        <f>IF(ISNA(VLOOKUP(A52,'Données projet'!$A$113:$I$133,6,0)),0%,VLOOKUP(A52,'Données projet'!$A$113:$I$133,6,0)*VLOOKUP('Données projet'!$B$12,Paramètres!$A$1:$I$89,7,0))</f>
        <v>0.28050000000000003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1.1504051061758169</v>
      </c>
      <c r="CL52" s="23">
        <f>EXP(-LN(2)/25)*CL51+(1-EXP(-LN(2)/25))/(LN(2)/25)*Calculateur!CG52*Calculateur!CI52*VLOOKUP('Données projet'!$B$12,Paramètres!$A$1:$I$89,3,0)*0.475*44/12</f>
        <v>12.311039551459043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13.461444657634861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>
        <f>VLOOKUP(A52,'Données projet'!$A$139:$I$159,2,0)</f>
        <v>348.71</v>
      </c>
      <c r="CR52" s="13">
        <f>VLOOKUP(A52,'Données projet'!$A$139:$I$159,9,0)</f>
        <v>8.1008333333333322</v>
      </c>
      <c r="CS52" s="13">
        <f t="array" ref="CS52">INDEX(CR:CR,MIN(IF(ISNUMBER(CR52:CR248),ROW(CR52:CR248),"")))</f>
        <v>8.1008333333333322</v>
      </c>
      <c r="CT52" s="13">
        <f>IF('Données projet'!$A$140&gt;35,CT51+CS52-DB51,IF(A52&lt;'Données projet'!$A$140,$CQ$205^A52,IF(A52='Données projet'!$A$140,'Données projet'!$B$140,CT51+CS52-DB51)))</f>
        <v>348.71000000000026</v>
      </c>
      <c r="CU52" s="18">
        <f>CT52*VLOOKUP('Données projet'!$B$13,Paramètres!$A$1:$I$89,3,0)*VLOOKUP('Données projet'!$B$13,Paramètres!$A$1:$I$89,5,0)</f>
        <v>337.27231200000028</v>
      </c>
      <c r="CV52" s="14">
        <f t="shared" si="41"/>
        <v>78.93612488805249</v>
      </c>
      <c r="CW52" s="22">
        <f t="shared" si="13"/>
        <v>724.89636091335854</v>
      </c>
      <c r="CX52" s="62">
        <f t="shared" si="14"/>
        <v>1018.2296942466919</v>
      </c>
      <c r="CY52" s="62">
        <f ca="1">AVERAGE(OFFSET($CX$3,0,0,'Données projet'!$E$13+1,1))-AVERAGE(OFFSET($H$3,0,0,'Données projet'!$E$13+1,1))</f>
        <v>467.37715054082025</v>
      </c>
      <c r="CZ52" s="62">
        <f t="shared" si="42"/>
        <v>443.35096563136415</v>
      </c>
      <c r="DA52" s="16">
        <f>IF(ISNA(VLOOKUP(A52,'Données projet'!$A$139:$I$159,3,0)),0,VLOOKUP(A52,'Données projet'!$A$139:$I$159,3,0))</f>
        <v>3</v>
      </c>
      <c r="DB52" s="16">
        <f>IF(ISNA(VLOOKUP(A52,'Données projet'!$A$139:$I$159,4,0)),0,VLOOKUP(A52,'Données projet'!$A$139:$I$159,4,0))</f>
        <v>34.869999999999997</v>
      </c>
      <c r="DC52" s="17">
        <f>IF(ISNA(VLOOKUP(A52,'Données projet'!$A$139:$I$159,5,0)),0%,VLOOKUP(A52,'Données projet'!$A$139:$I$159,5,0)*VLOOKUP('Données projet'!$B$13,Paramètres!$A$1:$I$89,7,0))</f>
        <v>2.58E-2</v>
      </c>
      <c r="DD52" s="17">
        <f>IF(ISNA(VLOOKUP(A52,'Données projet'!$A$139:$I$159,6,0)),0%,VLOOKUP(A52,'Données projet'!$A$139:$I$159,6,0)*VLOOKUP('Données projet'!$B$13,Paramètres!$A$1:$I$89,7,0))</f>
        <v>3.8699999999999998E-2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0.96191135529915861</v>
      </c>
      <c r="DG52" s="23">
        <f>EXP(-LN(2)/25)*DG51+(1-EXP(-LN(2)/25))/(LN(2)/25)*Calculateur!DB52*Calculateur!DD52*VLOOKUP('Données projet'!$B$13,Paramètres!$A$1:$I$89,3,0)*0.475*44/12</f>
        <v>1.4371859156645774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2.3990972709637362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>
        <f>VLOOKUP(A52,'Données projet'!$A$165:$I$185,2,0)</f>
        <v>348.71</v>
      </c>
      <c r="DM52" s="13">
        <f>VLOOKUP(A52,'Données projet'!$A$165:$I$185,9,0)</f>
        <v>8.1008333333333322</v>
      </c>
      <c r="DN52" s="13">
        <f t="array" ref="DN52">INDEX(DM:DM,MIN(IF(ISNUMBER(DM52:DM248),ROW(DM52:DM248),"")))</f>
        <v>8.1008333333333322</v>
      </c>
      <c r="DO52" s="13">
        <f>IF('Données projet'!$A$166&gt;35,DO51+DN52-DW51,IF(A52&lt;'Données projet'!$A$166,$DL$205^A52,IF(A52='Données projet'!$A$166,'Données projet'!$B$166,DO51+DN52-DW51)))</f>
        <v>348.71000000000026</v>
      </c>
      <c r="DP52" s="18">
        <f>DO52*VLOOKUP('Données projet'!$B$14,Paramètres!$A$1:$I$89,3,0)*VLOOKUP('Données projet'!$B$14,Paramètres!$A$1:$I$89,5,0)</f>
        <v>375.35144400000024</v>
      </c>
      <c r="DQ52" s="14">
        <f t="shared" si="43"/>
        <v>86.761202378246182</v>
      </c>
      <c r="DR52" s="22">
        <f t="shared" si="16"/>
        <v>804.84619244211251</v>
      </c>
      <c r="DS52" s="62">
        <f t="shared" si="17"/>
        <v>1098.1795257754459</v>
      </c>
      <c r="DT52" s="62">
        <f ca="1">AVERAGE(OFFSET($DS$3,0,0,'Données projet'!$E$14+1,1))-AVERAGE(OFFSET($H$3,0,0,'Données projet'!$E$14+1,1))</f>
        <v>524.51242549438939</v>
      </c>
      <c r="DU52" s="62">
        <f t="shared" si="44"/>
        <v>494.88778446576327</v>
      </c>
      <c r="DV52" s="16">
        <f>IF(ISNA(VLOOKUP(A52,'Données projet'!$A$165:$I$185,3,0)),0,VLOOKUP(A52,'Données projet'!$A$165:$I$185,3,0))</f>
        <v>3</v>
      </c>
      <c r="DW52" s="16">
        <f>IF(ISNA(VLOOKUP(A52,'Données projet'!$A$165:$I$185,4,0)),0,VLOOKUP(A52,'Données projet'!$A$165:$I$185,4,0))</f>
        <v>34.869999999999997</v>
      </c>
      <c r="DX52" s="17">
        <f>IF(ISNA(VLOOKUP(A52,'Données projet'!$A$165:$I$185,5,0)),0%,VLOOKUP(A52,'Données projet'!$A$165:$I$185,5,0)*VLOOKUP('Données projet'!$B$14,Paramètres!$A$1:$I$89,7,0))</f>
        <v>2.58E-2</v>
      </c>
      <c r="DY52" s="17">
        <f>IF(ISNA(VLOOKUP(A52,'Données projet'!$A$165:$I$185,6,0)),0%,VLOOKUP(A52,'Données projet'!$A$165:$I$185,6,0)*VLOOKUP('Données projet'!$B$14,Paramètres!$A$1:$I$89,7,0))</f>
        <v>3.8699999999999998E-2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1.0705142502522893</v>
      </c>
      <c r="EB52" s="23">
        <f>EXP(-LN(2)/25)*EB51+(1-EXP(-LN(2)/25))/(LN(2)/25)*Calculateur!DW52*Calculateur!DY52*VLOOKUP('Données projet'!$B$14,Paramètres!$A$1:$I$89,3,0)*0.475*44/12</f>
        <v>1.599448841626707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2.6699630918789961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357.0448382932957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5.4841666666666642</v>
      </c>
      <c r="N53" s="14">
        <f>IF('Données projet'!$A$36&gt;35,N52+M53-V52,IF(A53&lt;'Données projet'!$A$36,$K$205^A53,IF(A53='Données projet'!$A$36,'Données projet'!$B$36,N52+M53-V52)))</f>
        <v>177.87416666666655</v>
      </c>
      <c r="O53" s="14">
        <f>N53*VLOOKUP('Données projet'!$B$9,Paramètres!$A$1:$I$89,3,0)*VLOOKUP('Données projet'!$B$9,Paramètres!$A$1:$I$89,5,0)</f>
        <v>160.9405459999999</v>
      </c>
      <c r="P53" s="14">
        <f t="shared" si="33"/>
        <v>41.054585761600151</v>
      </c>
      <c r="Q53" s="22">
        <f t="shared" si="53"/>
        <v>351.80818781812013</v>
      </c>
      <c r="R53" s="62">
        <f t="shared" si="0"/>
        <v>645.14152115145339</v>
      </c>
      <c r="S53" s="62">
        <f ca="1">AVERAGE(OFFSET($R$3,0,0,'Données projet'!$E$9+1,1))-AVERAGE(OFFSET($H$3,0,0,'Données projet'!$E$9+1,1))</f>
        <v>299.17641394512162</v>
      </c>
      <c r="T53" s="62">
        <f t="shared" si="34"/>
        <v>180.73046320039873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0.96949160245633947</v>
      </c>
      <c r="AA53" s="23">
        <f>EXP(-LN(2)/25)*AA52+(1-EXP(-LN(2)/25))/(LN(2)/25)*Calculateur!V53*Calculateur!X53*VLOOKUP('Données projet'!$B$9,Paramètres!$A$1:$I$89,3,0)*0.475*44/12</f>
        <v>1.2774063988418929</v>
      </c>
      <c r="AB53" s="23">
        <f>EXP(-LN(2)/2)*AB52+(1-EXP(-LN(2)/2))/(LN(2)/2)*V53*Y53*VLOOKUP('Données projet'!$B$9,Paramètres!$A$1:$I$89,3,0)*0.475*44/12</f>
        <v>0</v>
      </c>
      <c r="AC53" s="24">
        <f t="shared" si="3"/>
        <v>2.2468980012982325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4.4508333333333328</v>
      </c>
      <c r="AI53" s="14">
        <f>IF('Données projet'!$A$62&gt;35,AI52+AH53-AQ52,IF(A53&lt;'Données projet'!$A$62,$AF$205^A53,IF(A53='Données projet'!$A$62,'Données projet'!$B$62,AI52+AH53-AQ52)))</f>
        <v>176.86083333333315</v>
      </c>
      <c r="AJ53" s="14">
        <f>AI53*VLOOKUP('Données projet'!$B$10,Paramètres!$A$1:$I$89,3,0)*VLOOKUP('Données projet'!$B$10,Paramètres!$A$1:$I$89,5,0)</f>
        <v>179.33688499999982</v>
      </c>
      <c r="AK53" s="14">
        <f t="shared" si="35"/>
        <v>45.174623621105056</v>
      </c>
      <c r="AL53" s="22">
        <f t="shared" si="4"/>
        <v>391.02421084842427</v>
      </c>
      <c r="AM53" s="62">
        <f t="shared" si="5"/>
        <v>684.35754418175759</v>
      </c>
      <c r="AN53" s="62">
        <f ca="1">AVERAGE(OFFSET($AM$3,0,0,'Données projet'!$E$10+1,1))-AVERAGE(OFFSET($H$3,0,0,'Données projet'!$E$10+1,1))</f>
        <v>384.66322295929552</v>
      </c>
      <c r="AO53" s="62">
        <f t="shared" si="36"/>
        <v>248.53970183513286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0.81487440723700955</v>
      </c>
      <c r="AV53" s="23">
        <f>EXP(-LN(2)/25)*AV52+(1-EXP(-LN(2)/25))/(LN(2)/25)*Calculateur!AQ53*Calculateur!AS53*VLOOKUP('Données projet'!$B$10,Paramètres!$A$1:$I$89,3,0)*0.475*44/12</f>
        <v>1.2526291195540118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2.0675035267910213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343.8</v>
      </c>
      <c r="BB53" s="13">
        <f>VLOOKUP(A53,'Données projet'!$A$87:$I$107,9,0)</f>
        <v>7</v>
      </c>
      <c r="BC53" s="13">
        <f t="array" ref="BC53">INDEX(BB:BB,MIN(IF(ISNUMBER(BB53:BB249),ROW(BB53:BB249),"")))</f>
        <v>7</v>
      </c>
      <c r="BD53" s="13">
        <f>IF('Données projet'!$A$88&gt;35,BD52+BC53-BL52,IF(A53&lt;'Données projet'!$A$88,$BA$205^A53,IF(A53='Données projet'!$A$88,'Données projet'!$B$88,BD52+BC53-BL52)))</f>
        <v>343.79999999999995</v>
      </c>
      <c r="BE53" s="14">
        <f>BD53*VLOOKUP('Données projet'!$B$11,Paramètres!$A$1:$I$89,3,0)*VLOOKUP('Données projet'!$B$11,Paramètres!$A$1:$I$89,5,0)</f>
        <v>205.5924</v>
      </c>
      <c r="BF53" s="14">
        <f t="shared" si="37"/>
        <v>50.971228364263673</v>
      </c>
      <c r="BG53" s="22">
        <f t="shared" si="7"/>
        <v>446.84831940109251</v>
      </c>
      <c r="BH53" s="62">
        <f t="shared" si="8"/>
        <v>740.18165273442582</v>
      </c>
      <c r="BI53" s="62">
        <f ca="1">AVERAGE(OFFSET($BH$3,0,0,'Données projet'!$E$11+1,1))-AVERAGE(OFFSET($H$3,0,0,'Données projet'!$E$11+1,1))</f>
        <v>146.25807703055079</v>
      </c>
      <c r="BJ53" s="62">
        <f t="shared" si="38"/>
        <v>177.40137940534413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0.16650000000000001</v>
      </c>
      <c r="BN53" s="17">
        <f>IF(ISNA(VLOOKUP(A53,'Données projet'!$A$87:$I$107,6,0)),0%,VLOOKUP(A53,'Données projet'!$A$87:$I$107,6,0)*VLOOKUP('Données projet'!$B$11,Paramètres!$A$1:$I$89,7,0))</f>
        <v>0.13500000000000001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6.4087427898053297</v>
      </c>
      <c r="BQ53" s="23">
        <f>EXP(-LN(2)/25)*BQ52+(1-EXP(-LN(2)/25))/(LN(2)/25)*Calculateur!BL53*Calculateur!BN53*VLOOKUP('Données projet'!$B$11,Paramètres!$A$1:$I$89,3,0)*0.475*44/12</f>
        <v>5.6033449977482377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12.012087787553568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14.816666666666668</v>
      </c>
      <c r="BY53" s="13">
        <f>IF('Données projet'!$A$114&gt;35,BY52+BX53-CG52,IF(A53&lt;'Données projet'!$A$114,$BV$205^A53,IF(A53='Données projet'!$A$114,'Données projet'!$B$114,BY52+BX53-CG52)))</f>
        <v>448.02666666666693</v>
      </c>
      <c r="BZ53" s="14">
        <f>BY53*VLOOKUP('Données projet'!$B$12,Paramètres!$A$1:$I$89,3,0)*VLOOKUP('Données projet'!$B$12,Paramètres!$A$1:$I$89,5,0)</f>
        <v>209.67648000000014</v>
      </c>
      <c r="CA53" s="14">
        <f t="shared" si="39"/>
        <v>51.864882096214188</v>
      </c>
      <c r="CB53" s="22">
        <f t="shared" si="10"/>
        <v>455.51787231757334</v>
      </c>
      <c r="CC53" s="62">
        <f t="shared" si="11"/>
        <v>748.85120565090665</v>
      </c>
      <c r="CD53" s="62">
        <f ca="1">AVERAGE(OFFSET($CC$3,0,0,'Données projet'!$E$12+1,1))-AVERAGE(OFFSET($H$3,0,0,'Données projet'!$E$12+1,1))</f>
        <v>287.12723448949828</v>
      </c>
      <c r="CE53" s="62">
        <f t="shared" si="40"/>
        <v>170.5203352323382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1.127846363721539</v>
      </c>
      <c r="CL53" s="23">
        <f>EXP(-LN(2)/25)*CL52+(1-EXP(-LN(2)/25))/(LN(2)/25)*Calculateur!CG53*Calculateur!CI53*VLOOKUP('Données projet'!$B$12,Paramètres!$A$1:$I$89,3,0)*0.475*44/12</f>
        <v>11.974393527514962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13.102239891236501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8.0991666666666671</v>
      </c>
      <c r="CT53" s="13">
        <f>IF('Données projet'!$A$140&gt;35,CT52+CS53-DB52,IF(A53&lt;'Données projet'!$A$140,$CQ$205^A53,IF(A53='Données projet'!$A$140,'Données projet'!$B$140,CT52+CS53-DB52)))</f>
        <v>321.93916666666695</v>
      </c>
      <c r="CU53" s="18">
        <f>CT53*VLOOKUP('Données projet'!$B$13,Paramètres!$A$1:$I$89,3,0)*VLOOKUP('Données projet'!$B$13,Paramètres!$A$1:$I$89,5,0)</f>
        <v>311.37956200000025</v>
      </c>
      <c r="CV53" s="14">
        <f t="shared" si="41"/>
        <v>73.556863128443652</v>
      </c>
      <c r="CW53" s="22">
        <f t="shared" si="13"/>
        <v>670.43094043203973</v>
      </c>
      <c r="CX53" s="62">
        <f t="shared" si="14"/>
        <v>963.76427376537299</v>
      </c>
      <c r="CY53" s="62">
        <f ca="1">AVERAGE(OFFSET($CX$3,0,0,'Données projet'!$E$13+1,1))-AVERAGE(OFFSET($H$3,0,0,'Données projet'!$E$13+1,1))</f>
        <v>467.37715054082025</v>
      </c>
      <c r="CZ53" s="62">
        <f t="shared" si="42"/>
        <v>443.35096563136415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0.94304886032973623</v>
      </c>
      <c r="DG53" s="23">
        <f>EXP(-LN(2)/25)*DG52+(1-EXP(-LN(2)/25))/(LN(2)/25)*Calculateur!DB53*Calculateur!DD53*VLOOKUP('Données projet'!$B$13,Paramètres!$A$1:$I$89,3,0)*0.475*44/12</f>
        <v>1.3978859912224071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2.3409348515521433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8.0991666666666671</v>
      </c>
      <c r="DO53" s="13">
        <f>IF('Données projet'!$A$166&gt;35,DO52+DN53-DW52,IF(A53&lt;'Données projet'!$A$166,$DL$205^A53,IF(A53='Données projet'!$A$166,'Données projet'!$B$166,DO52+DN53-DW52)))</f>
        <v>321.93916666666695</v>
      </c>
      <c r="DP53" s="18">
        <f>DO53*VLOOKUP('Données projet'!$B$14,Paramètres!$A$1:$I$89,3,0)*VLOOKUP('Données projet'!$B$14,Paramètres!$A$1:$I$89,5,0)</f>
        <v>346.5353190000003</v>
      </c>
      <c r="DQ53" s="14">
        <f t="shared" si="43"/>
        <v>80.848684898665439</v>
      </c>
      <c r="DR53" s="22">
        <f t="shared" si="16"/>
        <v>744.3604734568429</v>
      </c>
      <c r="DS53" s="62">
        <f t="shared" si="17"/>
        <v>1037.6938067901763</v>
      </c>
      <c r="DT53" s="62">
        <f ca="1">AVERAGE(OFFSET($DS$3,0,0,'Données projet'!$E$14+1,1))-AVERAGE(OFFSET($H$3,0,0,'Données projet'!$E$14+1,1))</f>
        <v>524.51242549438939</v>
      </c>
      <c r="DU53" s="62">
        <f t="shared" si="44"/>
        <v>494.88778446576327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1.0495221187540611</v>
      </c>
      <c r="EB53" s="23">
        <f>EXP(-LN(2)/25)*EB52+(1-EXP(-LN(2)/25))/(LN(2)/25)*Calculateur!DW53*Calculateur!DY53*VLOOKUP('Données projet'!$B$14,Paramètres!$A$1:$I$89,3,0)*0.475*44/12</f>
        <v>1.5557118289410656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2.605233947695127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358.99852037808239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5.4841666666666642</v>
      </c>
      <c r="N54" s="14">
        <f>IF('Données projet'!$A$36&gt;35,N53+M54-V53,IF(A54&lt;'Données projet'!$A$36,$K$205^A54,IF(A54='Données projet'!$A$36,'Données projet'!$B$36,N53+M54-V53)))</f>
        <v>183.35833333333321</v>
      </c>
      <c r="O54" s="14">
        <f>N54*VLOOKUP('Données projet'!$B$9,Paramètres!$A$1:$I$89,3,0)*VLOOKUP('Données projet'!$B$9,Paramètres!$A$1:$I$89,5,0)</f>
        <v>165.90261999999987</v>
      </c>
      <c r="P54" s="14">
        <f t="shared" si="33"/>
        <v>42.171047800727806</v>
      </c>
      <c r="Q54" s="22">
        <f t="shared" si="53"/>
        <v>362.39497141960061</v>
      </c>
      <c r="R54" s="62">
        <f t="shared" si="0"/>
        <v>655.72830475293392</v>
      </c>
      <c r="S54" s="62">
        <f ca="1">AVERAGE(OFFSET($R$3,0,0,'Données projet'!$E$9+1,1))-AVERAGE(OFFSET($H$3,0,0,'Données projet'!$E$9+1,1))</f>
        <v>299.17641394512162</v>
      </c>
      <c r="T54" s="62">
        <f t="shared" si="34"/>
        <v>180.73046320039873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0.950480463463659</v>
      </c>
      <c r="AA54" s="23">
        <f>EXP(-LN(2)/25)*AA53+(1-EXP(-LN(2)/25))/(LN(2)/25)*Calculateur!V54*Calculateur!X54*VLOOKUP('Données projet'!$B$9,Paramètres!$A$1:$I$89,3,0)*0.475*44/12</f>
        <v>1.2424756536896784</v>
      </c>
      <c r="AB54" s="23">
        <f>EXP(-LN(2)/2)*AB53+(1-EXP(-LN(2)/2))/(LN(2)/2)*V54*Y54*VLOOKUP('Données projet'!$B$9,Paramètres!$A$1:$I$89,3,0)*0.475*44/12</f>
        <v>0</v>
      </c>
      <c r="AC54" s="24">
        <f t="shared" si="3"/>
        <v>2.1929561171533374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4.4508333333333328</v>
      </c>
      <c r="AI54" s="14">
        <f>IF('Données projet'!$A$62&gt;35,AI53+AH54-AQ53,IF(A54&lt;'Données projet'!$A$62,$AF$205^A54,IF(A54='Données projet'!$A$62,'Données projet'!$B$62,AI53+AH54-AQ53)))</f>
        <v>181.31166666666647</v>
      </c>
      <c r="AJ54" s="14">
        <f>AI54*VLOOKUP('Données projet'!$B$10,Paramètres!$A$1:$I$89,3,0)*VLOOKUP('Données projet'!$B$10,Paramètres!$A$1:$I$89,5,0)</f>
        <v>183.85002999999983</v>
      </c>
      <c r="AK54" s="14">
        <f t="shared" si="35"/>
        <v>46.177689017681132</v>
      </c>
      <c r="AL54" s="22">
        <f t="shared" si="4"/>
        <v>400.63161062246098</v>
      </c>
      <c r="AM54" s="62">
        <f t="shared" si="5"/>
        <v>693.9649439557943</v>
      </c>
      <c r="AN54" s="62">
        <f ca="1">AVERAGE(OFFSET($AM$3,0,0,'Données projet'!$E$10+1,1))-AVERAGE(OFFSET($H$3,0,0,'Données projet'!$E$10+1,1))</f>
        <v>384.66322295929552</v>
      </c>
      <c r="AO54" s="62">
        <f t="shared" si="36"/>
        <v>248.53970183513286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0.79889521713540312</v>
      </c>
      <c r="AV54" s="23">
        <f>EXP(-LN(2)/25)*AV53+(1-EXP(-LN(2)/25))/(LN(2)/25)*Calculateur!AQ54*Calculateur!AS54*VLOOKUP('Données projet'!$B$10,Paramètres!$A$1:$I$89,3,0)*0.475*44/12</f>
        <v>1.218375910406905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2.0172711275423083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343.79999999999995</v>
      </c>
      <c r="BE54" s="14">
        <f>BD54*VLOOKUP('Données projet'!$B$11,Paramètres!$A$1:$I$89,3,0)*VLOOKUP('Données projet'!$B$11,Paramètres!$A$1:$I$89,5,0)</f>
        <v>205.5924</v>
      </c>
      <c r="BF54" s="14">
        <f t="shared" si="37"/>
        <v>50.971228364263673</v>
      </c>
      <c r="BG54" s="22">
        <f t="shared" si="7"/>
        <v>446.84831940109251</v>
      </c>
      <c r="BH54" s="62">
        <f t="shared" si="8"/>
        <v>740.18165273442582</v>
      </c>
      <c r="BI54" s="62">
        <f ca="1">AVERAGE(OFFSET($BH$3,0,0,'Données projet'!$E$11+1,1))-AVERAGE(OFFSET($H$3,0,0,'Données projet'!$E$11+1,1))</f>
        <v>146.25807703055079</v>
      </c>
      <c r="BJ54" s="62">
        <f t="shared" si="38"/>
        <v>177.40137940534413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6.2830712526443726</v>
      </c>
      <c r="BQ54" s="23">
        <f>EXP(-LN(2)/25)*BQ53+(1-EXP(-LN(2)/25))/(LN(2)/25)*Calculateur!BL54*Calculateur!BN54*VLOOKUP('Données projet'!$B$11,Paramètres!$A$1:$I$89,3,0)*0.475*44/12</f>
        <v>5.450121234117705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11.733192486762078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14.816666666666668</v>
      </c>
      <c r="BY54" s="13">
        <f>IF('Données projet'!$A$114&gt;35,BY53+BX54-CG53,IF(A54&lt;'Données projet'!$A$114,$BV$205^A54,IF(A54='Données projet'!$A$114,'Données projet'!$B$114,BY53+BX54-CG53)))</f>
        <v>462.84333333333359</v>
      </c>
      <c r="BZ54" s="14">
        <f>BY54*VLOOKUP('Données projet'!$B$12,Paramètres!$A$1:$I$89,3,0)*VLOOKUP('Données projet'!$B$12,Paramètres!$A$1:$I$89,5,0)</f>
        <v>216.61068000000014</v>
      </c>
      <c r="CA54" s="14">
        <f t="shared" si="39"/>
        <v>53.377569443023312</v>
      </c>
      <c r="CB54" s="22">
        <f t="shared" si="10"/>
        <v>470.22953444659919</v>
      </c>
      <c r="CC54" s="62">
        <f t="shared" si="11"/>
        <v>763.5628677799325</v>
      </c>
      <c r="CD54" s="62">
        <f ca="1">AVERAGE(OFFSET($CC$3,0,0,'Données projet'!$E$12+1,1))-AVERAGE(OFFSET($H$3,0,0,'Données projet'!$E$12+1,1))</f>
        <v>287.12723448949828</v>
      </c>
      <c r="CE54" s="62">
        <f t="shared" si="40"/>
        <v>170.5203352323382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1.1057299844473152</v>
      </c>
      <c r="CL54" s="23">
        <f>EXP(-LN(2)/25)*CL53+(1-EXP(-LN(2)/25))/(LN(2)/25)*Calculateur!CG54*Calculateur!CI54*VLOOKUP('Données projet'!$B$12,Paramètres!$A$1:$I$89,3,0)*0.475*44/12</f>
        <v>11.646953106799078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12.752683091246393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8.0991666666666671</v>
      </c>
      <c r="CT54" s="13">
        <f>IF('Données projet'!$A$140&gt;35,CT53+CS54-DB53,IF(A54&lt;'Données projet'!$A$140,$CQ$205^A54,IF(A54='Données projet'!$A$140,'Données projet'!$B$140,CT53+CS54-DB53)))</f>
        <v>330.03833333333364</v>
      </c>
      <c r="CU54" s="18">
        <f>CT54*VLOOKUP('Données projet'!$B$13,Paramètres!$A$1:$I$89,3,0)*VLOOKUP('Données projet'!$B$13,Paramètres!$A$1:$I$89,5,0)</f>
        <v>319.21307600000029</v>
      </c>
      <c r="CV54" s="14">
        <f t="shared" si="41"/>
        <v>75.189595365188666</v>
      </c>
      <c r="CW54" s="22">
        <f t="shared" si="13"/>
        <v>686.91798596103729</v>
      </c>
      <c r="CX54" s="62">
        <f t="shared" si="14"/>
        <v>980.25131929437066</v>
      </c>
      <c r="CY54" s="62">
        <f ca="1">AVERAGE(OFFSET($CX$3,0,0,'Données projet'!$E$13+1,1))-AVERAGE(OFFSET($H$3,0,0,'Données projet'!$E$13+1,1))</f>
        <v>467.37715054082025</v>
      </c>
      <c r="CZ54" s="62">
        <f t="shared" si="42"/>
        <v>443.35096563136415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0.9245562473816783</v>
      </c>
      <c r="DG54" s="23">
        <f>EXP(-LN(2)/25)*DG53+(1-EXP(-LN(2)/25))/(LN(2)/25)*Calculateur!DB54*Calculateur!DD54*VLOOKUP('Données projet'!$B$13,Paramètres!$A$1:$I$89,3,0)*0.475*44/12</f>
        <v>1.3596607252808011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2.2842169726624793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8.0991666666666671</v>
      </c>
      <c r="DO54" s="13">
        <f>IF('Données projet'!$A$166&gt;35,DO53+DN54-DW53,IF(A54&lt;'Données projet'!$A$166,$DL$205^A54,IF(A54='Données projet'!$A$166,'Données projet'!$B$166,DO53+DN54-DW53)))</f>
        <v>330.03833333333364</v>
      </c>
      <c r="DP54" s="18">
        <f>DO54*VLOOKUP('Données projet'!$B$14,Paramètres!$A$1:$I$89,3,0)*VLOOKUP('Données projet'!$B$14,Paramètres!$A$1:$I$89,5,0)</f>
        <v>355.25326200000035</v>
      </c>
      <c r="DQ54" s="14">
        <f t="shared" si="43"/>
        <v>82.643272766040681</v>
      </c>
      <c r="DR54" s="22">
        <f t="shared" si="16"/>
        <v>762.66979805085475</v>
      </c>
      <c r="DS54" s="62">
        <f t="shared" si="17"/>
        <v>1056.003131384188</v>
      </c>
      <c r="DT54" s="62">
        <f ca="1">AVERAGE(OFFSET($DS$3,0,0,'Données projet'!$E$14+1,1))-AVERAGE(OFFSET($H$3,0,0,'Données projet'!$E$14+1,1))</f>
        <v>524.51242549438939</v>
      </c>
      <c r="DU54" s="62">
        <f t="shared" si="44"/>
        <v>494.88778446576327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1.0289416301505774</v>
      </c>
      <c r="EB54" s="23">
        <f>EXP(-LN(2)/25)*EB53+(1-EXP(-LN(2)/25))/(LN(2)/25)*Calculateur!DW54*Calculateur!DY54*VLOOKUP('Données projet'!$B$14,Paramètres!$A$1:$I$89,3,0)*0.475*44/12</f>
        <v>1.5131708071673426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2.54211243731792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360.95127911947662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5.4841666666666642</v>
      </c>
      <c r="N55" s="14">
        <f>IF('Données projet'!$A$36&gt;35,N54+M55-V54,IF(A55&lt;'Données projet'!$A$36,$K$205^A55,IF(A55='Données projet'!$A$36,'Données projet'!$B$36,N54+M55-V54)))</f>
        <v>188.84249999999986</v>
      </c>
      <c r="O55" s="14">
        <f>N55*VLOOKUP('Données projet'!$B$9,Paramètres!$A$1:$I$89,3,0)*VLOOKUP('Données projet'!$B$9,Paramètres!$A$1:$I$89,5,0)</f>
        <v>170.86469399999987</v>
      </c>
      <c r="P55" s="14">
        <f t="shared" si="33"/>
        <v>43.28362905486167</v>
      </c>
      <c r="Q55" s="22">
        <f t="shared" si="53"/>
        <v>372.9749959872172</v>
      </c>
      <c r="R55" s="62">
        <f t="shared" si="0"/>
        <v>666.30832932055046</v>
      </c>
      <c r="S55" s="62">
        <f ca="1">AVERAGE(OFFSET($R$3,0,0,'Données projet'!$E$9+1,1))-AVERAGE(OFFSET($H$3,0,0,'Données projet'!$E$9+1,1))</f>
        <v>299.17641394512162</v>
      </c>
      <c r="T55" s="62">
        <f t="shared" si="34"/>
        <v>180.73046320039873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0.93184212131097521</v>
      </c>
      <c r="AA55" s="23">
        <f>EXP(-LN(2)/25)*AA54+(1-EXP(-LN(2)/25))/(LN(2)/25)*Calculateur!V55*Calculateur!X55*VLOOKUP('Données projet'!$B$9,Paramètres!$A$1:$I$89,3,0)*0.475*44/12</f>
        <v>1.2085000916005793</v>
      </c>
      <c r="AB55" s="23">
        <f>EXP(-LN(2)/2)*AB54+(1-EXP(-LN(2)/2))/(LN(2)/2)*V55*Y55*VLOOKUP('Données projet'!$B$9,Paramètres!$A$1:$I$89,3,0)*0.475*44/12</f>
        <v>0</v>
      </c>
      <c r="AC55" s="24">
        <f t="shared" si="3"/>
        <v>2.1403422129115546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4.4508333333333328</v>
      </c>
      <c r="AI55" s="14">
        <f>IF('Données projet'!$A$62&gt;35,AI54+AH55-AQ54,IF(A55&lt;'Données projet'!$A$62,$AF$205^A55,IF(A55='Données projet'!$A$62,'Données projet'!$B$62,AI54+AH55-AQ54)))</f>
        <v>185.76249999999979</v>
      </c>
      <c r="AJ55" s="14">
        <f>AI55*VLOOKUP('Données projet'!$B$10,Paramètres!$A$1:$I$89,3,0)*VLOOKUP('Données projet'!$B$10,Paramètres!$A$1:$I$89,5,0)</f>
        <v>188.36317499999979</v>
      </c>
      <c r="AK55" s="14">
        <f t="shared" si="35"/>
        <v>47.177892058667162</v>
      </c>
      <c r="AL55" s="22">
        <f t="shared" si="4"/>
        <v>410.23402512717826</v>
      </c>
      <c r="AM55" s="62">
        <f t="shared" si="5"/>
        <v>703.56735846051151</v>
      </c>
      <c r="AN55" s="62">
        <f ca="1">AVERAGE(OFFSET($AM$3,0,0,'Données projet'!$E$10+1,1))-AVERAGE(OFFSET($H$3,0,0,'Données projet'!$E$10+1,1))</f>
        <v>384.66322295929552</v>
      </c>
      <c r="AO55" s="62">
        <f t="shared" si="36"/>
        <v>248.53970183513286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0.78322936920534558</v>
      </c>
      <c r="AV55" s="23">
        <f>EXP(-LN(2)/25)*AV54+(1-EXP(-LN(2)/25))/(LN(2)/25)*Calculateur!AQ55*Calculateur!AS55*VLOOKUP('Données projet'!$B$10,Paramètres!$A$1:$I$89,3,0)*0.475*44/12</f>
        <v>1.1850593570652237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1.9682887262705693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343.79999999999995</v>
      </c>
      <c r="BE55" s="14">
        <f>BD55*VLOOKUP('Données projet'!$B$11,Paramètres!$A$1:$I$89,3,0)*VLOOKUP('Données projet'!$B$11,Paramètres!$A$1:$I$89,5,0)</f>
        <v>205.5924</v>
      </c>
      <c r="BF55" s="14">
        <f t="shared" si="37"/>
        <v>50.971228364263673</v>
      </c>
      <c r="BG55" s="22">
        <f t="shared" si="7"/>
        <v>446.84831940109251</v>
      </c>
      <c r="BH55" s="62">
        <f t="shared" si="8"/>
        <v>740.18165273442582</v>
      </c>
      <c r="BI55" s="62">
        <f ca="1">AVERAGE(OFFSET($BH$3,0,0,'Données projet'!$E$11+1,1))-AVERAGE(OFFSET($H$3,0,0,'Données projet'!$E$11+1,1))</f>
        <v>146.25807703055079</v>
      </c>
      <c r="BJ55" s="62">
        <f t="shared" si="38"/>
        <v>177.40137940534413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6.1598640576750725</v>
      </c>
      <c r="BQ55" s="23">
        <f>EXP(-LN(2)/25)*BQ54+(1-EXP(-LN(2)/25))/(LN(2)/25)*Calculateur!BL55*Calculateur!BN55*VLOOKUP('Données projet'!$B$11,Paramètres!$A$1:$I$89,3,0)*0.475*44/12</f>
        <v>5.3010873823613371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11.460951440036411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14.816666666666668</v>
      </c>
      <c r="BY55" s="13">
        <f>IF('Données projet'!$A$114&gt;35,BY54+BX55-CG54,IF(A55&lt;'Données projet'!$A$114,$BV$205^A55,IF(A55='Données projet'!$A$114,'Données projet'!$B$114,BY54+BX55-CG54)))</f>
        <v>477.66000000000025</v>
      </c>
      <c r="BZ55" s="14">
        <f>BY55*VLOOKUP('Données projet'!$B$12,Paramètres!$A$1:$I$89,3,0)*VLOOKUP('Données projet'!$B$12,Paramètres!$A$1:$I$89,5,0)</f>
        <v>223.54488000000009</v>
      </c>
      <c r="CA55" s="14">
        <f t="shared" si="39"/>
        <v>54.884629644428543</v>
      </c>
      <c r="CB55" s="22">
        <f t="shared" si="10"/>
        <v>484.93139596404654</v>
      </c>
      <c r="CC55" s="62">
        <f t="shared" si="11"/>
        <v>778.26472929737986</v>
      </c>
      <c r="CD55" s="62">
        <f ca="1">AVERAGE(OFFSET($CC$3,0,0,'Données projet'!$E$12+1,1))-AVERAGE(OFFSET($H$3,0,0,'Données projet'!$E$12+1,1))</f>
        <v>287.12723448949828</v>
      </c>
      <c r="CE55" s="62">
        <f t="shared" si="40"/>
        <v>170.5203352323382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1.0840472938809995</v>
      </c>
      <c r="CL55" s="23">
        <f>EXP(-LN(2)/25)*CL54+(1-EXP(-LN(2)/25))/(LN(2)/25)*Calculateur!CG55*Calculateur!CI55*VLOOKUP('Données projet'!$B$12,Paramètres!$A$1:$I$89,3,0)*0.475*44/12</f>
        <v>11.328466561607012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12.412513855488012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8.0991666666666671</v>
      </c>
      <c r="CT55" s="13">
        <f>IF('Données projet'!$A$140&gt;35,CT54+CS55-DB54,IF(A55&lt;'Données projet'!$A$140,$CQ$205^A55,IF(A55='Données projet'!$A$140,'Données projet'!$B$140,CT54+CS55-DB54)))</f>
        <v>338.13750000000033</v>
      </c>
      <c r="CU55" s="18">
        <f>CT55*VLOOKUP('Données projet'!$B$13,Paramètres!$A$1:$I$89,3,0)*VLOOKUP('Données projet'!$B$13,Paramètres!$A$1:$I$89,5,0)</f>
        <v>327.04659000000032</v>
      </c>
      <c r="CV55" s="14">
        <f t="shared" si="41"/>
        <v>76.817669919839489</v>
      </c>
      <c r="CW55" s="22">
        <f t="shared" si="13"/>
        <v>703.39691936038764</v>
      </c>
      <c r="CX55" s="62">
        <f t="shared" si="14"/>
        <v>996.73025269372101</v>
      </c>
      <c r="CY55" s="62">
        <f ca="1">AVERAGE(OFFSET($CX$3,0,0,'Données projet'!$E$13+1,1))-AVERAGE(OFFSET($H$3,0,0,'Données projet'!$E$13+1,1))</f>
        <v>467.37715054082025</v>
      </c>
      <c r="CZ55" s="62">
        <f t="shared" si="42"/>
        <v>443.35096563136415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0.90642626329415166</v>
      </c>
      <c r="DG55" s="23">
        <f>EXP(-LN(2)/25)*DG54+(1-EXP(-LN(2)/25))/(LN(2)/25)*Calculateur!DB55*Calculateur!DD55*VLOOKUP('Données projet'!$B$13,Paramètres!$A$1:$I$89,3,0)*0.475*44/12</f>
        <v>1.3224807312465476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2.2289069945406994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8.0991666666666671</v>
      </c>
      <c r="DO55" s="13">
        <f>IF('Données projet'!$A$166&gt;35,DO54+DN55-DW54,IF(A55&lt;'Données projet'!$A$166,$DL$205^A55,IF(A55='Données projet'!$A$166,'Données projet'!$B$166,DO54+DN55-DW54)))</f>
        <v>338.13750000000033</v>
      </c>
      <c r="DP55" s="18">
        <f>DO55*VLOOKUP('Données projet'!$B$14,Paramètres!$A$1:$I$89,3,0)*VLOOKUP('Données projet'!$B$14,Paramètres!$A$1:$I$89,5,0)</f>
        <v>363.97120500000034</v>
      </c>
      <c r="DQ55" s="14">
        <f t="shared" si="43"/>
        <v>84.432741227068618</v>
      </c>
      <c r="DR55" s="22">
        <f t="shared" si="16"/>
        <v>780.97020634547835</v>
      </c>
      <c r="DS55" s="62">
        <f t="shared" si="17"/>
        <v>1074.3035396788116</v>
      </c>
      <c r="DT55" s="62">
        <f ca="1">AVERAGE(OFFSET($DS$3,0,0,'Données projet'!$E$14+1,1))-AVERAGE(OFFSET($H$3,0,0,'Données projet'!$E$14+1,1))</f>
        <v>524.51242549438939</v>
      </c>
      <c r="DU55" s="62">
        <f t="shared" si="44"/>
        <v>494.88778446576327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1.0087647123757493</v>
      </c>
      <c r="EB55" s="23">
        <f>EXP(-LN(2)/25)*EB54+(1-EXP(-LN(2)/25))/(LN(2)/25)*Calculateur!DW55*Calculateur!DY55*VLOOKUP('Données projet'!$B$14,Paramètres!$A$1:$I$89,3,0)*0.475*44/12</f>
        <v>1.4717930718711574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2.4805577842469066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362.90313432124293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5.4841666666666642</v>
      </c>
      <c r="N56" s="14">
        <f>IF('Données projet'!$A$36&gt;35,N55+M56-V55,IF(A56&lt;'Données projet'!$A$36,$K$205^A56,IF(A56='Données projet'!$A$36,'Données projet'!$B$36,N55+M56-V55)))</f>
        <v>194.32666666666651</v>
      </c>
      <c r="O56" s="14">
        <f>N56*VLOOKUP('Données projet'!$B$9,Paramètres!$A$1:$I$89,3,0)*VLOOKUP('Données projet'!$B$9,Paramètres!$A$1:$I$89,5,0)</f>
        <v>175.82676799999984</v>
      </c>
      <c r="P56" s="14">
        <f t="shared" si="33"/>
        <v>44.39245516756268</v>
      </c>
      <c r="Q56" s="22">
        <f t="shared" si="53"/>
        <v>383.54848035017136</v>
      </c>
      <c r="R56" s="62">
        <f t="shared" si="0"/>
        <v>676.88181368350467</v>
      </c>
      <c r="S56" s="62">
        <f ca="1">AVERAGE(OFFSET($R$3,0,0,'Données projet'!$E$9+1,1))-AVERAGE(OFFSET($H$3,0,0,'Données projet'!$E$9+1,1))</f>
        <v>299.17641394512162</v>
      </c>
      <c r="T56" s="62">
        <f t="shared" si="34"/>
        <v>180.73046320039873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0.91356926567963936</v>
      </c>
      <c r="AA56" s="23">
        <f>EXP(-LN(2)/25)*AA55+(1-EXP(-LN(2)/25))/(LN(2)/25)*Calculateur!V56*Calculateur!X56*VLOOKUP('Données projet'!$B$9,Paramètres!$A$1:$I$89,3,0)*0.475*44/12</f>
        <v>1.1754535930435037</v>
      </c>
      <c r="AB56" s="23">
        <f>EXP(-LN(2)/2)*AB55+(1-EXP(-LN(2)/2))/(LN(2)/2)*V56*Y56*VLOOKUP('Données projet'!$B$9,Paramètres!$A$1:$I$89,3,0)*0.475*44/12</f>
        <v>0</v>
      </c>
      <c r="AC56" s="24">
        <f t="shared" si="3"/>
        <v>2.0890228587231432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4.4508333333333328</v>
      </c>
      <c r="AI56" s="14">
        <f>IF('Données projet'!$A$62&gt;35,AI55+AH56-AQ55,IF(A56&lt;'Données projet'!$A$62,$AF$205^A56,IF(A56='Données projet'!$A$62,'Données projet'!$B$62,AI55+AH56-AQ55)))</f>
        <v>190.21333333333311</v>
      </c>
      <c r="AJ56" s="14">
        <f>AI56*VLOOKUP('Données projet'!$B$10,Paramètres!$A$1:$I$89,3,0)*VLOOKUP('Données projet'!$B$10,Paramètres!$A$1:$I$89,5,0)</f>
        <v>192.87631999999979</v>
      </c>
      <c r="AK56" s="14">
        <f t="shared" si="35"/>
        <v>48.175309216558276</v>
      </c>
      <c r="AL56" s="22">
        <f t="shared" si="4"/>
        <v>419.83158755217192</v>
      </c>
      <c r="AM56" s="62">
        <f t="shared" si="5"/>
        <v>713.16492088550524</v>
      </c>
      <c r="AN56" s="62">
        <f ca="1">AVERAGE(OFFSET($AM$3,0,0,'Données projet'!$E$10+1,1))-AVERAGE(OFFSET($H$3,0,0,'Données projet'!$E$10+1,1))</f>
        <v>384.66322295929552</v>
      </c>
      <c r="AO56" s="62">
        <f t="shared" si="36"/>
        <v>248.53970183513286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0.76787071899797277</v>
      </c>
      <c r="AV56" s="23">
        <f>EXP(-LN(2)/25)*AV55+(1-EXP(-LN(2)/25))/(LN(2)/25)*Calculateur!AQ56*Calculateur!AS56*VLOOKUP('Données projet'!$B$10,Paramètres!$A$1:$I$89,3,0)*0.475*44/12</f>
        <v>1.152653846626712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1.9205245656246848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343.79999999999995</v>
      </c>
      <c r="BE56" s="14">
        <f>BD56*VLOOKUP('Données projet'!$B$11,Paramètres!$A$1:$I$89,3,0)*VLOOKUP('Données projet'!$B$11,Paramètres!$A$1:$I$89,5,0)</f>
        <v>205.5924</v>
      </c>
      <c r="BF56" s="14">
        <f t="shared" si="37"/>
        <v>50.971228364263673</v>
      </c>
      <c r="BG56" s="22">
        <f t="shared" si="7"/>
        <v>446.84831940109251</v>
      </c>
      <c r="BH56" s="62">
        <f t="shared" si="8"/>
        <v>740.18165273442582</v>
      </c>
      <c r="BI56" s="62">
        <f ca="1">AVERAGE(OFFSET($BH$3,0,0,'Données projet'!$E$11+1,1))-AVERAGE(OFFSET($H$3,0,0,'Données projet'!$E$11+1,1))</f>
        <v>146.25807703055079</v>
      </c>
      <c r="BJ56" s="62">
        <f t="shared" si="38"/>
        <v>177.40137940534413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6.0390728806501519</v>
      </c>
      <c r="BQ56" s="23">
        <f>EXP(-LN(2)/25)*BQ55+(1-EXP(-LN(2)/25))/(LN(2)/25)*Calculateur!BL56*Calculateur!BN56*VLOOKUP('Données projet'!$B$11,Paramètres!$A$1:$I$89,3,0)*0.475*44/12</f>
        <v>5.1561288691185965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11.195201749768749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14.816666666666668</v>
      </c>
      <c r="BY56" s="13">
        <f>IF('Données projet'!$A$114&gt;35,BY55+BX56-CG55,IF(A56&lt;'Données projet'!$A$114,$BV$205^A56,IF(A56='Données projet'!$A$114,'Données projet'!$B$114,BY55+BX56-CG55)))</f>
        <v>492.47666666666692</v>
      </c>
      <c r="BZ56" s="14">
        <f>BY56*VLOOKUP('Données projet'!$B$12,Paramètres!$A$1:$I$89,3,0)*VLOOKUP('Données projet'!$B$12,Paramètres!$A$1:$I$89,5,0)</f>
        <v>230.4790800000001</v>
      </c>
      <c r="CA56" s="14">
        <f t="shared" si="39"/>
        <v>56.386257279947401</v>
      </c>
      <c r="CB56" s="22">
        <f t="shared" si="10"/>
        <v>499.62379576257518</v>
      </c>
      <c r="CC56" s="62">
        <f t="shared" si="11"/>
        <v>792.9571290959085</v>
      </c>
      <c r="CD56" s="62">
        <f ca="1">AVERAGE(OFFSET($CC$3,0,0,'Données projet'!$E$12+1,1))-AVERAGE(OFFSET($H$3,0,0,'Données projet'!$E$12+1,1))</f>
        <v>287.12723448949828</v>
      </c>
      <c r="CE56" s="62">
        <f t="shared" si="40"/>
        <v>170.5203352323382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1.062789787651554</v>
      </c>
      <c r="CL56" s="23">
        <f>EXP(-LN(2)/25)*CL55+(1-EXP(-LN(2)/25))/(LN(2)/25)*Calculateur!CG56*Calculateur!CI56*VLOOKUP('Données projet'!$B$12,Paramètres!$A$1:$I$89,3,0)*0.475*44/12</f>
        <v>11.018689047741704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12.081478835393257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8.0991666666666671</v>
      </c>
      <c r="CT56" s="13">
        <f>IF('Données projet'!$A$140&gt;35,CT55+CS56-DB55,IF(A56&lt;'Données projet'!$A$140,$CQ$205^A56,IF(A56='Données projet'!$A$140,'Données projet'!$B$140,CT55+CS56-DB55)))</f>
        <v>346.23666666666702</v>
      </c>
      <c r="CU56" s="18">
        <f>CT56*VLOOKUP('Données projet'!$B$13,Paramètres!$A$1:$I$89,3,0)*VLOOKUP('Données projet'!$B$13,Paramètres!$A$1:$I$89,5,0)</f>
        <v>334.88010400000036</v>
      </c>
      <c r="CV56" s="14">
        <f t="shared" si="41"/>
        <v>78.441211190960729</v>
      </c>
      <c r="CW56" s="22">
        <f t="shared" si="13"/>
        <v>719.86795729092375</v>
      </c>
      <c r="CX56" s="62">
        <f t="shared" si="14"/>
        <v>1013.2012906242571</v>
      </c>
      <c r="CY56" s="62">
        <f ca="1">AVERAGE(OFFSET($CX$3,0,0,'Données projet'!$E$13+1,1))-AVERAGE(OFFSET($H$3,0,0,'Données projet'!$E$13+1,1))</f>
        <v>467.37715054082025</v>
      </c>
      <c r="CZ56" s="62">
        <f t="shared" si="42"/>
        <v>443.35096563136415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0.88865179713638298</v>
      </c>
      <c r="DG56" s="23">
        <f>EXP(-LN(2)/25)*DG55+(1-EXP(-LN(2)/25))/(LN(2)/25)*Calculateur!DB56*Calculateur!DD56*VLOOKUP('Données projet'!$B$13,Paramètres!$A$1:$I$89,3,0)*0.475*44/12</f>
        <v>1.2863174261043717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2.1749692232407547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8.0991666666666671</v>
      </c>
      <c r="DO56" s="13">
        <f>IF('Données projet'!$A$166&gt;35,DO55+DN56-DW55,IF(A56&lt;'Données projet'!$A$166,$DL$205^A56,IF(A56='Données projet'!$A$166,'Données projet'!$B$166,DO55+DN56-DW55)))</f>
        <v>346.23666666666702</v>
      </c>
      <c r="DP56" s="18">
        <f>DO56*VLOOKUP('Données projet'!$B$14,Paramètres!$A$1:$I$89,3,0)*VLOOKUP('Données projet'!$B$14,Paramètres!$A$1:$I$89,5,0)</f>
        <v>372.68914800000039</v>
      </c>
      <c r="DQ56" s="14">
        <f t="shared" si="43"/>
        <v>86.217227012163207</v>
      </c>
      <c r="DR56" s="22">
        <f t="shared" si="16"/>
        <v>799.26193647951823</v>
      </c>
      <c r="DS56" s="62">
        <f t="shared" si="17"/>
        <v>1092.5952698128515</v>
      </c>
      <c r="DT56" s="62">
        <f ca="1">AVERAGE(OFFSET($DS$3,0,0,'Données projet'!$E$14+1,1))-AVERAGE(OFFSET($H$3,0,0,'Données projet'!$E$14+1,1))</f>
        <v>524.51242549438939</v>
      </c>
      <c r="DU56" s="62">
        <f t="shared" si="44"/>
        <v>494.88778446576327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0.98898345165178092</v>
      </c>
      <c r="EB56" s="23">
        <f>EXP(-LN(2)/25)*EB55+(1-EXP(-LN(2)/25))/(LN(2)/25)*Calculateur!DW56*Calculateur!DY56*VLOOKUP('Données projet'!$B$14,Paramètres!$A$1:$I$89,3,0)*0.475*44/12</f>
        <v>1.4315468129226068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2.4205302645743876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364.85410499706774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5.4841666666666642</v>
      </c>
      <c r="N57" s="14">
        <f>IF('Données projet'!$A$36&gt;35,N56+M57-V56,IF(A57&lt;'Données projet'!$A$36,$K$205^A57,IF(A57='Données projet'!$A$36,'Données projet'!$B$36,N56+M57-V56)))</f>
        <v>199.81083333333316</v>
      </c>
      <c r="O57" s="14">
        <f>N57*VLOOKUP('Données projet'!$B$9,Paramètres!$A$1:$I$89,3,0)*VLOOKUP('Données projet'!$B$9,Paramètres!$A$1:$I$89,5,0)</f>
        <v>180.78884199999985</v>
      </c>
      <c r="P57" s="14">
        <f t="shared" si="33"/>
        <v>45.497644287290306</v>
      </c>
      <c r="Q57" s="22">
        <f t="shared" si="53"/>
        <v>394.11563028369704</v>
      </c>
      <c r="R57" s="62">
        <f t="shared" si="0"/>
        <v>687.44896361703036</v>
      </c>
      <c r="S57" s="62">
        <f ca="1">AVERAGE(OFFSET($R$3,0,0,'Données projet'!$E$9+1,1))-AVERAGE(OFFSET($H$3,0,0,'Données projet'!$E$9+1,1))</f>
        <v>299.17641394512162</v>
      </c>
      <c r="T57" s="62">
        <f t="shared" si="34"/>
        <v>180.73046320039873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0.89565472960189263</v>
      </c>
      <c r="AA57" s="23">
        <f>EXP(-LN(2)/25)*AA56+(1-EXP(-LN(2)/25))/(LN(2)/25)*Calculateur!V57*Calculateur!X57*VLOOKUP('Données projet'!$B$9,Paramètres!$A$1:$I$89,3,0)*0.475*44/12</f>
        <v>1.1433107527273112</v>
      </c>
      <c r="AB57" s="23">
        <f>EXP(-LN(2)/2)*AB56+(1-EXP(-LN(2)/2))/(LN(2)/2)*V57*Y57*VLOOKUP('Données projet'!$B$9,Paramètres!$A$1:$I$89,3,0)*0.475*44/12</f>
        <v>0</v>
      </c>
      <c r="AC57" s="24">
        <f t="shared" si="3"/>
        <v>2.0389654823292038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4.4508333333333328</v>
      </c>
      <c r="AI57" s="14">
        <f>IF('Données projet'!$A$62&gt;35,AI56+AH57-AQ56,IF(A57&lt;'Données projet'!$A$62,$AF$205^A57,IF(A57='Données projet'!$A$62,'Données projet'!$B$62,AI56+AH57-AQ56)))</f>
        <v>194.66416666666643</v>
      </c>
      <c r="AJ57" s="14">
        <f>AI57*VLOOKUP('Données projet'!$B$10,Paramètres!$A$1:$I$89,3,0)*VLOOKUP('Données projet'!$B$10,Paramètres!$A$1:$I$89,5,0)</f>
        <v>197.38946499999977</v>
      </c>
      <c r="AK57" s="14">
        <f t="shared" si="35"/>
        <v>49.17001318089283</v>
      </c>
      <c r="AL57" s="22">
        <f t="shared" si="4"/>
        <v>429.42442449838791</v>
      </c>
      <c r="AM57" s="62">
        <f t="shared" si="5"/>
        <v>722.75775783172116</v>
      </c>
      <c r="AN57" s="62">
        <f ca="1">AVERAGE(OFFSET($AM$3,0,0,'Données projet'!$E$10+1,1))-AVERAGE(OFFSET($H$3,0,0,'Données projet'!$E$10+1,1))</f>
        <v>384.66322295929552</v>
      </c>
      <c r="AO57" s="62">
        <f t="shared" si="36"/>
        <v>248.53970183513286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0.75281324255331494</v>
      </c>
      <c r="AV57" s="23">
        <f>EXP(-LN(2)/25)*AV56+(1-EXP(-LN(2)/25))/(LN(2)/25)*Calculateur!AQ57*Calculateur!AS57*VLOOKUP('Données projet'!$B$10,Paramètres!$A$1:$I$89,3,0)*0.475*44/12</f>
        <v>1.1211344665752732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1.8739477091285881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343.79999999999995</v>
      </c>
      <c r="BE57" s="14">
        <f>BD57*VLOOKUP('Données projet'!$B$11,Paramètres!$A$1:$I$89,3,0)*VLOOKUP('Données projet'!$B$11,Paramètres!$A$1:$I$89,5,0)</f>
        <v>205.5924</v>
      </c>
      <c r="BF57" s="14">
        <f t="shared" si="37"/>
        <v>50.971228364263673</v>
      </c>
      <c r="BG57" s="22">
        <f t="shared" si="7"/>
        <v>446.84831940109251</v>
      </c>
      <c r="BH57" s="62">
        <f t="shared" si="8"/>
        <v>740.18165273442582</v>
      </c>
      <c r="BI57" s="62">
        <f ca="1">AVERAGE(OFFSET($BH$3,0,0,'Données projet'!$E$11+1,1))-AVERAGE(OFFSET($H$3,0,0,'Données projet'!$E$11+1,1))</f>
        <v>146.25807703055079</v>
      </c>
      <c r="BJ57" s="62">
        <f t="shared" si="38"/>
        <v>177.40137940534413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5.9206503449313468</v>
      </c>
      <c r="BQ57" s="23">
        <f>EXP(-LN(2)/25)*BQ56+(1-EXP(-LN(2)/25))/(LN(2)/25)*Calculateur!BL57*Calculateur!BN57*VLOOKUP('Données projet'!$B$11,Paramètres!$A$1:$I$89,3,0)*0.475*44/12</f>
        <v>5.0151342540435158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10.935784598974863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14.816666666666668</v>
      </c>
      <c r="BY57" s="13">
        <f>IF('Données projet'!$A$114&gt;35,BY56+BX57-CG56,IF(A57&lt;'Données projet'!$A$114,$BV$205^A57,IF(A57='Données projet'!$A$114,'Données projet'!$B$114,BY56+BX57-CG56)))</f>
        <v>507.29333333333358</v>
      </c>
      <c r="BZ57" s="14">
        <f>BY57*VLOOKUP('Données projet'!$B$12,Paramètres!$A$1:$I$89,3,0)*VLOOKUP('Données projet'!$B$12,Paramètres!$A$1:$I$89,5,0)</f>
        <v>237.4132800000001</v>
      </c>
      <c r="CA57" s="14">
        <f t="shared" si="39"/>
        <v>57.88263455543963</v>
      </c>
      <c r="CB57" s="22">
        <f t="shared" si="10"/>
        <v>514.3070511840574</v>
      </c>
      <c r="CC57" s="62">
        <f t="shared" si="11"/>
        <v>807.64038451739066</v>
      </c>
      <c r="CD57" s="62">
        <f ca="1">AVERAGE(OFFSET($CC$3,0,0,'Données projet'!$E$12+1,1))-AVERAGE(OFFSET($H$3,0,0,'Données projet'!$E$12+1,1))</f>
        <v>287.12723448949828</v>
      </c>
      <c r="CE57" s="62">
        <f t="shared" si="40"/>
        <v>170.5203352323382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1.0419491281534692</v>
      </c>
      <c r="CL57" s="23">
        <f>EXP(-LN(2)/25)*CL56+(1-EXP(-LN(2)/25))/(LN(2)/25)*Calculateur!CG57*Calculateur!CI57*VLOOKUP('Données projet'!$B$12,Paramètres!$A$1:$I$89,3,0)*0.475*44/12</f>
        <v>10.717382416283534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11.759331544437003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8.0991666666666671</v>
      </c>
      <c r="CT57" s="13">
        <f>IF('Données projet'!$A$140&gt;35,CT56+CS57-DB56,IF(A57&lt;'Données projet'!$A$140,$CQ$205^A57,IF(A57='Données projet'!$A$140,'Données projet'!$B$140,CT56+CS57-DB56)))</f>
        <v>354.33583333333371</v>
      </c>
      <c r="CU57" s="18">
        <f>CT57*VLOOKUP('Données projet'!$B$13,Paramètres!$A$1:$I$89,3,0)*VLOOKUP('Données projet'!$B$13,Paramètres!$A$1:$I$89,5,0)</f>
        <v>342.71361800000039</v>
      </c>
      <c r="CV57" s="14">
        <f t="shared" si="41"/>
        <v>80.060337425227587</v>
      </c>
      <c r="CW57" s="22">
        <f t="shared" si="13"/>
        <v>736.33130569893865</v>
      </c>
      <c r="CX57" s="62">
        <f t="shared" si="14"/>
        <v>1029.6646390322719</v>
      </c>
      <c r="CY57" s="62">
        <f ca="1">AVERAGE(OFFSET($CX$3,0,0,'Données projet'!$E$13+1,1))-AVERAGE(OFFSET($H$3,0,0,'Données projet'!$E$13+1,1))</f>
        <v>467.37715054082025</v>
      </c>
      <c r="CZ57" s="62">
        <f t="shared" si="42"/>
        <v>443.35096563136415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0.87122587741861435</v>
      </c>
      <c r="DG57" s="23">
        <f>EXP(-LN(2)/25)*DG56+(1-EXP(-LN(2)/25))/(LN(2)/25)*Calculateur!DB57*Calculateur!DD57*VLOOKUP('Données projet'!$B$13,Paramètres!$A$1:$I$89,3,0)*0.475*44/12</f>
        <v>1.2511430084430541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2.1223688858616683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8.0991666666666671</v>
      </c>
      <c r="DO57" s="13">
        <f>IF('Données projet'!$A$166&gt;35,DO56+DN57-DW56,IF(A57&lt;'Données projet'!$A$166,$DL$205^A57,IF(A57='Données projet'!$A$166,'Données projet'!$B$166,DO56+DN57-DW56)))</f>
        <v>354.33583333333371</v>
      </c>
      <c r="DP57" s="18">
        <f>DO57*VLOOKUP('Données projet'!$B$14,Paramètres!$A$1:$I$89,3,0)*VLOOKUP('Données projet'!$B$14,Paramètres!$A$1:$I$89,5,0)</f>
        <v>381.40709100000038</v>
      </c>
      <c r="DQ57" s="14">
        <f t="shared" si="43"/>
        <v>87.996860090001576</v>
      </c>
      <c r="DR57" s="22">
        <f t="shared" si="16"/>
        <v>817.54521481508664</v>
      </c>
      <c r="DS57" s="62">
        <f t="shared" si="17"/>
        <v>1110.8785481484199</v>
      </c>
      <c r="DT57" s="62">
        <f ca="1">AVERAGE(OFFSET($DS$3,0,0,'Données projet'!$E$14+1,1))-AVERAGE(OFFSET($H$3,0,0,'Données projet'!$E$14+1,1))</f>
        <v>524.51242549438939</v>
      </c>
      <c r="DU57" s="62">
        <f t="shared" si="44"/>
        <v>494.88778446576327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0.96959008938523195</v>
      </c>
      <c r="EB57" s="23">
        <f>EXP(-LN(2)/25)*EB56+(1-EXP(-LN(2)/25))/(LN(2)/25)*Calculateur!DW57*Calculateur!DY57*VLOOKUP('Données projet'!$B$14,Paramètres!$A$1:$I$89,3,0)*0.475*44/12</f>
        <v>1.392401090041463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2.361991179426695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366.80420941611692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5.4841666666666642</v>
      </c>
      <c r="N58" s="14">
        <f>IF('Données projet'!$A$36&gt;35,N57+M58-V57,IF(A58&lt;'Données projet'!$A$36,$K$205^A58,IF(A58='Données projet'!$A$36,'Données projet'!$B$36,N57+M58-V57)))</f>
        <v>205.29499999999982</v>
      </c>
      <c r="O58" s="14">
        <f>N58*VLOOKUP('Données projet'!$B$9,Paramètres!$A$1:$I$89,3,0)*VLOOKUP('Données projet'!$B$9,Paramètres!$A$1:$I$89,5,0)</f>
        <v>185.75091599999982</v>
      </c>
      <c r="P58" s="14">
        <f t="shared" si="33"/>
        <v>46.599307707800143</v>
      </c>
      <c r="Q58" s="22">
        <f t="shared" si="53"/>
        <v>404.67663962441821</v>
      </c>
      <c r="R58" s="62">
        <f t="shared" si="0"/>
        <v>698.00997295775153</v>
      </c>
      <c r="S58" s="62">
        <f ca="1">AVERAGE(OFFSET($R$3,0,0,'Données projet'!$E$9+1,1))-AVERAGE(OFFSET($H$3,0,0,'Données projet'!$E$9+1,1))</f>
        <v>299.17641394512162</v>
      </c>
      <c r="T58" s="62">
        <f t="shared" si="34"/>
        <v>180.73046320039873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0.87809148664984238</v>
      </c>
      <c r="AA58" s="23">
        <f>EXP(-LN(2)/25)*AA57+(1-EXP(-LN(2)/25))/(LN(2)/25)*Calculateur!V58*Calculateur!X58*VLOOKUP('Données projet'!$B$9,Paramètres!$A$1:$I$89,3,0)*0.475*44/12</f>
        <v>1.1120468600698834</v>
      </c>
      <c r="AB58" s="23">
        <f>EXP(-LN(2)/2)*AB57+(1-EXP(-LN(2)/2))/(LN(2)/2)*V58*Y58*VLOOKUP('Données projet'!$B$9,Paramètres!$A$1:$I$89,3,0)*0.475*44/12</f>
        <v>0</v>
      </c>
      <c r="AC58" s="24">
        <f t="shared" si="3"/>
        <v>1.9901383467197258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4.4508333333333328</v>
      </c>
      <c r="AI58" s="14">
        <f>IF('Données projet'!$A$62&gt;35,AI57+AH58-AQ57,IF(A58&lt;'Données projet'!$A$62,$AF$205^A58,IF(A58='Données projet'!$A$62,'Données projet'!$B$62,AI57+AH58-AQ57)))</f>
        <v>199.11499999999975</v>
      </c>
      <c r="AJ58" s="14">
        <f>AI58*VLOOKUP('Données projet'!$B$10,Paramètres!$A$1:$I$89,3,0)*VLOOKUP('Données projet'!$B$10,Paramètres!$A$1:$I$89,5,0)</f>
        <v>201.90260999999975</v>
      </c>
      <c r="AK58" s="14">
        <f t="shared" si="35"/>
        <v>50.162073127538505</v>
      </c>
      <c r="AL58" s="22">
        <f t="shared" si="4"/>
        <v>439.01265644712913</v>
      </c>
      <c r="AM58" s="62">
        <f t="shared" si="5"/>
        <v>732.34598978046245</v>
      </c>
      <c r="AN58" s="62">
        <f ca="1">AVERAGE(OFFSET($AM$3,0,0,'Données projet'!$E$10+1,1))-AVERAGE(OFFSET($H$3,0,0,'Données projet'!$E$10+1,1))</f>
        <v>384.66322295929552</v>
      </c>
      <c r="AO58" s="62">
        <f t="shared" si="36"/>
        <v>248.53970183513286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0.7380510340375831</v>
      </c>
      <c r="AV58" s="23">
        <f>EXP(-LN(2)/25)*AV57+(1-EXP(-LN(2)/25))/(LN(2)/25)*Calculateur!AQ58*Calculateur!AS58*VLOOKUP('Données projet'!$B$10,Paramètres!$A$1:$I$89,3,0)*0.475*44/12</f>
        <v>1.0904769856288732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1.8285280196664564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343.79999999999995</v>
      </c>
      <c r="BE58" s="14">
        <f>BD58*VLOOKUP('Données projet'!$B$11,Paramètres!$A$1:$I$89,3,0)*VLOOKUP('Données projet'!$B$11,Paramètres!$A$1:$I$89,5,0)</f>
        <v>205.5924</v>
      </c>
      <c r="BF58" s="14">
        <f t="shared" si="37"/>
        <v>50.971228364263673</v>
      </c>
      <c r="BG58" s="22">
        <f t="shared" si="7"/>
        <v>446.84831940109251</v>
      </c>
      <c r="BH58" s="62">
        <f t="shared" si="8"/>
        <v>740.18165273442582</v>
      </c>
      <c r="BI58" s="62">
        <f ca="1">AVERAGE(OFFSET($BH$3,0,0,'Données projet'!$E$11+1,1))-AVERAGE(OFFSET($H$3,0,0,'Données projet'!$E$11+1,1))</f>
        <v>146.25807703055079</v>
      </c>
      <c r="BJ58" s="62">
        <f t="shared" si="38"/>
        <v>177.40137940534413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5.8045500029073729</v>
      </c>
      <c r="BQ58" s="23">
        <f>EXP(-LN(2)/25)*BQ57+(1-EXP(-LN(2)/25))/(LN(2)/25)*Calculateur!BL58*Calculateur!BN58*VLOOKUP('Données projet'!$B$11,Paramètres!$A$1:$I$89,3,0)*0.475*44/12</f>
        <v>4.8779951441322478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10.682545147039621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14.816666666666668</v>
      </c>
      <c r="BY58" s="13">
        <f>IF('Données projet'!$A$114&gt;35,BY57+BX58-CG57,IF(A58&lt;'Données projet'!$A$114,$BV$205^A58,IF(A58='Données projet'!$A$114,'Données projet'!$B$114,BY57+BX58-CG57)))</f>
        <v>522.11000000000024</v>
      </c>
      <c r="BZ58" s="14">
        <f>BY58*VLOOKUP('Données projet'!$B$12,Paramètres!$A$1:$I$89,3,0)*VLOOKUP('Données projet'!$B$12,Paramètres!$A$1:$I$89,5,0)</f>
        <v>244.3474800000001</v>
      </c>
      <c r="CA58" s="14">
        <f t="shared" si="39"/>
        <v>59.373932428114905</v>
      </c>
      <c r="CB58" s="22">
        <f t="shared" si="10"/>
        <v>528.981459978967</v>
      </c>
      <c r="CC58" s="62">
        <f t="shared" si="11"/>
        <v>822.31479331230025</v>
      </c>
      <c r="CD58" s="62">
        <f ca="1">AVERAGE(OFFSET($CC$3,0,0,'Données projet'!$E$12+1,1))-AVERAGE(OFFSET($H$3,0,0,'Données projet'!$E$12+1,1))</f>
        <v>287.12723448949828</v>
      </c>
      <c r="CE58" s="62">
        <f t="shared" si="40"/>
        <v>170.5203352323382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1.0215171412765949</v>
      </c>
      <c r="CL58" s="23">
        <f>EXP(-LN(2)/25)*CL57+(1-EXP(-LN(2)/25))/(LN(2)/25)*Calculateur!CG58*Calculateur!CI58*VLOOKUP('Données projet'!$B$12,Paramètres!$A$1:$I$89,3,0)*0.475*44/12</f>
        <v>10.424315030507614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11.445832171784209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8.0991666666666671</v>
      </c>
      <c r="CT58" s="13">
        <f>IF('Données projet'!$A$140&gt;35,CT57+CS58-DB57,IF(A58&lt;'Données projet'!$A$140,$CQ$205^A58,IF(A58='Données projet'!$A$140,'Données projet'!$B$140,CT57+CS58-DB57)))</f>
        <v>362.4350000000004</v>
      </c>
      <c r="CU58" s="18">
        <f>CT58*VLOOKUP('Données projet'!$B$13,Paramètres!$A$1:$I$89,3,0)*VLOOKUP('Données projet'!$B$13,Paramètres!$A$1:$I$89,5,0)</f>
        <v>350.54713200000043</v>
      </c>
      <c r="CV58" s="14">
        <f t="shared" si="41"/>
        <v>81.675161155211939</v>
      </c>
      <c r="CW58" s="22">
        <f t="shared" si="13"/>
        <v>752.78716057866143</v>
      </c>
      <c r="CX58" s="62">
        <f t="shared" si="14"/>
        <v>1046.1204939119948</v>
      </c>
      <c r="CY58" s="62">
        <f ca="1">AVERAGE(OFFSET($CX$3,0,0,'Données projet'!$E$13+1,1))-AVERAGE(OFFSET($H$3,0,0,'Données projet'!$E$13+1,1))</f>
        <v>467.37715054082025</v>
      </c>
      <c r="CZ58" s="62">
        <f t="shared" si="42"/>
        <v>443.35096563136415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0.8541416693577496</v>
      </c>
      <c r="DG58" s="23">
        <f>EXP(-LN(2)/25)*DG57+(1-EXP(-LN(2)/25))/(LN(2)/25)*Calculateur!DB58*Calculateur!DD58*VLOOKUP('Données projet'!$B$13,Paramètres!$A$1:$I$89,3,0)*0.475*44/12</f>
        <v>1.2169304370824277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2.0710721064401771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8.0991666666666671</v>
      </c>
      <c r="DO58" s="13">
        <f>IF('Données projet'!$A$166&gt;35,DO57+DN58-DW57,IF(A58&lt;'Données projet'!$A$166,$DL$205^A58,IF(A58='Données projet'!$A$166,'Données projet'!$B$166,DO57+DN58-DW57)))</f>
        <v>362.4350000000004</v>
      </c>
      <c r="DP58" s="18">
        <f>DO58*VLOOKUP('Données projet'!$B$14,Paramètres!$A$1:$I$89,3,0)*VLOOKUP('Données projet'!$B$14,Paramètres!$A$1:$I$89,5,0)</f>
        <v>390.12503400000043</v>
      </c>
      <c r="DQ58" s="14">
        <f t="shared" si="43"/>
        <v>89.771764148708073</v>
      </c>
      <c r="DR58" s="22">
        <f t="shared" si="16"/>
        <v>835.82025677566719</v>
      </c>
      <c r="DS58" s="62">
        <f t="shared" si="17"/>
        <v>1129.1535901090006</v>
      </c>
      <c r="DT58" s="62">
        <f ca="1">AVERAGE(OFFSET($DS$3,0,0,'Données projet'!$E$14+1,1))-AVERAGE(OFFSET($H$3,0,0,'Données projet'!$E$14+1,1))</f>
        <v>524.51242549438939</v>
      </c>
      <c r="DU58" s="62">
        <f t="shared" si="44"/>
        <v>494.88778446576327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0.95057701912394699</v>
      </c>
      <c r="EB58" s="23">
        <f>EXP(-LN(2)/25)*EB57+(1-EXP(-LN(2)/25))/(LN(2)/25)*Calculateur!DW58*Calculateur!DY58*VLOOKUP('Données projet'!$B$14,Paramètres!$A$1:$I$89,3,0)*0.475*44/12</f>
        <v>1.3543258090110881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2.304902828135035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368.75346514518651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5.4841666666666642</v>
      </c>
      <c r="N59" s="14">
        <f>IF('Données projet'!$A$36&gt;35,N58+M59-V58,IF(A59&lt;'Données projet'!$A$36,$K$205^A59,IF(A59='Données projet'!$A$36,'Données projet'!$B$36,N58+M59-V58)))</f>
        <v>210.77916666666647</v>
      </c>
      <c r="O59" s="14">
        <f>N59*VLOOKUP('Données projet'!$B$9,Paramètres!$A$1:$I$89,3,0)*VLOOKUP('Données projet'!$B$9,Paramètres!$A$1:$I$89,5,0)</f>
        <v>190.71298999999982</v>
      </c>
      <c r="P59" s="14">
        <f t="shared" si="33"/>
        <v>47.697550438187619</v>
      </c>
      <c r="Q59" s="22">
        <f t="shared" si="53"/>
        <v>415.2316912631764</v>
      </c>
      <c r="R59" s="62">
        <f t="shared" si="0"/>
        <v>708.56502459650972</v>
      </c>
      <c r="S59" s="62">
        <f ca="1">AVERAGE(OFFSET($R$3,0,0,'Données projet'!$E$9+1,1))-AVERAGE(OFFSET($H$3,0,0,'Données projet'!$E$9+1,1))</f>
        <v>299.17641394512162</v>
      </c>
      <c r="T59" s="62">
        <f t="shared" si="34"/>
        <v>180.73046320039873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0.86087264817956144</v>
      </c>
      <c r="AA59" s="23">
        <f>EXP(-LN(2)/25)*AA58+(1-EXP(-LN(2)/25))/(LN(2)/25)*Calculateur!V59*Calculateur!X59*VLOOKUP('Données projet'!$B$9,Paramètres!$A$1:$I$89,3,0)*0.475*44/12</f>
        <v>1.0816378802012696</v>
      </c>
      <c r="AB59" s="23">
        <f>EXP(-LN(2)/2)*AB58+(1-EXP(-LN(2)/2))/(LN(2)/2)*V59*Y59*VLOOKUP('Données projet'!$B$9,Paramètres!$A$1:$I$89,3,0)*0.475*44/12</f>
        <v>0</v>
      </c>
      <c r="AC59" s="24">
        <f t="shared" si="3"/>
        <v>1.942510528380831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4.4508333333333328</v>
      </c>
      <c r="AI59" s="14">
        <f>IF('Données projet'!$A$62&gt;35,AI58+AH59-AQ58,IF(A59&lt;'Données projet'!$A$62,$AF$205^A59,IF(A59='Données projet'!$A$62,'Données projet'!$B$62,AI58+AH59-AQ58)))</f>
        <v>203.56583333333307</v>
      </c>
      <c r="AJ59" s="14">
        <f>AI59*VLOOKUP('Données projet'!$B$10,Paramètres!$A$1:$I$89,3,0)*VLOOKUP('Données projet'!$B$10,Paramètres!$A$1:$I$89,5,0)</f>
        <v>206.41575499999973</v>
      </c>
      <c r="AK59" s="14">
        <f t="shared" si="35"/>
        <v>51.151554963222402</v>
      </c>
      <c r="AL59" s="22">
        <f t="shared" si="4"/>
        <v>448.59639818594525</v>
      </c>
      <c r="AM59" s="62">
        <f t="shared" si="5"/>
        <v>741.92973151927856</v>
      </c>
      <c r="AN59" s="62">
        <f ca="1">AVERAGE(OFFSET($AM$3,0,0,'Données projet'!$E$10+1,1))-AVERAGE(OFFSET($H$3,0,0,'Données projet'!$E$10+1,1))</f>
        <v>384.66322295929552</v>
      </c>
      <c r="AO59" s="62">
        <f t="shared" si="36"/>
        <v>248.53970183513286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0.72357830342678664</v>
      </c>
      <c r="AV59" s="23">
        <f>EXP(-LN(2)/25)*AV58+(1-EXP(-LN(2)/25))/(LN(2)/25)*Calculateur!AQ59*Calculateur!AS59*VLOOKUP('Données projet'!$B$10,Paramètres!$A$1:$I$89,3,0)*0.475*44/12</f>
        <v>1.0606578351111593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1.7842361385379459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343.79999999999995</v>
      </c>
      <c r="BE59" s="14">
        <f>BD59*VLOOKUP('Données projet'!$B$11,Paramètres!$A$1:$I$89,3,0)*VLOOKUP('Données projet'!$B$11,Paramètres!$A$1:$I$89,5,0)</f>
        <v>205.5924</v>
      </c>
      <c r="BF59" s="14">
        <f t="shared" si="37"/>
        <v>50.971228364263673</v>
      </c>
      <c r="BG59" s="22">
        <f t="shared" si="7"/>
        <v>446.84831940109251</v>
      </c>
      <c r="BH59" s="62">
        <f t="shared" si="8"/>
        <v>740.18165273442582</v>
      </c>
      <c r="BI59" s="62">
        <f ca="1">AVERAGE(OFFSET($BH$3,0,0,'Données projet'!$E$11+1,1))-AVERAGE(OFFSET($H$3,0,0,'Données projet'!$E$11+1,1))</f>
        <v>146.25807703055079</v>
      </c>
      <c r="BJ59" s="62">
        <f t="shared" si="38"/>
        <v>177.40137940534413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5.6907263177762735</v>
      </c>
      <c r="BQ59" s="23">
        <f>EXP(-LN(2)/25)*BQ58+(1-EXP(-LN(2)/25))/(LN(2)/25)*Calculateur!BL59*Calculateur!BN59*VLOOKUP('Données projet'!$B$11,Paramètres!$A$1:$I$89,3,0)*0.475*44/12</f>
        <v>4.7446061103933355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10.435332428169609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14.816666666666668</v>
      </c>
      <c r="BY59" s="13">
        <f>IF('Données projet'!$A$114&gt;35,BY58+BX59-CG58,IF(A59&lt;'Données projet'!$A$114,$BV$205^A59,IF(A59='Données projet'!$A$114,'Données projet'!$B$114,BY58+BX59-CG58)))</f>
        <v>536.92666666666696</v>
      </c>
      <c r="BZ59" s="14">
        <f>BY59*VLOOKUP('Données projet'!$B$12,Paramètres!$A$1:$I$89,3,0)*VLOOKUP('Données projet'!$B$12,Paramètres!$A$1:$I$89,5,0)</f>
        <v>251.28168000000016</v>
      </c>
      <c r="CA59" s="14">
        <f t="shared" si="39"/>
        <v>60.860311600246767</v>
      </c>
      <c r="CB59" s="22">
        <f t="shared" si="10"/>
        <v>543.64730203709667</v>
      </c>
      <c r="CC59" s="62">
        <f t="shared" si="11"/>
        <v>836.98063537043004</v>
      </c>
      <c r="CD59" s="62">
        <f ca="1">AVERAGE(OFFSET($CC$3,0,0,'Données projet'!$E$12+1,1))-AVERAGE(OFFSET($H$3,0,0,'Données projet'!$E$12+1,1))</f>
        <v>287.12723448949828</v>
      </c>
      <c r="CE59" s="62">
        <f t="shared" si="40"/>
        <v>170.5203352323382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1.0014858132000946</v>
      </c>
      <c r="CL59" s="23">
        <f>EXP(-LN(2)/25)*CL58+(1-EXP(-LN(2)/25))/(LN(2)/25)*Calculateur!CG59*Calculateur!CI59*VLOOKUP('Données projet'!$B$12,Paramètres!$A$1:$I$89,3,0)*0.475*44/12</f>
        <v>10.13926158780748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11.140747401007575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8.0991666666666671</v>
      </c>
      <c r="CT59" s="13">
        <f>IF('Données projet'!$A$140&gt;35,CT58+CS59-DB58,IF(A59&lt;'Données projet'!$A$140,$CQ$205^A59,IF(A59='Données projet'!$A$140,'Données projet'!$B$140,CT58+CS59-DB58)))</f>
        <v>370.53416666666709</v>
      </c>
      <c r="CU59" s="18">
        <f>CT59*VLOOKUP('Données projet'!$B$13,Paramètres!$A$1:$I$89,3,0)*VLOOKUP('Données projet'!$B$13,Paramètres!$A$1:$I$89,5,0)</f>
        <v>358.38064600000041</v>
      </c>
      <c r="CV59" s="14">
        <f t="shared" si="41"/>
        <v>83.285789596931963</v>
      </c>
      <c r="CW59" s="22">
        <f t="shared" si="13"/>
        <v>769.23570866465718</v>
      </c>
      <c r="CX59" s="62">
        <f t="shared" si="14"/>
        <v>1062.5690419979906</v>
      </c>
      <c r="CY59" s="62">
        <f ca="1">AVERAGE(OFFSET($CX$3,0,0,'Données projet'!$E$13+1,1))-AVERAGE(OFFSET($H$3,0,0,'Données projet'!$E$13+1,1))</f>
        <v>467.37715054082025</v>
      </c>
      <c r="CZ59" s="62">
        <f t="shared" si="42"/>
        <v>443.35096563136415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0.83739247219662039</v>
      </c>
      <c r="DG59" s="23">
        <f>EXP(-LN(2)/25)*DG58+(1-EXP(-LN(2)/25))/(LN(2)/25)*Calculateur!DB59*Calculateur!DD59*VLOOKUP('Données projet'!$B$13,Paramètres!$A$1:$I$89,3,0)*0.475*44/12</f>
        <v>1.1836534102848184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2.021045882481439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8.0991666666666671</v>
      </c>
      <c r="DO59" s="13">
        <f>IF('Données projet'!$A$166&gt;35,DO58+DN59-DW58,IF(A59&lt;'Données projet'!$A$166,$DL$205^A59,IF(A59='Données projet'!$A$166,'Données projet'!$B$166,DO58+DN59-DW58)))</f>
        <v>370.53416666666709</v>
      </c>
      <c r="DP59" s="18">
        <f>DO59*VLOOKUP('Données projet'!$B$14,Paramètres!$A$1:$I$89,3,0)*VLOOKUP('Données projet'!$B$14,Paramètres!$A$1:$I$89,5,0)</f>
        <v>398.84297700000042</v>
      </c>
      <c r="DQ59" s="14">
        <f t="shared" si="43"/>
        <v>91.542057032814171</v>
      </c>
      <c r="DR59" s="22">
        <f t="shared" si="16"/>
        <v>854.08726760715206</v>
      </c>
      <c r="DS59" s="62">
        <f t="shared" si="17"/>
        <v>1147.4206009404854</v>
      </c>
      <c r="DT59" s="62">
        <f ca="1">AVERAGE(OFFSET($DS$3,0,0,'Données projet'!$E$14+1,1))-AVERAGE(OFFSET($H$3,0,0,'Données projet'!$E$14+1,1))</f>
        <v>524.51242549438939</v>
      </c>
      <c r="DU59" s="62">
        <f t="shared" si="44"/>
        <v>494.88778446576327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0.93193678357365806</v>
      </c>
      <c r="EB59" s="23">
        <f>EXP(-LN(2)/25)*EB58+(1-EXP(-LN(2)/25))/(LN(2)/25)*Calculateur!DW59*Calculateur!DY59*VLOOKUP('Données projet'!$B$14,Paramètres!$A$1:$I$89,3,0)*0.475*44/12</f>
        <v>1.3172916985427809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2.2492284821164388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370.70188908775697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5.4841666666666642</v>
      </c>
      <c r="N60" s="14">
        <f>IF('Données projet'!$A$36&gt;35,N59+M60-V59,IF(A60&lt;'Données projet'!$A$36,$K$205^A60,IF(A60='Données projet'!$A$36,'Données projet'!$B$36,N59+M60-V59)))</f>
        <v>216.26333333333312</v>
      </c>
      <c r="O60" s="14">
        <f>N60*VLOOKUP('Données projet'!$B$9,Paramètres!$A$1:$I$89,3,0)*VLOOKUP('Données projet'!$B$9,Paramètres!$A$1:$I$89,5,0)</f>
        <v>195.67506399999979</v>
      </c>
      <c r="P60" s="14">
        <f t="shared" si="33"/>
        <v>48.792471711935356</v>
      </c>
      <c r="Q60" s="22">
        <f t="shared" si="53"/>
        <v>425.7809580316204</v>
      </c>
      <c r="R60" s="62">
        <f t="shared" si="0"/>
        <v>719.11429136495371</v>
      </c>
      <c r="S60" s="62">
        <f ca="1">AVERAGE(OFFSET($R$3,0,0,'Données projet'!$E$9+1,1))-AVERAGE(OFFSET($H$3,0,0,'Données projet'!$E$9+1,1))</f>
        <v>299.17641394512162</v>
      </c>
      <c r="T60" s="62">
        <f t="shared" si="34"/>
        <v>180.73046320039873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0.84399146062922825</v>
      </c>
      <c r="AA60" s="23">
        <f>EXP(-LN(2)/25)*AA59+(1-EXP(-LN(2)/25))/(LN(2)/25)*Calculateur!V60*Calculateur!X60*VLOOKUP('Données projet'!$B$9,Paramètres!$A$1:$I$89,3,0)*0.475*44/12</f>
        <v>1.0520604354863019</v>
      </c>
      <c r="AB60" s="23">
        <f>EXP(-LN(2)/2)*AB59+(1-EXP(-LN(2)/2))/(LN(2)/2)*V60*Y60*VLOOKUP('Données projet'!$B$9,Paramètres!$A$1:$I$89,3,0)*0.475*44/12</f>
        <v>0</v>
      </c>
      <c r="AC60" s="24">
        <f t="shared" si="3"/>
        <v>1.8960518961155302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4.4508333333333328</v>
      </c>
      <c r="AI60" s="14">
        <f>IF('Données projet'!$A$62&gt;35,AI59+AH60-AQ59,IF(A60&lt;'Données projet'!$A$62,$AF$205^A60,IF(A60='Données projet'!$A$62,'Données projet'!$B$62,AI59+AH60-AQ59)))</f>
        <v>208.0166666666664</v>
      </c>
      <c r="AJ60" s="14">
        <f>AI60*VLOOKUP('Données projet'!$B$10,Paramètres!$A$1:$I$89,3,0)*VLOOKUP('Données projet'!$B$10,Paramètres!$A$1:$I$89,5,0)</f>
        <v>210.92889999999974</v>
      </c>
      <c r="AK60" s="14">
        <f t="shared" si="35"/>
        <v>52.138521548071935</v>
      </c>
      <c r="AL60" s="22">
        <f t="shared" si="4"/>
        <v>458.17575919622487</v>
      </c>
      <c r="AM60" s="62">
        <f t="shared" si="5"/>
        <v>751.50909252955819</v>
      </c>
      <c r="AN60" s="62">
        <f ca="1">AVERAGE(OFFSET($AM$3,0,0,'Données projet'!$E$10+1,1))-AVERAGE(OFFSET($H$3,0,0,'Données projet'!$E$10+1,1))</f>
        <v>384.66322295929552</v>
      </c>
      <c r="AO60" s="62">
        <f t="shared" si="36"/>
        <v>248.53970183513286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0.70938937423577386</v>
      </c>
      <c r="AV60" s="23">
        <f>EXP(-LN(2)/25)*AV59+(1-EXP(-LN(2)/25))/(LN(2)/25)*Calculateur!AQ60*Calculateur!AS60*VLOOKUP('Données projet'!$B$10,Paramètres!$A$1:$I$89,3,0)*0.475*44/12</f>
        <v>1.0316540908324732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1.7410434650682469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343.79999999999995</v>
      </c>
      <c r="BE60" s="14">
        <f>BD60*VLOOKUP('Données projet'!$B$11,Paramètres!$A$1:$I$89,3,0)*VLOOKUP('Données projet'!$B$11,Paramètres!$A$1:$I$89,5,0)</f>
        <v>205.5924</v>
      </c>
      <c r="BF60" s="14">
        <f t="shared" si="37"/>
        <v>50.971228364263673</v>
      </c>
      <c r="BG60" s="22">
        <f t="shared" si="7"/>
        <v>446.84831940109251</v>
      </c>
      <c r="BH60" s="62">
        <f t="shared" si="8"/>
        <v>740.18165273442582</v>
      </c>
      <c r="BI60" s="62">
        <f ca="1">AVERAGE(OFFSET($BH$3,0,0,'Données projet'!$E$11+1,1))-AVERAGE(OFFSET($H$3,0,0,'Données projet'!$E$11+1,1))</f>
        <v>146.25807703055079</v>
      </c>
      <c r="BJ60" s="62">
        <f t="shared" si="38"/>
        <v>177.40137940534413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5.5791346456850022</v>
      </c>
      <c r="BQ60" s="23">
        <f>EXP(-LN(2)/25)*BQ59+(1-EXP(-LN(2)/25))/(LN(2)/25)*Calculateur!BL60*Calculateur!BN60*VLOOKUP('Données projet'!$B$11,Paramètres!$A$1:$I$89,3,0)*0.475*44/12</f>
        <v>4.6148646067966386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10.193999252481641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14.816666666666668</v>
      </c>
      <c r="BY60" s="13">
        <f>IF('Données projet'!$A$114&gt;35,BY59+BX60-CG59,IF(A60&lt;'Données projet'!$A$114,$BV$205^A60,IF(A60='Données projet'!$A$114,'Données projet'!$B$114,BY59+BX60-CG59)))</f>
        <v>551.74333333333368</v>
      </c>
      <c r="BZ60" s="14">
        <f>BY60*VLOOKUP('Données projet'!$B$12,Paramètres!$A$1:$I$89,3,0)*VLOOKUP('Données projet'!$B$12,Paramètres!$A$1:$I$89,5,0)</f>
        <v>258.21588000000014</v>
      </c>
      <c r="CA60" s="14">
        <f t="shared" si="39"/>
        <v>62.341923400115547</v>
      </c>
      <c r="CB60" s="22">
        <f t="shared" si="10"/>
        <v>558.30484092186816</v>
      </c>
      <c r="CC60" s="62">
        <f t="shared" si="11"/>
        <v>851.63817425520142</v>
      </c>
      <c r="CD60" s="62">
        <f ca="1">AVERAGE(OFFSET($CC$3,0,0,'Données projet'!$E$12+1,1))-AVERAGE(OFFSET($H$3,0,0,'Données projet'!$E$12+1,1))</f>
        <v>287.12723448949828</v>
      </c>
      <c r="CE60" s="62">
        <f t="shared" si="40"/>
        <v>170.5203352323382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0.98184728724927073</v>
      </c>
      <c r="CL60" s="23">
        <f>EXP(-LN(2)/25)*CL59+(1-EXP(-LN(2)/25))/(LN(2)/25)*Calculateur!CG60*Calculateur!CI60*VLOOKUP('Données projet'!$B$12,Paramètres!$A$1:$I$89,3,0)*0.475*44/12</f>
        <v>9.8620029464882908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10.843850233737562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8.0991666666666671</v>
      </c>
      <c r="CT60" s="13">
        <f>IF('Données projet'!$A$140&gt;35,CT59+CS60-DB59,IF(A60&lt;'Données projet'!$A$140,$CQ$205^A60,IF(A60='Données projet'!$A$140,'Données projet'!$B$140,CT59+CS60-DB59)))</f>
        <v>378.63333333333378</v>
      </c>
      <c r="CU60" s="18">
        <f>CT60*VLOOKUP('Données projet'!$B$13,Paramètres!$A$1:$I$89,3,0)*VLOOKUP('Données projet'!$B$13,Paramètres!$A$1:$I$89,5,0)</f>
        <v>366.21416000000045</v>
      </c>
      <c r="CV60" s="14">
        <f t="shared" si="41"/>
        <v>84.892325011663658</v>
      </c>
      <c r="CW60" s="22">
        <f t="shared" si="13"/>
        <v>785.67712806198153</v>
      </c>
      <c r="CX60" s="62">
        <f t="shared" si="14"/>
        <v>1079.0104613953149</v>
      </c>
      <c r="CY60" s="62">
        <f ca="1">AVERAGE(OFFSET($CX$3,0,0,'Données projet'!$E$13+1,1))-AVERAGE(OFFSET($H$3,0,0,'Données projet'!$E$13+1,1))</f>
        <v>467.37715054082025</v>
      </c>
      <c r="CZ60" s="62">
        <f t="shared" si="42"/>
        <v>443.35096563136415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0.82097171657581947</v>
      </c>
      <c r="DG60" s="23">
        <f>EXP(-LN(2)/25)*DG59+(1-EXP(-LN(2)/25))/(LN(2)/25)*Calculateur!DB60*Calculateur!DD60*VLOOKUP('Données projet'!$B$13,Paramètres!$A$1:$I$89,3,0)*0.475*44/12</f>
        <v>1.1512863455349525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1.9722580621107719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8.0991666666666671</v>
      </c>
      <c r="DO60" s="13">
        <f>IF('Données projet'!$A$166&gt;35,DO59+DN60-DW59,IF(A60&lt;'Données projet'!$A$166,$DL$205^A60,IF(A60='Données projet'!$A$166,'Données projet'!$B$166,DO59+DN60-DW59)))</f>
        <v>378.63333333333378</v>
      </c>
      <c r="DP60" s="18">
        <f>DO60*VLOOKUP('Données projet'!$B$14,Paramètres!$A$1:$I$89,3,0)*VLOOKUP('Données projet'!$B$14,Paramètres!$A$1:$I$89,5,0)</f>
        <v>407.56092000000046</v>
      </c>
      <c r="DQ60" s="14">
        <f t="shared" si="43"/>
        <v>93.307851140936833</v>
      </c>
      <c r="DR60" s="22">
        <f t="shared" si="16"/>
        <v>872.34644307046574</v>
      </c>
      <c r="DS60" s="62">
        <f t="shared" si="17"/>
        <v>1165.679776403799</v>
      </c>
      <c r="DT60" s="62">
        <f ca="1">AVERAGE(OFFSET($DS$3,0,0,'Données projet'!$E$14+1,1))-AVERAGE(OFFSET($H$3,0,0,'Données projet'!$E$14+1,1))</f>
        <v>524.51242549438939</v>
      </c>
      <c r="DU60" s="62">
        <f t="shared" si="44"/>
        <v>494.88778446576327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0.91366207167308922</v>
      </c>
      <c r="EB60" s="23">
        <f>EXP(-LN(2)/25)*EB59+(1-EXP(-LN(2)/25))/(LN(2)/25)*Calculateur!DW60*Calculateur!DY60*VLOOKUP('Données projet'!$B$14,Paramètres!$A$1:$I$89,3,0)*0.475*44/12</f>
        <v>1.2812702877727689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2.1949323594458581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372.6494975202296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5.4841666666666642</v>
      </c>
      <c r="N61" s="14">
        <f>IF('Données projet'!$A$36&gt;35,N60+M61-V60,IF(A61&lt;'Données projet'!$A$36,$K$205^A61,IF(A61='Données projet'!$A$36,'Données projet'!$B$36,N60+M61-V60)))</f>
        <v>221.74749999999977</v>
      </c>
      <c r="O61" s="14">
        <f>N61*VLOOKUP('Données projet'!$B$9,Paramètres!$A$1:$I$89,3,0)*VLOOKUP('Données projet'!$B$9,Paramètres!$A$1:$I$89,5,0)</f>
        <v>200.63713799999979</v>
      </c>
      <c r="P61" s="14">
        <f t="shared" si="33"/>
        <v>49.884165442872977</v>
      </c>
      <c r="Q61" s="22">
        <f t="shared" si="53"/>
        <v>436.32460349633675</v>
      </c>
      <c r="R61" s="62">
        <f t="shared" si="0"/>
        <v>729.65793682967001</v>
      </c>
      <c r="S61" s="62">
        <f ca="1">AVERAGE(OFFSET($R$3,0,0,'Données projet'!$E$9+1,1))-AVERAGE(OFFSET($H$3,0,0,'Données projet'!$E$9+1,1))</f>
        <v>299.17641394512162</v>
      </c>
      <c r="T61" s="62">
        <f t="shared" si="34"/>
        <v>180.73046320039873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0.82744130287024942</v>
      </c>
      <c r="AA61" s="23">
        <f>EXP(-LN(2)/25)*AA60+(1-EXP(-LN(2)/25))/(LN(2)/25)*Calculateur!V61*Calculateur!X61*VLOOKUP('Données projet'!$B$9,Paramètres!$A$1:$I$89,3,0)*0.475*44/12</f>
        <v>1.0232917875524752</v>
      </c>
      <c r="AB61" s="23">
        <f>EXP(-LN(2)/2)*AB60+(1-EXP(-LN(2)/2))/(LN(2)/2)*V61*Y61*VLOOKUP('Données projet'!$B$9,Paramètres!$A$1:$I$89,3,0)*0.475*44/12</f>
        <v>0</v>
      </c>
      <c r="AC61" s="24">
        <f t="shared" si="3"/>
        <v>1.8507330904227246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4.4508333333333328</v>
      </c>
      <c r="AI61" s="14">
        <f>IF('Données projet'!$A$62&gt;35,AI60+AH61-AQ60,IF(A61&lt;'Données projet'!$A$62,$AF$205^A61,IF(A61='Données projet'!$A$62,'Données projet'!$B$62,AI60+AH61-AQ60)))</f>
        <v>212.46749999999972</v>
      </c>
      <c r="AJ61" s="14">
        <f>AI61*VLOOKUP('Données projet'!$B$10,Paramètres!$A$1:$I$89,3,0)*VLOOKUP('Données projet'!$B$10,Paramètres!$A$1:$I$89,5,0)</f>
        <v>215.44204499999972</v>
      </c>
      <c r="AK61" s="14">
        <f t="shared" si="35"/>
        <v>53.123032898571431</v>
      </c>
      <c r="AL61" s="22">
        <f t="shared" si="4"/>
        <v>467.75084400667805</v>
      </c>
      <c r="AM61" s="62">
        <f t="shared" si="5"/>
        <v>761.08417734001137</v>
      </c>
      <c r="AN61" s="62">
        <f ca="1">AVERAGE(OFFSET($AM$3,0,0,'Données projet'!$E$10+1,1))-AVERAGE(OFFSET($H$3,0,0,'Données projet'!$E$10+1,1))</f>
        <v>384.66322295929552</v>
      </c>
      <c r="AO61" s="62">
        <f t="shared" si="36"/>
        <v>248.53970183513286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0.69547868129180457</v>
      </c>
      <c r="AV61" s="23">
        <f>EXP(-LN(2)/25)*AV60+(1-EXP(-LN(2)/25))/(LN(2)/25)*Calculateur!AQ61*Calculateur!AS61*VLOOKUP('Données projet'!$B$10,Paramètres!$A$1:$I$89,3,0)*0.475*44/12</f>
        <v>1.0034434554663285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1.6989221367581331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343.79999999999995</v>
      </c>
      <c r="BE61" s="14">
        <f>BD61*VLOOKUP('Données projet'!$B$11,Paramètres!$A$1:$I$89,3,0)*VLOOKUP('Données projet'!$B$11,Paramètres!$A$1:$I$89,5,0)</f>
        <v>205.5924</v>
      </c>
      <c r="BF61" s="14">
        <f t="shared" si="37"/>
        <v>50.971228364263673</v>
      </c>
      <c r="BG61" s="22">
        <f t="shared" si="7"/>
        <v>446.84831940109251</v>
      </c>
      <c r="BH61" s="62">
        <f t="shared" si="8"/>
        <v>740.18165273442582</v>
      </c>
      <c r="BI61" s="62">
        <f ca="1">AVERAGE(OFFSET($BH$3,0,0,'Données projet'!$E$11+1,1))-AVERAGE(OFFSET($H$3,0,0,'Données projet'!$E$11+1,1))</f>
        <v>146.25807703055079</v>
      </c>
      <c r="BJ61" s="62">
        <f t="shared" si="38"/>
        <v>177.40137940534413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5.4697312182192412</v>
      </c>
      <c r="BQ61" s="23">
        <f>EXP(-LN(2)/25)*BQ60+(1-EXP(-LN(2)/25))/(LN(2)/25)*Calculateur!BL61*Calculateur!BN61*VLOOKUP('Données projet'!$B$11,Paramètres!$A$1:$I$89,3,0)*0.475*44/12</f>
        <v>4.488670891438602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9.9584021096578432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14.816666666666668</v>
      </c>
      <c r="BY61" s="13">
        <f>IF('Données projet'!$A$114&gt;35,BY60+BX61-CG60,IF(A61&lt;'Données projet'!$A$114,$BV$205^A61,IF(A61='Données projet'!$A$114,'Données projet'!$B$114,BY60+BX61-CG60)))</f>
        <v>566.5600000000004</v>
      </c>
      <c r="BZ61" s="14">
        <f>BY61*VLOOKUP('Données projet'!$B$12,Paramètres!$A$1:$I$89,3,0)*VLOOKUP('Données projet'!$B$12,Paramètres!$A$1:$I$89,5,0)</f>
        <v>265.15008000000017</v>
      </c>
      <c r="CA61" s="14">
        <f t="shared" si="39"/>
        <v>63.818910565661092</v>
      </c>
      <c r="CB61" s="22">
        <f t="shared" si="10"/>
        <v>572.95432523519332</v>
      </c>
      <c r="CC61" s="62">
        <f t="shared" si="11"/>
        <v>866.28765856852669</v>
      </c>
      <c r="CD61" s="62">
        <f ca="1">AVERAGE(OFFSET($CC$3,0,0,'Données projet'!$E$12+1,1))-AVERAGE(OFFSET($H$3,0,0,'Données projet'!$E$12+1,1))</f>
        <v>287.12723448949828</v>
      </c>
      <c r="CE61" s="62">
        <f t="shared" si="40"/>
        <v>170.5203352323382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0.96259386081402443</v>
      </c>
      <c r="CL61" s="23">
        <f>EXP(-LN(2)/25)*CL60+(1-EXP(-LN(2)/25))/(LN(2)/25)*Calculateur!CG61*Calculateur!CI61*VLOOKUP('Données projet'!$B$12,Paramètres!$A$1:$I$89,3,0)*0.475*44/12</f>
        <v>9.5923259572963726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10.554919818110397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8.0991666666666671</v>
      </c>
      <c r="CT61" s="13">
        <f>IF('Données projet'!$A$140&gt;35,CT60+CS61-DB60,IF(A61&lt;'Données projet'!$A$140,$CQ$205^A61,IF(A61='Données projet'!$A$140,'Données projet'!$B$140,CT60+CS61-DB60)))</f>
        <v>386.73250000000047</v>
      </c>
      <c r="CU61" s="18">
        <f>CT61*VLOOKUP('Données projet'!$B$13,Paramètres!$A$1:$I$89,3,0)*VLOOKUP('Données projet'!$B$13,Paramètres!$A$1:$I$89,5,0)</f>
        <v>374.04767400000043</v>
      </c>
      <c r="CV61" s="14">
        <f t="shared" si="41"/>
        <v>86.494865035920938</v>
      </c>
      <c r="CW61" s="22">
        <f t="shared" si="13"/>
        <v>802.11158882089637</v>
      </c>
      <c r="CX61" s="62">
        <f t="shared" si="14"/>
        <v>1095.4449221542297</v>
      </c>
      <c r="CY61" s="62">
        <f ca="1">AVERAGE(OFFSET($CX$3,0,0,'Données projet'!$E$13+1,1))-AVERAGE(OFFSET($H$3,0,0,'Données projet'!$E$13+1,1))</f>
        <v>467.37715054082025</v>
      </c>
      <c r="CZ61" s="62">
        <f t="shared" si="42"/>
        <v>443.35096563136415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0.80487296195707048</v>
      </c>
      <c r="DG61" s="23">
        <f>EXP(-LN(2)/25)*DG60+(1-EXP(-LN(2)/25))/(LN(2)/25)*Calculateur!DB61*Calculateur!DD61*VLOOKUP('Données projet'!$B$13,Paramètres!$A$1:$I$89,3,0)*0.475*44/12</f>
        <v>1.1198043598727816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1.9246773218298521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8.0991666666666671</v>
      </c>
      <c r="DO61" s="13">
        <f>IF('Données projet'!$A$166&gt;35,DO60+DN61-DW60,IF(A61&lt;'Données projet'!$A$166,$DL$205^A61,IF(A61='Données projet'!$A$166,'Données projet'!$B$166,DO60+DN61-DW60)))</f>
        <v>386.73250000000047</v>
      </c>
      <c r="DP61" s="18">
        <f>DO61*VLOOKUP('Données projet'!$B$14,Paramètres!$A$1:$I$89,3,0)*VLOOKUP('Données projet'!$B$14,Paramètres!$A$1:$I$89,5,0)</f>
        <v>416.27886300000051</v>
      </c>
      <c r="DQ61" s="14">
        <f t="shared" si="43"/>
        <v>95.069253788470078</v>
      </c>
      <c r="DR61" s="22">
        <f t="shared" si="16"/>
        <v>890.5979700732529</v>
      </c>
      <c r="DS61" s="62">
        <f t="shared" si="17"/>
        <v>1183.9313034065863</v>
      </c>
      <c r="DT61" s="62">
        <f ca="1">AVERAGE(OFFSET($DS$3,0,0,'Données projet'!$E$14+1,1))-AVERAGE(OFFSET($H$3,0,0,'Données projet'!$E$14+1,1))</f>
        <v>524.51242549438939</v>
      </c>
      <c r="DU61" s="62">
        <f t="shared" si="44"/>
        <v>494.88778446576327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0.89574571572641692</v>
      </c>
      <c r="EB61" s="23">
        <f>EXP(-LN(2)/25)*EB60+(1-EXP(-LN(2)/25))/(LN(2)/25)*Calculateur!DW61*Calculateur!DY61*VLOOKUP('Données projet'!$B$14,Paramètres!$A$1:$I$89,3,0)*0.475*44/12</f>
        <v>1.2462338843745464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2.1419796001009632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374.59630612559323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5.4841666666666642</v>
      </c>
      <c r="N62" s="14">
        <f>IF('Données projet'!$A$36&gt;35,N61+M62-V61,IF(A62&lt;'Données projet'!$A$36,$K$205^A62,IF(A62='Données projet'!$A$36,'Données projet'!$B$36,N61+M62-V61)))</f>
        <v>227.23166666666643</v>
      </c>
      <c r="O62" s="14">
        <f>N62*VLOOKUP('Données projet'!$B$9,Paramètres!$A$1:$I$89,3,0)*VLOOKUP('Données projet'!$B$9,Paramètres!$A$1:$I$89,5,0)</f>
        <v>205.59921199999977</v>
      </c>
      <c r="P62" s="14">
        <f t="shared" si="33"/>
        <v>50.972720634759547</v>
      </c>
      <c r="Q62" s="22">
        <f t="shared" si="53"/>
        <v>446.86278267220581</v>
      </c>
      <c r="R62" s="62">
        <f t="shared" si="0"/>
        <v>740.19611600553912</v>
      </c>
      <c r="S62" s="62">
        <f ca="1">AVERAGE(OFFSET($R$3,0,0,'Données projet'!$E$9+1,1))-AVERAGE(OFFSET($H$3,0,0,'Données projet'!$E$9+1,1))</f>
        <v>299.17641394512162</v>
      </c>
      <c r="T62" s="62">
        <f t="shared" si="34"/>
        <v>180.73046320039873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0.81121568361032459</v>
      </c>
      <c r="AA62" s="23">
        <f>EXP(-LN(2)/25)*AA61+(1-EXP(-LN(2)/25))/(LN(2)/25)*Calculateur!V62*Calculateur!X62*VLOOKUP('Données projet'!$B$9,Paramètres!$A$1:$I$89,3,0)*0.475*44/12</f>
        <v>0.99530981980927646</v>
      </c>
      <c r="AB62" s="23">
        <f>EXP(-LN(2)/2)*AB61+(1-EXP(-LN(2)/2))/(LN(2)/2)*V62*Y62*VLOOKUP('Données projet'!$B$9,Paramètres!$A$1:$I$89,3,0)*0.475*44/12</f>
        <v>0</v>
      </c>
      <c r="AC62" s="24">
        <f t="shared" si="3"/>
        <v>1.8065255034196011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4.4508333333333328</v>
      </c>
      <c r="AI62" s="14">
        <f>IF('Données projet'!$A$62&gt;35,AI61+AH62-AQ61,IF(A62&lt;'Données projet'!$A$62,$AF$205^A62,IF(A62='Données projet'!$A$62,'Données projet'!$B$62,AI61+AH62-AQ61)))</f>
        <v>216.91833333333304</v>
      </c>
      <c r="AJ62" s="14">
        <f>AI62*VLOOKUP('Données projet'!$B$10,Paramètres!$A$1:$I$89,3,0)*VLOOKUP('Données projet'!$B$10,Paramètres!$A$1:$I$89,5,0)</f>
        <v>219.95518999999973</v>
      </c>
      <c r="AK62" s="14">
        <f t="shared" si="35"/>
        <v>54.105146373033094</v>
      </c>
      <c r="AL62" s="22">
        <f t="shared" si="4"/>
        <v>477.32175251636551</v>
      </c>
      <c r="AM62" s="62">
        <f t="shared" si="5"/>
        <v>770.65508584969882</v>
      </c>
      <c r="AN62" s="62">
        <f ca="1">AVERAGE(OFFSET($AM$3,0,0,'Données projet'!$E$10+1,1))-AVERAGE(OFFSET($H$3,0,0,'Données projet'!$E$10+1,1))</f>
        <v>384.66322295929552</v>
      </c>
      <c r="AO62" s="62">
        <f t="shared" si="36"/>
        <v>248.53970183513286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0.68184076855178155</v>
      </c>
      <c r="AV62" s="23">
        <f>EXP(-LN(2)/25)*AV61+(1-EXP(-LN(2)/25))/(LN(2)/25)*Calculateur!AQ62*Calculateur!AS62*VLOOKUP('Données projet'!$B$10,Paramètres!$A$1:$I$89,3,0)*0.475*44/12</f>
        <v>0.97600424140780384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1.6578450099595854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343.79999999999995</v>
      </c>
      <c r="BE62" s="14">
        <f>BD62*VLOOKUP('Données projet'!$B$11,Paramètres!$A$1:$I$89,3,0)*VLOOKUP('Données projet'!$B$11,Paramètres!$A$1:$I$89,5,0)</f>
        <v>205.5924</v>
      </c>
      <c r="BF62" s="14">
        <f t="shared" si="37"/>
        <v>50.971228364263673</v>
      </c>
      <c r="BG62" s="22">
        <f t="shared" si="7"/>
        <v>446.84831940109251</v>
      </c>
      <c r="BH62" s="62">
        <f t="shared" si="8"/>
        <v>740.18165273442582</v>
      </c>
      <c r="BI62" s="62">
        <f ca="1">AVERAGE(OFFSET($BH$3,0,0,'Données projet'!$E$11+1,1))-AVERAGE(OFFSET($H$3,0,0,'Données projet'!$E$11+1,1))</f>
        <v>146.25807703055079</v>
      </c>
      <c r="BJ62" s="62">
        <f t="shared" si="38"/>
        <v>177.40137940534413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5.3624731252365816</v>
      </c>
      <c r="BQ62" s="23">
        <f>EXP(-LN(2)/25)*BQ61+(1-EXP(-LN(2)/25))/(LN(2)/25)*Calculateur!BL62*Calculateur!BN62*VLOOKUP('Données projet'!$B$11,Paramètres!$A$1:$I$89,3,0)*0.475*44/12</f>
        <v>4.3659279498632699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9.7284010750998515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14.816666666666668</v>
      </c>
      <c r="BY62" s="13">
        <f>IF('Données projet'!$A$114&gt;35,BY61+BX62-CG61,IF(A62&lt;'Données projet'!$A$114,$BV$205^A62,IF(A62='Données projet'!$A$114,'Données projet'!$B$114,BY61+BX62-CG61)))</f>
        <v>581.37666666666712</v>
      </c>
      <c r="BZ62" s="14">
        <f>BY62*VLOOKUP('Données projet'!$B$12,Paramètres!$A$1:$I$89,3,0)*VLOOKUP('Données projet'!$B$12,Paramètres!$A$1:$I$89,5,0)</f>
        <v>272.08428000000021</v>
      </c>
      <c r="CA62" s="14">
        <f t="shared" si="39"/>
        <v>65.291407943853727</v>
      </c>
      <c r="CB62" s="22">
        <f t="shared" si="10"/>
        <v>587.59598983554554</v>
      </c>
      <c r="CC62" s="62">
        <f t="shared" si="11"/>
        <v>880.92932316887891</v>
      </c>
      <c r="CD62" s="62">
        <f ca="1">AVERAGE(OFFSET($CC$3,0,0,'Données projet'!$E$12+1,1))-AVERAGE(OFFSET($H$3,0,0,'Données projet'!$E$12+1,1))</f>
        <v>287.12723448949828</v>
      </c>
      <c r="CE62" s="62">
        <f t="shared" si="40"/>
        <v>170.5203352323382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0.94371798232774284</v>
      </c>
      <c r="CL62" s="23">
        <f>EXP(-LN(2)/25)*CL61+(1-EXP(-LN(2)/25))/(LN(2)/25)*Calculateur!CG62*Calculateur!CI62*VLOOKUP('Données projet'!$B$12,Paramètres!$A$1:$I$89,3,0)*0.475*44/12</f>
        <v>9.3300232995556041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10.273741281883346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8.0991666666666671</v>
      </c>
      <c r="CT62" s="13">
        <f>IF('Données projet'!$A$140&gt;35,CT61+CS62-DB61,IF(A62&lt;'Données projet'!$A$140,$CQ$205^A62,IF(A62='Données projet'!$A$140,'Données projet'!$B$140,CT61+CS62-DB61)))</f>
        <v>394.83166666666716</v>
      </c>
      <c r="CU62" s="18">
        <f>CT62*VLOOKUP('Données projet'!$B$13,Paramètres!$A$1:$I$89,3,0)*VLOOKUP('Données projet'!$B$13,Paramètres!$A$1:$I$89,5,0)</f>
        <v>381.88118800000046</v>
      </c>
      <c r="CV62" s="14">
        <f t="shared" si="41"/>
        <v>88.093502983013408</v>
      </c>
      <c r="CW62" s="22">
        <f t="shared" si="13"/>
        <v>818.53925346208246</v>
      </c>
      <c r="CX62" s="62">
        <f t="shared" si="14"/>
        <v>1111.8725867954158</v>
      </c>
      <c r="CY62" s="62">
        <f ca="1">AVERAGE(OFFSET($CX$3,0,0,'Données projet'!$E$13+1,1))-AVERAGE(OFFSET($H$3,0,0,'Données projet'!$E$13+1,1))</f>
        <v>467.37715054082025</v>
      </c>
      <c r="CZ62" s="62">
        <f t="shared" si="42"/>
        <v>443.35096563136415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0.78908989409712438</v>
      </c>
      <c r="DG62" s="23">
        <f>EXP(-LN(2)/25)*DG61+(1-EXP(-LN(2)/25))/(LN(2)/25)*Calculateur!DB62*Calculateur!DD62*VLOOKUP('Données projet'!$B$13,Paramètres!$A$1:$I$89,3,0)*0.475*44/12</f>
        <v>1.0891832507641084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1.8782731448612329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8.0991666666666671</v>
      </c>
      <c r="DO62" s="13">
        <f>IF('Données projet'!$A$166&gt;35,DO61+DN62-DW61,IF(A62&lt;'Données projet'!$A$166,$DL$205^A62,IF(A62='Données projet'!$A$166,'Données projet'!$B$166,DO61+DN62-DW61)))</f>
        <v>394.83166666666716</v>
      </c>
      <c r="DP62" s="18">
        <f>DO62*VLOOKUP('Données projet'!$B$14,Paramètres!$A$1:$I$89,3,0)*VLOOKUP('Données projet'!$B$14,Paramètres!$A$1:$I$89,5,0)</f>
        <v>424.99680600000056</v>
      </c>
      <c r="DQ62" s="14">
        <f t="shared" si="43"/>
        <v>96.826367539036625</v>
      </c>
      <c r="DR62" s="22">
        <f t="shared" si="16"/>
        <v>908.84202724715635</v>
      </c>
      <c r="DS62" s="62">
        <f t="shared" si="17"/>
        <v>1202.1753605804897</v>
      </c>
      <c r="DT62" s="62">
        <f ca="1">AVERAGE(OFFSET($DS$3,0,0,'Données projet'!$E$14+1,1))-AVERAGE(OFFSET($H$3,0,0,'Données projet'!$E$14+1,1))</f>
        <v>524.51242549438939</v>
      </c>
      <c r="DU62" s="62">
        <f t="shared" si="44"/>
        <v>494.88778446576327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0.87818068859196086</v>
      </c>
      <c r="EB62" s="23">
        <f>EXP(-LN(2)/25)*EB61+(1-EXP(-LN(2)/25))/(LN(2)/25)*Calculateur!DW62*Calculateur!DY62*VLOOKUP('Données projet'!$B$14,Paramètres!$A$1:$I$89,3,0)*0.475*44/12</f>
        <v>1.2121555532697328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2.0903362418616935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376.54233002474325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5.4841666666666642</v>
      </c>
      <c r="N63" s="14">
        <f>IF('Données projet'!$A$36&gt;35,N62+M63-V62,IF(A63&lt;'Données projet'!$A$36,$K$205^A63,IF(A63='Données projet'!$A$36,'Données projet'!$B$36,N62+M63-V62)))</f>
        <v>232.71583333333308</v>
      </c>
      <c r="O63" s="14">
        <f>N63*VLOOKUP('Données projet'!$B$9,Paramètres!$A$1:$I$89,3,0)*VLOOKUP('Données projet'!$B$9,Paramètres!$A$1:$I$89,5,0)</f>
        <v>210.56128599999977</v>
      </c>
      <c r="P63" s="14">
        <f t="shared" si="33"/>
        <v>52.058221750213022</v>
      </c>
      <c r="Q63" s="22">
        <f t="shared" si="53"/>
        <v>457.39564266495387</v>
      </c>
      <c r="R63" s="62">
        <f t="shared" si="0"/>
        <v>750.72897599828718</v>
      </c>
      <c r="S63" s="62">
        <f ca="1">AVERAGE(OFFSET($R$3,0,0,'Données projet'!$E$9+1,1))-AVERAGE(OFFSET($H$3,0,0,'Données projet'!$E$9+1,1))</f>
        <v>299.17641394512162</v>
      </c>
      <c r="T63" s="62">
        <f t="shared" si="34"/>
        <v>180.73046320039873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0.7953082388474364</v>
      </c>
      <c r="AA63" s="23">
        <f>EXP(-LN(2)/25)*AA62+(1-EXP(-LN(2)/25))/(LN(2)/25)*Calculateur!V63*Calculateur!X63*VLOOKUP('Données projet'!$B$9,Paramètres!$A$1:$I$89,3,0)*0.475*44/12</f>
        <v>0.96809302044552314</v>
      </c>
      <c r="AB63" s="23">
        <f>EXP(-LN(2)/2)*AB62+(1-EXP(-LN(2)/2))/(LN(2)/2)*V63*Y63*VLOOKUP('Données projet'!$B$9,Paramètres!$A$1:$I$89,3,0)*0.475*44/12</f>
        <v>0</v>
      </c>
      <c r="AC63" s="24">
        <f t="shared" si="3"/>
        <v>1.7634012592929595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4.4508333333333328</v>
      </c>
      <c r="AI63" s="14">
        <f>IF('Données projet'!$A$62&gt;35,AI62+AH63-AQ62,IF(A63&lt;'Données projet'!$A$62,$AF$205^A63,IF(A63='Données projet'!$A$62,'Données projet'!$B$62,AI62+AH63-AQ62)))</f>
        <v>221.36916666666636</v>
      </c>
      <c r="AJ63" s="14">
        <f>AI63*VLOOKUP('Données projet'!$B$10,Paramètres!$A$1:$I$89,3,0)*VLOOKUP('Données projet'!$B$10,Paramètres!$A$1:$I$89,5,0)</f>
        <v>224.46833499999971</v>
      </c>
      <c r="AK63" s="14">
        <f t="shared" si="35"/>
        <v>55.084916841415307</v>
      </c>
      <c r="AL63" s="22">
        <f t="shared" si="4"/>
        <v>486.88858029046446</v>
      </c>
      <c r="AM63" s="62">
        <f t="shared" si="5"/>
        <v>780.22191362379772</v>
      </c>
      <c r="AN63" s="62">
        <f ca="1">AVERAGE(OFFSET($AM$3,0,0,'Données projet'!$E$10+1,1))-AVERAGE(OFFSET($H$3,0,0,'Données projet'!$E$10+1,1))</f>
        <v>384.66322295929552</v>
      </c>
      <c r="AO63" s="62">
        <f t="shared" si="36"/>
        <v>248.53970183513286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0.66847028696228505</v>
      </c>
      <c r="AV63" s="23">
        <f>EXP(-LN(2)/25)*AV62+(1-EXP(-LN(2)/25))/(LN(2)/25)*Calculateur!AQ63*Calculateur!AS63*VLOOKUP('Données projet'!$B$10,Paramètres!$A$1:$I$89,3,0)*0.475*44/12</f>
        <v>0.94931535410067502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1.6177856410629601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343.79999999999995</v>
      </c>
      <c r="BE63" s="14">
        <f>BD63*VLOOKUP('Données projet'!$B$11,Paramètres!$A$1:$I$89,3,0)*VLOOKUP('Données projet'!$B$11,Paramètres!$A$1:$I$89,5,0)</f>
        <v>205.5924</v>
      </c>
      <c r="BF63" s="14">
        <f t="shared" si="37"/>
        <v>50.971228364263673</v>
      </c>
      <c r="BG63" s="22">
        <f t="shared" si="7"/>
        <v>446.84831940109251</v>
      </c>
      <c r="BH63" s="62">
        <f t="shared" si="8"/>
        <v>740.18165273442582</v>
      </c>
      <c r="BI63" s="62">
        <f ca="1">AVERAGE(OFFSET($BH$3,0,0,'Données projet'!$E$11+1,1))-AVERAGE(OFFSET($H$3,0,0,'Données projet'!$E$11+1,1))</f>
        <v>146.25807703055079</v>
      </c>
      <c r="BJ63" s="62">
        <f t="shared" si="38"/>
        <v>177.40137940534413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5.2573182980363358</v>
      </c>
      <c r="BQ63" s="23">
        <f>EXP(-LN(2)/25)*BQ62+(1-EXP(-LN(2)/25))/(LN(2)/25)*Calculateur!BL63*Calculateur!BN63*VLOOKUP('Données projet'!$B$11,Paramètres!$A$1:$I$89,3,0)*0.475*44/12</f>
        <v>4.246541420480086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9.5038597185164218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14.816666666666668</v>
      </c>
      <c r="BY63" s="13">
        <f>IF('Données projet'!$A$114&gt;35,BY62+BX63-CG62,IF(A63&lt;'Données projet'!$A$114,$BV$205^A63,IF(A63='Données projet'!$A$114,'Données projet'!$B$114,BY62+BX63-CG62)))</f>
        <v>596.19333333333384</v>
      </c>
      <c r="BZ63" s="14">
        <f>BY63*VLOOKUP('Données projet'!$B$12,Paramètres!$A$1:$I$89,3,0)*VLOOKUP('Données projet'!$B$12,Paramètres!$A$1:$I$89,5,0)</f>
        <v>279.01848000000024</v>
      </c>
      <c r="CA63" s="14">
        <f t="shared" si="39"/>
        <v>66.759543116763297</v>
      </c>
      <c r="CB63" s="22">
        <f t="shared" si="10"/>
        <v>602.23005692836307</v>
      </c>
      <c r="CC63" s="62">
        <f t="shared" si="11"/>
        <v>895.56339026169644</v>
      </c>
      <c r="CD63" s="62">
        <f ca="1">AVERAGE(OFFSET($CC$3,0,0,'Données projet'!$E$12+1,1))-AVERAGE(OFFSET($H$3,0,0,'Données projet'!$E$12+1,1))</f>
        <v>287.12723448949828</v>
      </c>
      <c r="CE63" s="62">
        <f t="shared" si="40"/>
        <v>170.5203352323382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0.92521224830542814</v>
      </c>
      <c r="CL63" s="23">
        <f>EXP(-LN(2)/25)*CL62+(1-EXP(-LN(2)/25))/(LN(2)/25)*Calculateur!CG63*Calculateur!CI63*VLOOKUP('Données projet'!$B$12,Paramètres!$A$1:$I$89,3,0)*0.475*44/12</f>
        <v>9.0748933217846552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10.000105570090083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8.0991666666666671</v>
      </c>
      <c r="CT63" s="13">
        <f>IF('Données projet'!$A$140&gt;35,CT62+CS63-DB62,IF(A63&lt;'Données projet'!$A$140,$CQ$205^A63,IF(A63='Données projet'!$A$140,'Données projet'!$B$140,CT62+CS63-DB62)))</f>
        <v>402.93083333333385</v>
      </c>
      <c r="CU63" s="18">
        <f>CT63*VLOOKUP('Données projet'!$B$13,Paramètres!$A$1:$I$89,3,0)*VLOOKUP('Données projet'!$B$13,Paramètres!$A$1:$I$89,5,0)</f>
        <v>389.7147020000005</v>
      </c>
      <c r="CV63" s="14">
        <f t="shared" si="41"/>
        <v>89.688328119161739</v>
      </c>
      <c r="CW63" s="22">
        <f t="shared" si="13"/>
        <v>834.96027745754088</v>
      </c>
      <c r="CX63" s="62">
        <f t="shared" si="14"/>
        <v>1128.2936107908743</v>
      </c>
      <c r="CY63" s="62">
        <f ca="1">AVERAGE(OFFSET($CX$3,0,0,'Données projet'!$E$13+1,1))-AVERAGE(OFFSET($H$3,0,0,'Données projet'!$E$13+1,1))</f>
        <v>467.37715054082025</v>
      </c>
      <c r="CZ63" s="62">
        <f t="shared" si="42"/>
        <v>443.35096563136415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0.77361632257119095</v>
      </c>
      <c r="DG63" s="23">
        <f>EXP(-LN(2)/25)*DG62+(1-EXP(-LN(2)/25))/(LN(2)/25)*Calculateur!DB63*Calculateur!DD63*VLOOKUP('Données projet'!$B$13,Paramètres!$A$1:$I$89,3,0)*0.475*44/12</f>
        <v>1.0593994774943061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1.833015800065497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8.0991666666666671</v>
      </c>
      <c r="DO63" s="13">
        <f>IF('Données projet'!$A$166&gt;35,DO62+DN63-DW62,IF(A63&lt;'Données projet'!$A$166,$DL$205^A63,IF(A63='Données projet'!$A$166,'Données projet'!$B$166,DO62+DN63-DW62)))</f>
        <v>402.93083333333385</v>
      </c>
      <c r="DP63" s="18">
        <f>DO63*VLOOKUP('Données projet'!$B$14,Paramètres!$A$1:$I$89,3,0)*VLOOKUP('Données projet'!$B$14,Paramètres!$A$1:$I$89,5,0)</f>
        <v>433.7147490000005</v>
      </c>
      <c r="DQ63" s="14">
        <f t="shared" si="43"/>
        <v>98.579290507975301</v>
      </c>
      <c r="DR63" s="22">
        <f t="shared" si="16"/>
        <v>927.07878547639109</v>
      </c>
      <c r="DS63" s="62">
        <f t="shared" si="17"/>
        <v>1220.4121188097245</v>
      </c>
      <c r="DT63" s="62">
        <f ca="1">AVERAGE(OFFSET($DS$3,0,0,'Données projet'!$E$14+1,1))-AVERAGE(OFFSET($H$3,0,0,'Données projet'!$E$14+1,1))</f>
        <v>524.51242549438939</v>
      </c>
      <c r="DU63" s="62">
        <f t="shared" si="44"/>
        <v>494.88778446576327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0.86096010092600272</v>
      </c>
      <c r="EB63" s="23">
        <f>EXP(-LN(2)/25)*EB62+(1-EXP(-LN(2)/25))/(LN(2)/25)*Calculateur!DW63*Calculateur!DY63*VLOOKUP('Données projet'!$B$14,Paramètres!$A$1:$I$89,3,0)*0.475*44/12</f>
        <v>1.1790090959210817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2.0399691968470846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378.48758380565391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>
        <f>VLOOKUP(A64,'Données projet'!$A$35:$I$55,2,0)</f>
        <v>238.2</v>
      </c>
      <c r="L64" s="13">
        <f>VLOOKUP(A64,'Données projet'!$A$35:$I$55,9,0)</f>
        <v>5.4841666666666642</v>
      </c>
      <c r="M64" s="13">
        <f t="array" ref="M64">INDEX(L:L,MIN(IF(ISNUMBER(L64:L260),ROW(L64:L260),"")))</f>
        <v>5.4841666666666642</v>
      </c>
      <c r="N64" s="14">
        <f>IF('Données projet'!$A$36&gt;35,N63+M64-V63,IF(A64&lt;'Données projet'!$A$36,$K$205^A64,IF(A64='Données projet'!$A$36,'Données projet'!$B$36,N63+M64-V63)))</f>
        <v>238.19999999999973</v>
      </c>
      <c r="O64" s="14">
        <f>N64*VLOOKUP('Données projet'!$B$9,Paramètres!$A$1:$I$89,3,0)*VLOOKUP('Données projet'!$B$9,Paramètres!$A$1:$I$89,5,0)</f>
        <v>215.52335999999974</v>
      </c>
      <c r="P64" s="14">
        <f t="shared" si="33"/>
        <v>53.140749043882479</v>
      </c>
      <c r="Q64" s="22">
        <f t="shared" si="53"/>
        <v>467.92332325142814</v>
      </c>
      <c r="R64" s="62">
        <f t="shared" si="0"/>
        <v>761.25665658476146</v>
      </c>
      <c r="S64" s="62">
        <f ca="1">AVERAGE(OFFSET($R$3,0,0,'Données projet'!$E$9+1,1))-AVERAGE(OFFSET($H$3,0,0,'Données projet'!$E$9+1,1))</f>
        <v>299.17641394512162</v>
      </c>
      <c r="T64" s="62">
        <f t="shared" si="34"/>
        <v>180.73046320039873</v>
      </c>
      <c r="U64" s="16">
        <f>IF(ISNA(VLOOKUP(A64,'Données projet'!$A$35:$I$55,3,0)),0,VLOOKUP(A64,'Données projet'!$A$35:$I$55,3,0))</f>
        <v>4</v>
      </c>
      <c r="V64" s="16">
        <f>IF(ISNA(VLOOKUP(A64,'Données projet'!$A$35:$I$55,4,0)),0,VLOOKUP(A64,'Données projet'!$A$35:$I$55,4,0))</f>
        <v>23.82</v>
      </c>
      <c r="W64" s="17">
        <f>IF(ISNA(VLOOKUP(A64,'Données projet'!$A$35:$I$55,5,0)),0%,VLOOKUP(A64,'Données projet'!$A$35:$I$55,5,0)*VLOOKUP('Données projet'!$B$9,Paramètres!$A$1:$I$89,7,0))</f>
        <v>6.4500000000000002E-2</v>
      </c>
      <c r="X64" s="17">
        <f>IF(ISNA(VLOOKUP(A64,'Données projet'!$A$35:$I$55,6,0)),0%,VLOOKUP(A64,'Données projet'!$A$35:$I$55,6,0)*VLOOKUP('Données projet'!$B$9,Paramètres!$A$1:$I$89,7,0))</f>
        <v>7.3099999999999998E-2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2.3164554835981024</v>
      </c>
      <c r="AA64" s="23">
        <f>EXP(-LN(2)/25)*AA63+(1-EXP(-LN(2)/25))/(LN(2)/25)*Calculateur!V64*Calculateur!X64*VLOOKUP('Données projet'!$B$9,Paramètres!$A$1:$I$89,3,0)*0.475*44/12</f>
        <v>2.6764047466751766</v>
      </c>
      <c r="AB64" s="23">
        <f>EXP(-LN(2)/2)*AB63+(1-EXP(-LN(2)/2))/(LN(2)/2)*V64*Y64*VLOOKUP('Données projet'!$B$9,Paramètres!$A$1:$I$89,3,0)*0.475*44/12</f>
        <v>0</v>
      </c>
      <c r="AC64" s="24">
        <f t="shared" si="3"/>
        <v>4.992860230273279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>
        <f>VLOOKUP(A64,'Données projet'!$A$61:$I$81,2,0)</f>
        <v>225.82</v>
      </c>
      <c r="AG64" s="13">
        <f>VLOOKUP(A64,'Données projet'!$A$61:$I$81,9,0)</f>
        <v>4.4508333333333328</v>
      </c>
      <c r="AH64" s="13">
        <f t="array" ref="AH64">INDEX(AG:AG,MIN(IF(ISNUMBER(AG64:AG260),ROW(AG64:AG260),"")))</f>
        <v>4.4508333333333328</v>
      </c>
      <c r="AI64" s="14">
        <f>IF('Données projet'!$A$62&gt;35,AI63+AH64-AQ63,IF(A64&lt;'Données projet'!$A$62,$AF$205^A64,IF(A64='Données projet'!$A$62,'Données projet'!$B$62,AI63+AH64-AQ63)))</f>
        <v>225.81999999999968</v>
      </c>
      <c r="AJ64" s="14">
        <f>AI64*VLOOKUP('Données projet'!$B$10,Paramètres!$A$1:$I$89,3,0)*VLOOKUP('Données projet'!$B$10,Paramètres!$A$1:$I$89,5,0)</f>
        <v>228.98147999999966</v>
      </c>
      <c r="AK64" s="14">
        <f t="shared" si="35"/>
        <v>56.062396841097936</v>
      </c>
      <c r="AL64" s="22">
        <f t="shared" si="4"/>
        <v>496.45141883157822</v>
      </c>
      <c r="AM64" s="62">
        <f t="shared" si="5"/>
        <v>789.78475216491154</v>
      </c>
      <c r="AN64" s="62">
        <f ca="1">AVERAGE(OFFSET($AM$3,0,0,'Données projet'!$E$10+1,1))-AVERAGE(OFFSET($H$3,0,0,'Données projet'!$E$10+1,1))</f>
        <v>384.66322295929552</v>
      </c>
      <c r="AO64" s="62">
        <f t="shared" si="36"/>
        <v>248.53970183513286</v>
      </c>
      <c r="AP64" s="16">
        <f>IF(ISNA(VLOOKUP(A64,'Données projet'!$A$61:$I$81,3,0)),0,VLOOKUP(A64,'Données projet'!$A$61:$I$81,3,0))</f>
        <v>4</v>
      </c>
      <c r="AQ64" s="16">
        <f>IF(ISNA(VLOOKUP(A64,'Données projet'!$A$61:$I$81,4,0)),0,VLOOKUP(A64,'Données projet'!$A$61:$I$81,4,0))</f>
        <v>22.58</v>
      </c>
      <c r="AR64" s="17">
        <f>IF(ISNA(VLOOKUP(A64,'Données projet'!$A$61:$I$81,5,0)),0%,VLOOKUP(A64,'Données projet'!$A$61:$I$81,5,0)*VLOOKUP('Données projet'!$B$10,Paramètres!$A$1:$I$89,7,0))</f>
        <v>5.16E-2</v>
      </c>
      <c r="AS64" s="17">
        <f>IF(ISNA(VLOOKUP(A64,'Données projet'!$A$61:$I$81,6,0)),0%,VLOOKUP(A64,'Données projet'!$A$61:$I$81,6,0)*VLOOKUP('Données projet'!$B$10,Paramètres!$A$1:$I$89,7,0))</f>
        <v>6.0200000000000004E-2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1.9614086876191394</v>
      </c>
      <c r="AV64" s="23">
        <f>EXP(-LN(2)/25)*AV63+(1-EXP(-LN(2)/25))/(LN(2)/25)*Calculateur!AQ64*Calculateur!AS64*VLOOKUP('Données projet'!$B$10,Paramètres!$A$1:$I$89,3,0)*0.475*44/12</f>
        <v>2.4410779495585917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4.4024866371777307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343.79999999999995</v>
      </c>
      <c r="BE64" s="14">
        <f>BD64*VLOOKUP('Données projet'!$B$11,Paramètres!$A$1:$I$89,3,0)*VLOOKUP('Données projet'!$B$11,Paramètres!$A$1:$I$89,5,0)</f>
        <v>205.5924</v>
      </c>
      <c r="BF64" s="14">
        <f t="shared" si="37"/>
        <v>50.971228364263673</v>
      </c>
      <c r="BG64" s="22">
        <f t="shared" si="7"/>
        <v>446.84831940109251</v>
      </c>
      <c r="BH64" s="62">
        <f t="shared" si="8"/>
        <v>740.18165273442582</v>
      </c>
      <c r="BI64" s="62">
        <f ca="1">AVERAGE(OFFSET($BH$3,0,0,'Données projet'!$E$11+1,1))-AVERAGE(OFFSET($H$3,0,0,'Données projet'!$E$11+1,1))</f>
        <v>146.25807703055079</v>
      </c>
      <c r="BJ64" s="62">
        <f t="shared" si="38"/>
        <v>177.40137940534413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5.1542254928593749</v>
      </c>
      <c r="BQ64" s="23">
        <f>EXP(-LN(2)/25)*BQ63+(1-EXP(-LN(2)/25))/(LN(2)/25)*Calculateur!BL64*Calculateur!BN64*VLOOKUP('Données projet'!$B$11,Paramètres!$A$1:$I$89,3,0)*0.475*44/12</f>
        <v>4.1304195220211506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9.2846450148805246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>
        <f>VLOOKUP(A64,'Données projet'!$A$113:$I$133,2,0)</f>
        <v>611.01</v>
      </c>
      <c r="BW64" s="13">
        <f>VLOOKUP(A64,'Données projet'!$A$113:$I$133,9,0)</f>
        <v>14.816666666666668</v>
      </c>
      <c r="BX64" s="13">
        <f t="array" ref="BX64">INDEX(BW:BW,MIN(IF(ISNUMBER(BW64:BW260),ROW(BW64:BW260),"")))</f>
        <v>14.816666666666668</v>
      </c>
      <c r="BY64" s="13">
        <f>IF('Données projet'!$A$114&gt;35,BY63+BX64-CG63,IF(A64&lt;'Données projet'!$A$114,$BV$205^A64,IF(A64='Données projet'!$A$114,'Données projet'!$B$114,BY63+BX64-CG63)))</f>
        <v>611.01000000000056</v>
      </c>
      <c r="BZ64" s="14">
        <f>BY64*VLOOKUP('Données projet'!$B$12,Paramètres!$A$1:$I$89,3,0)*VLOOKUP('Données projet'!$B$12,Paramètres!$A$1:$I$89,5,0)</f>
        <v>285.95268000000027</v>
      </c>
      <c r="CA64" s="14">
        <f t="shared" si="39"/>
        <v>68.223436963639557</v>
      </c>
      <c r="CB64" s="22">
        <f t="shared" si="10"/>
        <v>616.85673704500607</v>
      </c>
      <c r="CC64" s="62">
        <f t="shared" si="11"/>
        <v>910.19007037833944</v>
      </c>
      <c r="CD64" s="62">
        <f ca="1">AVERAGE(OFFSET($CC$3,0,0,'Données projet'!$E$12+1,1))-AVERAGE(OFFSET($H$3,0,0,'Données projet'!$E$12+1,1))</f>
        <v>287.12723448949828</v>
      </c>
      <c r="CE64" s="62">
        <f t="shared" si="40"/>
        <v>170.5203352323382</v>
      </c>
      <c r="CF64" s="16">
        <f>IF(ISNA(VLOOKUP(A64,'Données projet'!$A$113:$I$133,3,0)),0,VLOOKUP(A64,'Données projet'!$A$113:$I$133,3,0))</f>
        <v>4</v>
      </c>
      <c r="CG64" s="16">
        <f>IF(ISNA(VLOOKUP(A64,'Données projet'!$A$113:$I$133,4,0)),0,VLOOKUP(A64,'Données projet'!$A$113:$I$133,4,0))</f>
        <v>61.1</v>
      </c>
      <c r="CH64" s="17">
        <f>IF(ISNA(VLOOKUP(A64,'Données projet'!$A$113:$I$133,5,0)),0%,VLOOKUP(A64,'Données projet'!$A$113:$I$133,5,0)*VLOOKUP('Données projet'!$B$12,Paramètres!$A$1:$I$89,7,0))</f>
        <v>4.9500000000000002E-2</v>
      </c>
      <c r="CI64" s="17">
        <f>IF(ISNA(VLOOKUP(A64,'Données projet'!$A$113:$I$133,6,0)),0%,VLOOKUP(A64,'Données projet'!$A$113:$I$133,6,0)*VLOOKUP('Données projet'!$B$12,Paramètres!$A$1:$I$89,7,0))</f>
        <v>0.29700000000000004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2.7847452423148349</v>
      </c>
      <c r="CL64" s="23">
        <f>EXP(-LN(2)/25)*CL63+(1-EXP(-LN(2)/25))/(LN(2)/25)*Calculateur!CG64*Calculateur!CI64*VLOOKUP('Données projet'!$B$12,Paramètres!$A$1:$I$89,3,0)*0.475*44/12</f>
        <v>20.04843618648183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22.833181428796664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>
        <f>VLOOKUP(A64,'Données projet'!$A$139:$I$159,2,0)</f>
        <v>411.03</v>
      </c>
      <c r="CR64" s="13">
        <f>VLOOKUP(A64,'Données projet'!$A$139:$I$159,9,0)</f>
        <v>8.0991666666666671</v>
      </c>
      <c r="CS64" s="13">
        <f t="array" ref="CS64">INDEX(CR:CR,MIN(IF(ISNUMBER(CR64:CR260),ROW(CR64:CR260),"")))</f>
        <v>8.0991666666666671</v>
      </c>
      <c r="CT64" s="13">
        <f>IF('Données projet'!$A$140&gt;35,CT63+CS64-DB63,IF(A64&lt;'Données projet'!$A$140,$CQ$205^A64,IF(A64='Données projet'!$A$140,'Données projet'!$B$140,CT63+CS64-DB63)))</f>
        <v>411.03000000000054</v>
      </c>
      <c r="CU64" s="18">
        <f>CT64*VLOOKUP('Données projet'!$B$13,Paramètres!$A$1:$I$89,3,0)*VLOOKUP('Données projet'!$B$13,Paramètres!$A$1:$I$89,5,0)</f>
        <v>397.54821600000054</v>
      </c>
      <c r="CV64" s="14">
        <f t="shared" si="41"/>
        <v>91.279425916786096</v>
      </c>
      <c r="CW64" s="22">
        <f t="shared" si="13"/>
        <v>851.37480967173678</v>
      </c>
      <c r="CX64" s="62">
        <f t="shared" si="14"/>
        <v>1144.70814300507</v>
      </c>
      <c r="CY64" s="62">
        <f ca="1">AVERAGE(OFFSET($CX$3,0,0,'Données projet'!$E$13+1,1))-AVERAGE(OFFSET($H$3,0,0,'Données projet'!$E$13+1,1))</f>
        <v>467.37715054082025</v>
      </c>
      <c r="CZ64" s="62">
        <f t="shared" si="42"/>
        <v>443.35096563136415</v>
      </c>
      <c r="DA64" s="16">
        <f>IF(ISNA(VLOOKUP(A64,'Données projet'!$A$139:$I$159,3,0)),0,VLOOKUP(A64,'Données projet'!$A$139:$I$159,3,0))</f>
        <v>4</v>
      </c>
      <c r="DB64" s="16">
        <f>IF(ISNA(VLOOKUP(A64,'Données projet'!$A$139:$I$159,4,0)),0,VLOOKUP(A64,'Données projet'!$A$139:$I$159,4,0))</f>
        <v>41.1</v>
      </c>
      <c r="DC64" s="17">
        <f>IF(ISNA(VLOOKUP(A64,'Données projet'!$A$139:$I$159,5,0)),0%,VLOOKUP(A64,'Données projet'!$A$139:$I$159,5,0)*VLOOKUP('Données projet'!$B$13,Paramètres!$A$1:$I$89,7,0))</f>
        <v>3.8699999999999998E-2</v>
      </c>
      <c r="DD64" s="17">
        <f>IF(ISNA(VLOOKUP(A64,'Données projet'!$A$139:$I$159,6,0)),0%,VLOOKUP(A64,'Données projet'!$A$139:$I$159,6,0)*VLOOKUP('Données projet'!$B$13,Paramètres!$A$1:$I$89,7,0))</f>
        <v>4.3000000000000003E-2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2.4591010408110412</v>
      </c>
      <c r="DG64" s="23">
        <f>EXP(-LN(2)/25)*DG63+(1-EXP(-LN(2)/25))/(LN(2)/25)*Calculateur!DB64*Calculateur!DD64*VLOOKUP('Données projet'!$B$13,Paramètres!$A$1:$I$89,3,0)*0.475*44/12</f>
        <v>2.9126065167066857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5.3717075575177269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>
        <f>VLOOKUP(A64,'Données projet'!$A$165:$I$185,2,0)</f>
        <v>411.03</v>
      </c>
      <c r="DM64" s="13">
        <f>VLOOKUP(A64,'Données projet'!$A$165:$I$185,9,0)</f>
        <v>8.0991666666666671</v>
      </c>
      <c r="DN64" s="13">
        <f t="array" ref="DN64">INDEX(DM:DM,MIN(IF(ISNUMBER(DM64:DM260),ROW(DM64:DM260),"")))</f>
        <v>8.0991666666666671</v>
      </c>
      <c r="DO64" s="13">
        <f>IF('Données projet'!$A$166&gt;35,DO63+DN64-DW63,IF(A64&lt;'Données projet'!$A$166,$DL$205^A64,IF(A64='Données projet'!$A$166,'Données projet'!$B$166,DO63+DN64-DW63)))</f>
        <v>411.03000000000054</v>
      </c>
      <c r="DP64" s="18">
        <f>DO64*VLOOKUP('Données projet'!$B$14,Paramètres!$A$1:$I$89,3,0)*VLOOKUP('Données projet'!$B$14,Paramètres!$A$1:$I$89,5,0)</f>
        <v>442.43269200000054</v>
      </c>
      <c r="DQ64" s="14">
        <f t="shared" si="43"/>
        <v>100.32811664073819</v>
      </c>
      <c r="DR64" s="22">
        <f t="shared" si="16"/>
        <v>945.30840838262009</v>
      </c>
      <c r="DS64" s="62">
        <f t="shared" si="17"/>
        <v>1238.6417417159535</v>
      </c>
      <c r="DT64" s="62">
        <f ca="1">AVERAGE(OFFSET($DS$3,0,0,'Données projet'!$E$14+1,1))-AVERAGE(OFFSET($H$3,0,0,'Données projet'!$E$14+1,1))</f>
        <v>524.51242549438939</v>
      </c>
      <c r="DU64" s="62">
        <f t="shared" si="44"/>
        <v>494.88778446576327</v>
      </c>
      <c r="DV64" s="16">
        <f>IF(ISNA(VLOOKUP(A64,'Données projet'!$A$165:$I$185,3,0)),0,VLOOKUP(A64,'Données projet'!$A$165:$I$185,3,0))</f>
        <v>4</v>
      </c>
      <c r="DW64" s="16">
        <f>IF(ISNA(VLOOKUP(A64,'Données projet'!$A$165:$I$185,4,0)),0,VLOOKUP(A64,'Données projet'!$A$165:$I$185,4,0))</f>
        <v>41.1</v>
      </c>
      <c r="DX64" s="17">
        <f>IF(ISNA(VLOOKUP(A64,'Données projet'!$A$165:$I$185,5,0)),0%,VLOOKUP(A64,'Données projet'!$A$165:$I$185,5,0)*VLOOKUP('Données projet'!$B$14,Paramètres!$A$1:$I$89,7,0))</f>
        <v>3.8699999999999998E-2</v>
      </c>
      <c r="DY64" s="17">
        <f>IF(ISNA(VLOOKUP(A64,'Données projet'!$A$165:$I$185,6,0)),0%,VLOOKUP(A64,'Données projet'!$A$165:$I$185,6,0)*VLOOKUP('Données projet'!$B$14,Paramètres!$A$1:$I$89,7,0))</f>
        <v>4.3000000000000003E-2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2.7367414809026096</v>
      </c>
      <c r="EB64" s="23">
        <f>EXP(-LN(2)/25)*EB63+(1-EXP(-LN(2)/25))/(LN(2)/25)*Calculateur!DW64*Calculateur!DY64*VLOOKUP('Données projet'!$B$14,Paramètres!$A$1:$I$89,3,0)*0.475*44/12</f>
        <v>3.2414491879477616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5.9781906688503712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380.43208155058352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5.0166666666666657</v>
      </c>
      <c r="N65" s="14">
        <f>IF('Données projet'!$A$36&gt;35,N64+M65-V64,IF(A65&lt;'Données projet'!$A$36,$K$205^A65,IF(A65='Données projet'!$A$36,'Données projet'!$B$36,N64+M65-V64)))</f>
        <v>219.39666666666642</v>
      </c>
      <c r="O65" s="14">
        <f>N65*VLOOKUP('Données projet'!$B$9,Paramètres!$A$1:$I$89,3,0)*VLOOKUP('Données projet'!$B$9,Paramètres!$A$1:$I$89,5,0)</f>
        <v>198.51010399999976</v>
      </c>
      <c r="P65" s="14">
        <f t="shared" si="33"/>
        <v>49.416591321924699</v>
      </c>
      <c r="Q65" s="22">
        <f t="shared" si="53"/>
        <v>431.80566101901837</v>
      </c>
      <c r="R65" s="62">
        <f t="shared" si="0"/>
        <v>725.13899435235169</v>
      </c>
      <c r="S65" s="62">
        <f ca="1">AVERAGE(OFFSET($R$3,0,0,'Données projet'!$E$9+1,1))-AVERAGE(OFFSET($H$3,0,0,'Données projet'!$E$9+1,1))</f>
        <v>299.17641394512162</v>
      </c>
      <c r="T65" s="62">
        <f t="shared" si="34"/>
        <v>180.73046320039873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2.2710312044630765</v>
      </c>
      <c r="AA65" s="23">
        <f>EXP(-LN(2)/25)*AA64+(1-EXP(-LN(2)/25))/(LN(2)/25)*Calculateur!V65*Calculateur!X65*VLOOKUP('Données projet'!$B$9,Paramètres!$A$1:$I$89,3,0)*0.475*44/12</f>
        <v>2.6032183181313351</v>
      </c>
      <c r="AB65" s="23">
        <f>EXP(-LN(2)/2)*AB64+(1-EXP(-LN(2)/2))/(LN(2)/2)*V65*Y65*VLOOKUP('Données projet'!$B$9,Paramètres!$A$1:$I$89,3,0)*0.475*44/12</f>
        <v>0</v>
      </c>
      <c r="AC65" s="24">
        <f t="shared" si="3"/>
        <v>4.8742495225944111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4.4491666666666658</v>
      </c>
      <c r="AI65" s="14">
        <f>IF('Données projet'!$A$62&gt;35,AI64+AH65-AQ64,IF(A65&lt;'Données projet'!$A$62,$AF$205^A65,IF(A65='Données projet'!$A$62,'Données projet'!$B$62,AI64+AH65-AQ64)))</f>
        <v>207.68916666666632</v>
      </c>
      <c r="AJ65" s="14">
        <f>AI65*VLOOKUP('Données projet'!$B$10,Paramètres!$A$1:$I$89,3,0)*VLOOKUP('Données projet'!$B$10,Paramètres!$A$1:$I$89,5,0)</f>
        <v>210.59681499999968</v>
      </c>
      <c r="AK65" s="14">
        <f t="shared" si="35"/>
        <v>52.065983242516253</v>
      </c>
      <c r="AL65" s="22">
        <f t="shared" si="4"/>
        <v>457.47104027238191</v>
      </c>
      <c r="AM65" s="62">
        <f t="shared" si="5"/>
        <v>750.80437360571523</v>
      </c>
      <c r="AN65" s="62">
        <f ca="1">AVERAGE(OFFSET($AM$3,0,0,'Données projet'!$E$10+1,1))-AVERAGE(OFFSET($H$3,0,0,'Données projet'!$E$10+1,1))</f>
        <v>384.66322295929552</v>
      </c>
      <c r="AO65" s="62">
        <f t="shared" si="36"/>
        <v>248.53970183513286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1.9229466595960987</v>
      </c>
      <c r="AV65" s="23">
        <f>EXP(-LN(2)/25)*AV64+(1-EXP(-LN(2)/25))/(LN(2)/25)*Calculateur!AQ65*Calculateur!AS65*VLOOKUP('Données projet'!$B$10,Paramètres!$A$1:$I$89,3,0)*0.475*44/12</f>
        <v>2.3743265446572019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4.2972732042533011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343.79999999999995</v>
      </c>
      <c r="BE65" s="14">
        <f>BD65*VLOOKUP('Données projet'!$B$11,Paramètres!$A$1:$I$89,3,0)*VLOOKUP('Données projet'!$B$11,Paramètres!$A$1:$I$89,5,0)</f>
        <v>205.5924</v>
      </c>
      <c r="BF65" s="14">
        <f t="shared" si="37"/>
        <v>50.971228364263673</v>
      </c>
      <c r="BG65" s="22">
        <f t="shared" si="7"/>
        <v>446.84831940109251</v>
      </c>
      <c r="BH65" s="62">
        <f t="shared" si="8"/>
        <v>740.18165273442582</v>
      </c>
      <c r="BI65" s="62">
        <f ca="1">AVERAGE(OFFSET($BH$3,0,0,'Données projet'!$E$11+1,1))-AVERAGE(OFFSET($H$3,0,0,'Données projet'!$E$11+1,1))</f>
        <v>146.25807703055079</v>
      </c>
      <c r="BJ65" s="62">
        <f t="shared" si="38"/>
        <v>177.40137940534413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5.0531542747115319</v>
      </c>
      <c r="BQ65" s="23">
        <f>EXP(-LN(2)/25)*BQ64+(1-EXP(-LN(2)/25))/(LN(2)/25)*Calculateur!BL65*Calculateur!BN65*VLOOKUP('Données projet'!$B$11,Paramètres!$A$1:$I$89,3,0)*0.475*44/12</f>
        <v>4.0174729829821594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9.0706272576936904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14.900000000000006</v>
      </c>
      <c r="BY65" s="13">
        <f>IF('Données projet'!$A$114&gt;35,BY64+BX65-CG64,IF(A65&lt;'Données projet'!$A$114,$BV$205^A65,IF(A65='Données projet'!$A$114,'Données projet'!$B$114,BY64+BX65-CG64)))</f>
        <v>564.81000000000051</v>
      </c>
      <c r="BZ65" s="14">
        <f>BY65*VLOOKUP('Données projet'!$B$12,Paramètres!$A$1:$I$89,3,0)*VLOOKUP('Données projet'!$B$12,Paramètres!$A$1:$I$89,5,0)</f>
        <v>264.33108000000027</v>
      </c>
      <c r="CA65" s="14">
        <f t="shared" si="39"/>
        <v>63.644699640035327</v>
      </c>
      <c r="CB65" s="22">
        <f t="shared" si="10"/>
        <v>571.22448287306202</v>
      </c>
      <c r="CC65" s="62">
        <f t="shared" si="11"/>
        <v>864.55781620639527</v>
      </c>
      <c r="CD65" s="62">
        <f ca="1">AVERAGE(OFFSET($CC$3,0,0,'Données projet'!$E$12+1,1))-AVERAGE(OFFSET($H$3,0,0,'Données projet'!$E$12+1,1))</f>
        <v>287.12723448949828</v>
      </c>
      <c r="CE65" s="62">
        <f t="shared" si="40"/>
        <v>170.5203352323382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2.7301380866399234</v>
      </c>
      <c r="CL65" s="23">
        <f>EXP(-LN(2)/25)*CL64+(1-EXP(-LN(2)/25))/(LN(2)/25)*Calculateur!CG65*Calculateur!CI65*VLOOKUP('Données projet'!$B$12,Paramètres!$A$1:$I$89,3,0)*0.475*44/12</f>
        <v>19.500210644661045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22.230348731300968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8.1000000000000032</v>
      </c>
      <c r="CT65" s="13">
        <f>IF('Données projet'!$A$140&gt;35,CT64+CS65-DB64,IF(A65&lt;'Données projet'!$A$140,$CQ$205^A65,IF(A65='Données projet'!$A$140,'Données projet'!$B$140,CT64+CS65-DB64)))</f>
        <v>378.03000000000054</v>
      </c>
      <c r="CU65" s="18">
        <f>CT65*VLOOKUP('Données projet'!$B$13,Paramètres!$A$1:$I$89,3,0)*VLOOKUP('Données projet'!$B$13,Paramètres!$A$1:$I$89,5,0)</f>
        <v>365.63061600000054</v>
      </c>
      <c r="CV65" s="14">
        <f t="shared" si="41"/>
        <v>84.772787858520473</v>
      </c>
      <c r="CW65" s="22">
        <f t="shared" si="13"/>
        <v>784.45259505359081</v>
      </c>
      <c r="CX65" s="62">
        <f t="shared" si="14"/>
        <v>1077.7859283869241</v>
      </c>
      <c r="CY65" s="62">
        <f ca="1">AVERAGE(OFFSET($CX$3,0,0,'Données projet'!$E$13+1,1))-AVERAGE(OFFSET($H$3,0,0,'Données projet'!$E$13+1,1))</f>
        <v>467.37715054082025</v>
      </c>
      <c r="CZ65" s="62">
        <f t="shared" si="42"/>
        <v>443.35096563136415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2.4108795693042686</v>
      </c>
      <c r="DG65" s="23">
        <f>EXP(-LN(2)/25)*DG64+(1-EXP(-LN(2)/25))/(LN(2)/25)*Calculateur!DB65*Calculateur!DD65*VLOOKUP('Données projet'!$B$13,Paramètres!$A$1:$I$89,3,0)*0.475*44/12</f>
        <v>2.8329611383400217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5.2438407076442903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8.1000000000000032</v>
      </c>
      <c r="DO65" s="13">
        <f>IF('Données projet'!$A$166&gt;35,DO64+DN65-DW64,IF(A65&lt;'Données projet'!$A$166,$DL$205^A65,IF(A65='Données projet'!$A$166,'Données projet'!$B$166,DO64+DN65-DW64)))</f>
        <v>378.03000000000054</v>
      </c>
      <c r="DP65" s="18">
        <f>DO65*VLOOKUP('Données projet'!$B$14,Paramètres!$A$1:$I$89,3,0)*VLOOKUP('Données projet'!$B$14,Paramètres!$A$1:$I$89,5,0)</f>
        <v>406.91149200000058</v>
      </c>
      <c r="DQ65" s="14">
        <f t="shared" si="43"/>
        <v>93.17646405865635</v>
      </c>
      <c r="DR65" s="22">
        <f t="shared" si="16"/>
        <v>870.98652346882739</v>
      </c>
      <c r="DS65" s="62">
        <f t="shared" si="17"/>
        <v>1164.3198568021608</v>
      </c>
      <c r="DT65" s="62">
        <f ca="1">AVERAGE(OFFSET($DS$3,0,0,'Données projet'!$E$14+1,1))-AVERAGE(OFFSET($H$3,0,0,'Données projet'!$E$14+1,1))</f>
        <v>524.51242549438939</v>
      </c>
      <c r="DU65" s="62">
        <f t="shared" si="44"/>
        <v>494.88778446576327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2.6830756497095885</v>
      </c>
      <c r="EB65" s="23">
        <f>EXP(-LN(2)/25)*EB64+(1-EXP(-LN(2)/25))/(LN(2)/25)*Calculateur!DW65*Calculateur!DY65*VLOOKUP('Données projet'!$B$14,Paramètres!$A$1:$I$89,3,0)*0.475*44/12</f>
        <v>3.1528115894429258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5.8358872391525143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382.37583686147428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5.0166666666666657</v>
      </c>
      <c r="N66" s="14">
        <f>IF('Données projet'!$A$36&gt;35,N65+M66-V65,IF(A66&lt;'Données projet'!$A$36,$K$205^A66,IF(A66='Données projet'!$A$36,'Données projet'!$B$36,N65+M66-V65)))</f>
        <v>224.41333333333307</v>
      </c>
      <c r="O66" s="14">
        <f>N66*VLOOKUP('Données projet'!$B$9,Paramètres!$A$1:$I$89,3,0)*VLOOKUP('Données projet'!$B$9,Paramètres!$A$1:$I$89,5,0)</f>
        <v>203.04918399999977</v>
      </c>
      <c r="P66" s="14">
        <f t="shared" si="33"/>
        <v>50.413694821082984</v>
      </c>
      <c r="Q66" s="22">
        <f t="shared" si="53"/>
        <v>441.44784728005243</v>
      </c>
      <c r="R66" s="62">
        <f t="shared" si="0"/>
        <v>734.78118061338569</v>
      </c>
      <c r="S66" s="62">
        <f ca="1">AVERAGE(OFFSET($R$3,0,0,'Données projet'!$E$9+1,1))-AVERAGE(OFFSET($H$3,0,0,'Données projet'!$E$9+1,1))</f>
        <v>299.17641394512162</v>
      </c>
      <c r="T66" s="62">
        <f t="shared" si="34"/>
        <v>180.73046320039873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2.2264976677358139</v>
      </c>
      <c r="AA66" s="23">
        <f>EXP(-LN(2)/25)*AA65+(1-EXP(-LN(2)/25))/(LN(2)/25)*Calculateur!V66*Calculateur!X66*VLOOKUP('Données projet'!$B$9,Paramètres!$A$1:$I$89,3,0)*0.475*44/12</f>
        <v>2.5320331763247319</v>
      </c>
      <c r="AB66" s="23">
        <f>EXP(-LN(2)/2)*AB65+(1-EXP(-LN(2)/2))/(LN(2)/2)*V66*Y66*VLOOKUP('Données projet'!$B$9,Paramètres!$A$1:$I$89,3,0)*0.475*44/12</f>
        <v>0</v>
      </c>
      <c r="AC66" s="24">
        <f t="shared" si="3"/>
        <v>4.7585308440605463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4.4491666666666658</v>
      </c>
      <c r="AI66" s="14">
        <f>IF('Données projet'!$A$62&gt;35,AI65+AH66-AQ65,IF(A66&lt;'Données projet'!$A$62,$AF$205^A66,IF(A66='Données projet'!$A$62,'Données projet'!$B$62,AI65+AH66-AQ65)))</f>
        <v>212.13833333333298</v>
      </c>
      <c r="AJ66" s="14">
        <f>AI66*VLOOKUP('Données projet'!$B$10,Paramètres!$A$1:$I$89,3,0)*VLOOKUP('Données projet'!$B$10,Paramètres!$A$1:$I$89,5,0)</f>
        <v>215.10826999999964</v>
      </c>
      <c r="AK66" s="14">
        <f t="shared" si="35"/>
        <v>53.050304991385644</v>
      </c>
      <c r="AL66" s="22">
        <f t="shared" si="4"/>
        <v>467.04285144332943</v>
      </c>
      <c r="AM66" s="62">
        <f t="shared" si="5"/>
        <v>760.37618477666274</v>
      </c>
      <c r="AN66" s="62">
        <f ca="1">AVERAGE(OFFSET($AM$3,0,0,'Données projet'!$E$10+1,1))-AVERAGE(OFFSET($H$3,0,0,'Données projet'!$E$10+1,1))</f>
        <v>384.66322295929552</v>
      </c>
      <c r="AO66" s="62">
        <f t="shared" si="36"/>
        <v>248.53970183513286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1.8852388484830691</v>
      </c>
      <c r="AV66" s="23">
        <f>EXP(-LN(2)/25)*AV65+(1-EXP(-LN(2)/25))/(LN(2)/25)*Calculateur!AQ66*Calculateur!AS66*VLOOKUP('Données projet'!$B$10,Paramètres!$A$1:$I$89,3,0)*0.475*44/12</f>
        <v>2.3094004604331442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4.1946393089162131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343.79999999999995</v>
      </c>
      <c r="BE66" s="14">
        <f>BD66*VLOOKUP('Données projet'!$B$11,Paramètres!$A$1:$I$89,3,0)*VLOOKUP('Données projet'!$B$11,Paramètres!$A$1:$I$89,5,0)</f>
        <v>205.5924</v>
      </c>
      <c r="BF66" s="14">
        <f t="shared" si="37"/>
        <v>50.971228364263673</v>
      </c>
      <c r="BG66" s="22">
        <f t="shared" si="7"/>
        <v>446.84831940109251</v>
      </c>
      <c r="BH66" s="62">
        <f t="shared" si="8"/>
        <v>740.18165273442582</v>
      </c>
      <c r="BI66" s="62">
        <f ca="1">AVERAGE(OFFSET($BH$3,0,0,'Données projet'!$E$11+1,1))-AVERAGE(OFFSET($H$3,0,0,'Données projet'!$E$11+1,1))</f>
        <v>146.25807703055079</v>
      </c>
      <c r="BJ66" s="62">
        <f t="shared" si="38"/>
        <v>177.40137940534413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4.9540650015042127</v>
      </c>
      <c r="BQ66" s="23">
        <f>EXP(-LN(2)/25)*BQ65+(1-EXP(-LN(2)/25))/(LN(2)/25)*Calculateur!BL66*Calculateur!BN66*VLOOKUP('Données projet'!$B$11,Paramètres!$A$1:$I$89,3,0)*0.475*44/12</f>
        <v>3.90761497299279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8.8616799744970027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14.900000000000006</v>
      </c>
      <c r="BY66" s="13">
        <f>IF('Données projet'!$A$114&gt;35,BY65+BX66-CG65,IF(A66&lt;'Données projet'!$A$114,$BV$205^A66,IF(A66='Données projet'!$A$114,'Données projet'!$B$114,BY65+BX66-CG65)))</f>
        <v>579.71000000000049</v>
      </c>
      <c r="BZ66" s="14">
        <f>BY66*VLOOKUP('Données projet'!$B$12,Paramètres!$A$1:$I$89,3,0)*VLOOKUP('Données projet'!$B$12,Paramètres!$A$1:$I$89,5,0)</f>
        <v>271.30428000000023</v>
      </c>
      <c r="CA66" s="14">
        <f t="shared" si="39"/>
        <v>65.125992739996661</v>
      </c>
      <c r="CB66" s="22">
        <f t="shared" si="10"/>
        <v>585.94939168882786</v>
      </c>
      <c r="CC66" s="62">
        <f t="shared" si="11"/>
        <v>879.28272502216123</v>
      </c>
      <c r="CD66" s="62">
        <f ca="1">AVERAGE(OFFSET($CC$3,0,0,'Données projet'!$E$12+1,1))-AVERAGE(OFFSET($H$3,0,0,'Données projet'!$E$12+1,1))</f>
        <v>287.12723448949828</v>
      </c>
      <c r="CE66" s="62">
        <f t="shared" si="40"/>
        <v>170.5203352323382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2.6766017439807204</v>
      </c>
      <c r="CL66" s="23">
        <f>EXP(-LN(2)/25)*CL65+(1-EXP(-LN(2)/25))/(LN(2)/25)*Calculateur!CG66*Calculateur!CI66*VLOOKUP('Données projet'!$B$12,Paramètres!$A$1:$I$89,3,0)*0.475*44/12</f>
        <v>18.966976359111278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21.643578103091997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8.1000000000000032</v>
      </c>
      <c r="CT66" s="13">
        <f>IF('Données projet'!$A$140&gt;35,CT65+CS66-DB65,IF(A66&lt;'Données projet'!$A$140,$CQ$205^A66,IF(A66='Données projet'!$A$140,'Données projet'!$B$140,CT65+CS66-DB65)))</f>
        <v>386.13000000000056</v>
      </c>
      <c r="CU66" s="18">
        <f>CT66*VLOOKUP('Données projet'!$B$13,Paramètres!$A$1:$I$89,3,0)*VLOOKUP('Données projet'!$B$13,Paramètres!$A$1:$I$89,5,0)</f>
        <v>373.46493600000053</v>
      </c>
      <c r="CV66" s="14">
        <f t="shared" si="41"/>
        <v>86.375786959006348</v>
      </c>
      <c r="CW66" s="22">
        <f t="shared" si="13"/>
        <v>800.88925915360358</v>
      </c>
      <c r="CX66" s="62">
        <f t="shared" si="14"/>
        <v>1094.2225924869369</v>
      </c>
      <c r="CY66" s="62">
        <f ca="1">AVERAGE(OFFSET($CX$3,0,0,'Données projet'!$E$13+1,1))-AVERAGE(OFFSET($H$3,0,0,'Données projet'!$E$13+1,1))</f>
        <v>467.37715054082025</v>
      </c>
      <c r="CZ66" s="62">
        <f t="shared" si="42"/>
        <v>443.35096563136415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2.3636036914415501</v>
      </c>
      <c r="DG66" s="23">
        <f>EXP(-LN(2)/25)*DG65+(1-EXP(-LN(2)/25))/(LN(2)/25)*Calculateur!DB66*Calculateur!DD66*VLOOKUP('Données projet'!$B$13,Paramètres!$A$1:$I$89,3,0)*0.475*44/12</f>
        <v>2.7554936670331625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5.119097358474713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8.1000000000000032</v>
      </c>
      <c r="DO66" s="13">
        <f>IF('Données projet'!$A$166&gt;35,DO65+DN66-DW65,IF(A66&lt;'Données projet'!$A$166,$DL$205^A66,IF(A66='Données projet'!$A$166,'Données projet'!$B$166,DO65+DN66-DW65)))</f>
        <v>386.13000000000056</v>
      </c>
      <c r="DP66" s="18">
        <f>DO66*VLOOKUP('Données projet'!$B$14,Paramètres!$A$1:$I$89,3,0)*VLOOKUP('Données projet'!$B$14,Paramètres!$A$1:$I$89,5,0)</f>
        <v>415.63033200000058</v>
      </c>
      <c r="DQ66" s="14">
        <f t="shared" si="43"/>
        <v>94.938371291455468</v>
      </c>
      <c r="DR66" s="22">
        <f t="shared" si="16"/>
        <v>889.24049156595254</v>
      </c>
      <c r="DS66" s="62">
        <f t="shared" si="17"/>
        <v>1182.5738248992859</v>
      </c>
      <c r="DT66" s="62">
        <f ca="1">AVERAGE(OFFSET($DS$3,0,0,'Données projet'!$E$14+1,1))-AVERAGE(OFFSET($H$3,0,0,'Données projet'!$E$14+1,1))</f>
        <v>524.51242549438939</v>
      </c>
      <c r="DU66" s="62">
        <f t="shared" si="44"/>
        <v>494.88778446576327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2.6304621727333375</v>
      </c>
      <c r="EB66" s="23">
        <f>EXP(-LN(2)/25)*EB65+(1-EXP(-LN(2)/25))/(LN(2)/25)*Calculateur!DW66*Calculateur!DY66*VLOOKUP('Données projet'!$B$14,Paramètres!$A$1:$I$89,3,0)*0.475*44/12</f>
        <v>3.0665977907304534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5.6970599634637908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384.31886288369424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5.0166666666666657</v>
      </c>
      <c r="N67" s="14">
        <f>IF('Données projet'!$A$36&gt;35,N66+M67-V66,IF(A67&lt;'Données projet'!$A$36,$K$205^A67,IF(A67='Données projet'!$A$36,'Données projet'!$B$36,N66+M67-V66)))</f>
        <v>229.42999999999972</v>
      </c>
      <c r="O67" s="14">
        <f>N67*VLOOKUP('Données projet'!$B$9,Paramètres!$A$1:$I$89,3,0)*VLOOKUP('Données projet'!$B$9,Paramètres!$A$1:$I$89,5,0)</f>
        <v>207.58826399999975</v>
      </c>
      <c r="P67" s="14">
        <f t="shared" si="33"/>
        <v>51.408206928132799</v>
      </c>
      <c r="Q67" s="22">
        <f t="shared" ref="Q67:Q98" si="54">(O67+P67)*0.475*44/12</f>
        <v>451.08552019983085</v>
      </c>
      <c r="R67" s="62">
        <f t="shared" ref="R67:R130" si="55">Q67+(I67+J67)*44/12</f>
        <v>744.41885353316411</v>
      </c>
      <c r="S67" s="62">
        <f ca="1">AVERAGE(OFFSET($R$3,0,0,'Données projet'!$E$9+1,1))-AVERAGE(OFFSET($H$3,0,0,'Données projet'!$E$9+1,1))</f>
        <v>299.17641394512162</v>
      </c>
      <c r="T67" s="62">
        <f t="shared" si="34"/>
        <v>180.73046320039873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2.1828374065009974</v>
      </c>
      <c r="AA67" s="23">
        <f>EXP(-LN(2)/25)*AA66+(1-EXP(-LN(2)/25))/(LN(2)/25)*Calculateur!V67*Calculateur!X67*VLOOKUP('Données projet'!$B$9,Paramètres!$A$1:$I$89,3,0)*0.475*44/12</f>
        <v>2.4627945959642945</v>
      </c>
      <c r="AB67" s="23">
        <f>EXP(-LN(2)/2)*AB66+(1-EXP(-LN(2)/2))/(LN(2)/2)*V67*Y67*VLOOKUP('Données projet'!$B$9,Paramètres!$A$1:$I$89,3,0)*0.475*44/12</f>
        <v>0</v>
      </c>
      <c r="AC67" s="24">
        <f t="shared" si="3"/>
        <v>4.645632002465292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4.4491666666666658</v>
      </c>
      <c r="AI67" s="14">
        <f>IF('Données projet'!$A$62&gt;35,AI66+AH67-AQ66,IF(A67&lt;'Données projet'!$A$62,$AF$205^A67,IF(A67='Données projet'!$A$62,'Données projet'!$B$62,AI66+AH67-AQ66)))</f>
        <v>216.58749999999964</v>
      </c>
      <c r="AJ67" s="14">
        <f>AI67*VLOOKUP('Données projet'!$B$10,Paramètres!$A$1:$I$89,3,0)*VLOOKUP('Données projet'!$B$10,Paramètres!$A$1:$I$89,5,0)</f>
        <v>219.61972499999962</v>
      </c>
      <c r="AK67" s="14">
        <f t="shared" si="35"/>
        <v>54.032226508175974</v>
      </c>
      <c r="AL67" s="22">
        <f t="shared" si="4"/>
        <v>476.61048221007246</v>
      </c>
      <c r="AM67" s="62">
        <f t="shared" si="5"/>
        <v>769.94381554340578</v>
      </c>
      <c r="AN67" s="62">
        <f ca="1">AVERAGE(OFFSET($AM$3,0,0,'Données projet'!$E$10+1,1))-AVERAGE(OFFSET($H$3,0,0,'Données projet'!$E$10+1,1))</f>
        <v>384.66322295929552</v>
      </c>
      <c r="AO67" s="62">
        <f t="shared" si="36"/>
        <v>248.53970183513286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1.8482704645464723</v>
      </c>
      <c r="AV67" s="23">
        <f>EXP(-LN(2)/25)*AV66+(1-EXP(-LN(2)/25))/(LN(2)/25)*Calculateur!AQ67*Calculateur!AS67*VLOOKUP('Données projet'!$B$10,Paramètres!$A$1:$I$89,3,0)*0.475*44/12</f>
        <v>2.2462497833965078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4.0945202479429801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343.79999999999995</v>
      </c>
      <c r="BE67" s="14">
        <f>BD67*VLOOKUP('Données projet'!$B$11,Paramètres!$A$1:$I$89,3,0)*VLOOKUP('Données projet'!$B$11,Paramètres!$A$1:$I$89,5,0)</f>
        <v>205.5924</v>
      </c>
      <c r="BF67" s="14">
        <f t="shared" si="37"/>
        <v>50.971228364263673</v>
      </c>
      <c r="BG67" s="22">
        <f t="shared" si="7"/>
        <v>446.84831940109251</v>
      </c>
      <c r="BH67" s="62">
        <f t="shared" si="8"/>
        <v>740.18165273442582</v>
      </c>
      <c r="BI67" s="62">
        <f ca="1">AVERAGE(OFFSET($BH$3,0,0,'Données projet'!$E$11+1,1))-AVERAGE(OFFSET($H$3,0,0,'Données projet'!$E$11+1,1))</f>
        <v>146.25807703055079</v>
      </c>
      <c r="BJ67" s="62">
        <f t="shared" si="38"/>
        <v>177.40137940534413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4.8569188085059993</v>
      </c>
      <c r="BQ67" s="23">
        <f>EXP(-LN(2)/25)*BQ66+(1-EXP(-LN(2)/25))/(LN(2)/25)*Calculateur!BL67*Calculateur!BN67*VLOOKUP('Données projet'!$B$11,Paramètres!$A$1:$I$89,3,0)*0.475*44/12</f>
        <v>3.8007610360637618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8.6576798445697616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14.900000000000006</v>
      </c>
      <c r="BY67" s="13">
        <f>IF('Données projet'!$A$114&gt;35,BY66+BX67-CG66,IF(A67&lt;'Données projet'!$A$114,$BV$205^A67,IF(A67='Données projet'!$A$114,'Données projet'!$B$114,BY66+BX67-CG66)))</f>
        <v>594.61000000000047</v>
      </c>
      <c r="BZ67" s="14">
        <f>BY67*VLOOKUP('Données projet'!$B$12,Paramètres!$A$1:$I$89,3,0)*VLOOKUP('Données projet'!$B$12,Paramètres!$A$1:$I$89,5,0)</f>
        <v>278.2774800000002</v>
      </c>
      <c r="CA67" s="14">
        <f t="shared" si="39"/>
        <v>66.602860256867245</v>
      </c>
      <c r="CB67" s="22">
        <f t="shared" si="10"/>
        <v>600.66659261404402</v>
      </c>
      <c r="CC67" s="62">
        <f t="shared" si="11"/>
        <v>893.99992594737728</v>
      </c>
      <c r="CD67" s="62">
        <f ca="1">AVERAGE(OFFSET($CC$3,0,0,'Données projet'!$E$12+1,1))-AVERAGE(OFFSET($H$3,0,0,'Données projet'!$E$12+1,1))</f>
        <v>287.12723448949828</v>
      </c>
      <c r="CE67" s="62">
        <f t="shared" si="40"/>
        <v>170.5203352323382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2.62411521634712</v>
      </c>
      <c r="CL67" s="23">
        <f>EXP(-LN(2)/25)*CL66+(1-EXP(-LN(2)/25))/(LN(2)/25)*Calculateur!CG67*Calculateur!CI67*VLOOKUP('Données projet'!$B$12,Paramètres!$A$1:$I$89,3,0)*0.475*44/12</f>
        <v>18.448323393141443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21.072438609488565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8.1000000000000032</v>
      </c>
      <c r="CT67" s="13">
        <f>IF('Données projet'!$A$140&gt;35,CT66+CS67-DB66,IF(A67&lt;'Données projet'!$A$140,$CQ$205^A67,IF(A67='Données projet'!$A$140,'Données projet'!$B$140,CT66+CS67-DB66)))</f>
        <v>394.23000000000059</v>
      </c>
      <c r="CU67" s="18">
        <f>CT67*VLOOKUP('Données projet'!$B$13,Paramètres!$A$1:$I$89,3,0)*VLOOKUP('Données projet'!$B$13,Paramètres!$A$1:$I$89,5,0)</f>
        <v>381.29925600000058</v>
      </c>
      <c r="CV67" s="14">
        <f t="shared" si="41"/>
        <v>87.974876378823339</v>
      </c>
      <c r="CW67" s="22">
        <f t="shared" si="13"/>
        <v>817.31911389311836</v>
      </c>
      <c r="CX67" s="62">
        <f t="shared" si="14"/>
        <v>1110.6524472264516</v>
      </c>
      <c r="CY67" s="62">
        <f ca="1">AVERAGE(OFFSET($CX$3,0,0,'Données projet'!$E$13+1,1))-AVERAGE(OFFSET($H$3,0,0,'Données projet'!$E$13+1,1))</f>
        <v>467.37715054082025</v>
      </c>
      <c r="CZ67" s="62">
        <f t="shared" si="42"/>
        <v>443.35096563136415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2.3172548647082816</v>
      </c>
      <c r="DG67" s="23">
        <f>EXP(-LN(2)/25)*DG66+(1-EXP(-LN(2)/25))/(LN(2)/25)*Calculateur!DB67*Calculateur!DD67*VLOOKUP('Données projet'!$B$13,Paramètres!$A$1:$I$89,3,0)*0.475*44/12</f>
        <v>2.6801445478030264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4.9973994125113084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8.1000000000000032</v>
      </c>
      <c r="DO67" s="13">
        <f>IF('Données projet'!$A$166&gt;35,DO66+DN67-DW66,IF(A67&lt;'Données projet'!$A$166,$DL$205^A67,IF(A67='Données projet'!$A$166,'Données projet'!$B$166,DO66+DN67-DW66)))</f>
        <v>394.23000000000059</v>
      </c>
      <c r="DP67" s="18">
        <f>DO67*VLOOKUP('Données projet'!$B$14,Paramètres!$A$1:$I$89,3,0)*VLOOKUP('Données projet'!$B$14,Paramètres!$A$1:$I$89,5,0)</f>
        <v>424.34917200000058</v>
      </c>
      <c r="DQ67" s="14">
        <f t="shared" si="43"/>
        <v>96.695981270035247</v>
      </c>
      <c r="DR67" s="22">
        <f t="shared" si="16"/>
        <v>907.48697527864579</v>
      </c>
      <c r="DS67" s="62">
        <f t="shared" si="17"/>
        <v>1200.820308611979</v>
      </c>
      <c r="DT67" s="62">
        <f ca="1">AVERAGE(OFFSET($DS$3,0,0,'Données projet'!$E$14+1,1))-AVERAGE(OFFSET($H$3,0,0,'Données projet'!$E$14+1,1))</f>
        <v>524.51242549438939</v>
      </c>
      <c r="DU67" s="62">
        <f t="shared" si="44"/>
        <v>494.88778446576327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2.5788804139495385</v>
      </c>
      <c r="EB67" s="23">
        <f>EXP(-LN(2)/25)*EB66+(1-EXP(-LN(2)/25))/(LN(2)/25)*Calculateur!DW67*Calculateur!DY67*VLOOKUP('Données projet'!$B$14,Paramètres!$A$1:$I$89,3,0)*0.475*44/12</f>
        <v>2.9827415128775603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5.5616219268270992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386.26117232825266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5.0166666666666657</v>
      </c>
      <c r="N68" s="14">
        <f>IF('Données projet'!$A$36&gt;35,N67+M68-V67,IF(A68&lt;'Données projet'!$A$36,$K$205^A68,IF(A68='Données projet'!$A$36,'Données projet'!$B$36,N67+M68-V67)))</f>
        <v>234.44666666666637</v>
      </c>
      <c r="O68" s="14">
        <f>N68*VLOOKUP('Données projet'!$B$9,Paramètres!$A$1:$I$89,3,0)*VLOOKUP('Données projet'!$B$9,Paramètres!$A$1:$I$89,5,0)</f>
        <v>212.12734399999971</v>
      </c>
      <c r="P68" s="14">
        <f t="shared" si="33"/>
        <v>52.40019083118203</v>
      </c>
      <c r="Q68" s="22">
        <f t="shared" si="54"/>
        <v>460.71878983097486</v>
      </c>
      <c r="R68" s="62">
        <f t="shared" si="55"/>
        <v>754.05212316430811</v>
      </c>
      <c r="S68" s="62">
        <f ca="1">AVERAGE(OFFSET($R$3,0,0,'Données projet'!$E$9+1,1))-AVERAGE(OFFSET($H$3,0,0,'Données projet'!$E$9+1,1))</f>
        <v>299.17641394512162</v>
      </c>
      <c r="T68" s="62">
        <f t="shared" si="34"/>
        <v>180.73046320039873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2.1400332963588662</v>
      </c>
      <c r="AA68" s="23">
        <f>EXP(-LN(2)/25)*AA67+(1-EXP(-LN(2)/25))/(LN(2)/25)*Calculateur!V68*Calculateur!X68*VLOOKUP('Données projet'!$B$9,Paramètres!$A$1:$I$89,3,0)*0.475*44/12</f>
        <v>2.3954493482249117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4.5354826445837784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4.4491666666666658</v>
      </c>
      <c r="AI68" s="14">
        <f>IF('Données projet'!$A$62&gt;35,AI67+AH68-AQ67,IF(A68&lt;'Données projet'!$A$62,$AF$205^A68,IF(A68='Données projet'!$A$62,'Données projet'!$B$62,AI67+AH68-AQ67)))</f>
        <v>221.03666666666629</v>
      </c>
      <c r="AJ68" s="14">
        <f>AI68*VLOOKUP('Données projet'!$B$10,Paramètres!$A$1:$I$89,3,0)*VLOOKUP('Données projet'!$B$10,Paramètres!$A$1:$I$89,5,0)</f>
        <v>224.13117999999966</v>
      </c>
      <c r="AK68" s="14">
        <f t="shared" si="35"/>
        <v>55.01180277999751</v>
      </c>
      <c r="AL68" s="22">
        <f t="shared" ref="AL68:AL131" si="58">(AJ68+AK68)*0.475*44/12</f>
        <v>486.17402834182843</v>
      </c>
      <c r="AM68" s="62">
        <f t="shared" ref="AM68:AM131" si="59">AL68+(AD68+AE68)*44/12</f>
        <v>779.50736167516175</v>
      </c>
      <c r="AN68" s="62">
        <f ca="1">AVERAGE(OFFSET($AM$3,0,0,'Données projet'!$E$10+1,1))-AVERAGE(OFFSET($H$3,0,0,'Données projet'!$E$10+1,1))</f>
        <v>384.66322295929552</v>
      </c>
      <c r="AO68" s="62">
        <f t="shared" si="36"/>
        <v>248.53970183513286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1.8120270080703844</v>
      </c>
      <c r="AV68" s="23">
        <f>EXP(-LN(2)/25)*AV67+(1-EXP(-LN(2)/25))/(LN(2)/25)*Calculateur!AQ68*Calculateur!AS68*VLOOKUP('Données projet'!$B$10,Paramètres!$A$1:$I$89,3,0)*0.475*44/12</f>
        <v>2.184825964944388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3.9968529730147724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343.79999999999995</v>
      </c>
      <c r="BE68" s="14">
        <f>BD68*VLOOKUP('Données projet'!$B$11,Paramètres!$A$1:$I$89,3,0)*VLOOKUP('Données projet'!$B$11,Paramètres!$A$1:$I$89,5,0)</f>
        <v>205.5924</v>
      </c>
      <c r="BF68" s="14">
        <f t="shared" si="37"/>
        <v>50.971228364263673</v>
      </c>
      <c r="BG68" s="22">
        <f t="shared" ref="BG68:BG131" si="61">(BE68+BF68)*0.475*44/12</f>
        <v>446.84831940109251</v>
      </c>
      <c r="BH68" s="62">
        <f t="shared" ref="BH68:BH131" si="62">BG68+(AY68+AZ68)*44/12</f>
        <v>740.18165273442582</v>
      </c>
      <c r="BI68" s="62">
        <f ca="1">AVERAGE(OFFSET($BH$3,0,0,'Données projet'!$E$11+1,1))-AVERAGE(OFFSET($H$3,0,0,'Données projet'!$E$11+1,1))</f>
        <v>146.25807703055079</v>
      </c>
      <c r="BJ68" s="62">
        <f t="shared" si="38"/>
        <v>177.40137940534413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4.7616775930991544</v>
      </c>
      <c r="BQ68" s="23">
        <f>EXP(-LN(2)/25)*BQ67+(1-EXP(-LN(2)/25))/(LN(2)/25)*Calculateur!BL68*Calculateur!BN68*VLOOKUP('Données projet'!$B$11,Paramètres!$A$1:$I$89,3,0)*0.475*44/12</f>
        <v>3.696829025659262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8.4585066187584168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14.900000000000006</v>
      </c>
      <c r="BY68" s="13">
        <f>IF('Données projet'!$A$114&gt;35,BY67+BX68-CG67,IF(A68&lt;'Données projet'!$A$114,$BV$205^A68,IF(A68='Données projet'!$A$114,'Données projet'!$B$114,BY67+BX68-CG67)))</f>
        <v>609.51000000000045</v>
      </c>
      <c r="BZ68" s="14">
        <f>BY68*VLOOKUP('Données projet'!$B$12,Paramètres!$A$1:$I$89,3,0)*VLOOKUP('Données projet'!$B$12,Paramètres!$A$1:$I$89,5,0)</f>
        <v>285.25068000000022</v>
      </c>
      <c r="CA68" s="14">
        <f t="shared" si="39"/>
        <v>68.075425843210979</v>
      </c>
      <c r="CB68" s="22">
        <f t="shared" ref="CB68:CB131" si="64">(BZ68+CA68)*0.475*44/12</f>
        <v>615.37630101025945</v>
      </c>
      <c r="CC68" s="62">
        <f t="shared" ref="CC68:CC131" si="65">CB68+(BT68+BU68)*44/12</f>
        <v>908.70963434359282</v>
      </c>
      <c r="CD68" s="62">
        <f ca="1">AVERAGE(OFFSET($CC$3,0,0,'Données projet'!$E$12+1,1))-AVERAGE(OFFSET($H$3,0,0,'Données projet'!$E$12+1,1))</f>
        <v>287.12723448949828</v>
      </c>
      <c r="CE68" s="62">
        <f t="shared" si="40"/>
        <v>170.5203352323382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2.5726579175067936</v>
      </c>
      <c r="CL68" s="23">
        <f>EXP(-LN(2)/25)*CL67+(1-EXP(-LN(2)/25))/(LN(2)/25)*Calculateur!CG68*Calculateur!CI68*VLOOKUP('Données projet'!$B$12,Paramètres!$A$1:$I$89,3,0)*0.475*44/12</f>
        <v>17.943853019800827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20.516510937307622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8.1000000000000032</v>
      </c>
      <c r="CT68" s="13">
        <f>IF('Données projet'!$A$140&gt;35,CT67+CS68-DB67,IF(A68&lt;'Données projet'!$A$140,$CQ$205^A68,IF(A68='Données projet'!$A$140,'Données projet'!$B$140,CT67+CS68-DB67)))</f>
        <v>402.33000000000061</v>
      </c>
      <c r="CU68" s="18">
        <f>CT68*VLOOKUP('Données projet'!$B$13,Paramètres!$A$1:$I$89,3,0)*VLOOKUP('Données projet'!$B$13,Paramètres!$A$1:$I$89,5,0)</f>
        <v>389.13357600000063</v>
      </c>
      <c r="CV68" s="14">
        <f t="shared" si="41"/>
        <v>89.570145703720613</v>
      </c>
      <c r="CW68" s="22">
        <f t="shared" ref="CW68:CW131" si="67">(CU68+CV68)*0.475*44/12</f>
        <v>833.74231530064787</v>
      </c>
      <c r="CX68" s="62">
        <f t="shared" ref="CX68:CX131" si="68">CW68+(CO68+CP68)*44/12</f>
        <v>1127.0756486339812</v>
      </c>
      <c r="CY68" s="62">
        <f ca="1">AVERAGE(OFFSET($CX$3,0,0,'Données projet'!$E$13+1,1))-AVERAGE(OFFSET($H$3,0,0,'Données projet'!$E$13+1,1))</f>
        <v>467.37715054082025</v>
      </c>
      <c r="CZ68" s="62">
        <f t="shared" si="42"/>
        <v>443.35096563136415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2.2718149101972593</v>
      </c>
      <c r="DG68" s="23">
        <f>EXP(-LN(2)/25)*DG67+(1-EXP(-LN(2)/25))/(LN(2)/25)*Calculateur!DB68*Calculateur!DD68*VLOOKUP('Données projet'!$B$13,Paramètres!$A$1:$I$89,3,0)*0.475*44/12</f>
        <v>2.6068558542006763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4.8786707643979357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8.1000000000000032</v>
      </c>
      <c r="DO68" s="13">
        <f>IF('Données projet'!$A$166&gt;35,DO67+DN68-DW67,IF(A68&lt;'Données projet'!$A$166,$DL$205^A68,IF(A68='Données projet'!$A$166,'Données projet'!$B$166,DO67+DN68-DW67)))</f>
        <v>402.33000000000061</v>
      </c>
      <c r="DP68" s="18">
        <f>DO68*VLOOKUP('Données projet'!$B$14,Paramètres!$A$1:$I$89,3,0)*VLOOKUP('Données projet'!$B$14,Paramètres!$A$1:$I$89,5,0)</f>
        <v>433.06801200000069</v>
      </c>
      <c r="DQ68" s="14">
        <f t="shared" si="43"/>
        <v>98.449392460938085</v>
      </c>
      <c r="DR68" s="22">
        <f t="shared" ref="DR68:DR131" si="70">(DP68+DQ68)*0.475*44/12</f>
        <v>925.72614610280164</v>
      </c>
      <c r="DS68" s="62">
        <f t="shared" ref="DS68:DS131" si="71">DR68+(DJ68+DK68)*44/12</f>
        <v>1219.059479436135</v>
      </c>
      <c r="DT68" s="62">
        <f ca="1">AVERAGE(OFFSET($DS$3,0,0,'Données projet'!$E$14+1,1))-AVERAGE(OFFSET($H$3,0,0,'Données projet'!$E$14+1,1))</f>
        <v>524.51242549438939</v>
      </c>
      <c r="DU68" s="62">
        <f t="shared" si="44"/>
        <v>494.88778446576327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2.5283101419937233</v>
      </c>
      <c r="EB68" s="23">
        <f>EXP(-LN(2)/25)*EB67+(1-EXP(-LN(2)/25))/(LN(2)/25)*Calculateur!DW68*Calculateur!DY68*VLOOKUP('Données projet'!$B$14,Paramètres!$A$1:$I$89,3,0)*0.475*44/12</f>
        <v>2.9011782893523645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5.4294884313460878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388.20277749261015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5.0166666666666657</v>
      </c>
      <c r="N69" s="14">
        <f>IF('Données projet'!$A$36&gt;35,N68+M69-V68,IF(A69&lt;'Données projet'!$A$36,$K$205^A69,IF(A69='Données projet'!$A$36,'Données projet'!$B$36,N68+M69-V68)))</f>
        <v>239.46333333333303</v>
      </c>
      <c r="O69" s="14">
        <f>N69*VLOOKUP('Données projet'!$B$9,Paramètres!$A$1:$I$89,3,0)*VLOOKUP('Données projet'!$B$9,Paramètres!$A$1:$I$89,5,0)</f>
        <v>216.66642399999969</v>
      </c>
      <c r="P69" s="14">
        <f t="shared" ref="P69:P132" si="87">EXP(-1.0587+0.8836*LN(O69)+0.284)</f>
        <v>53.38970685967459</v>
      </c>
      <c r="Q69" s="22">
        <f t="shared" si="54"/>
        <v>470.34776124726608</v>
      </c>
      <c r="R69" s="62">
        <f t="shared" si="55"/>
        <v>763.68109458059939</v>
      </c>
      <c r="S69" s="62">
        <f ca="1">AVERAGE(OFFSET($R$3,0,0,'Données projet'!$E$9+1,1))-AVERAGE(OFFSET($H$3,0,0,'Données projet'!$E$9+1,1))</f>
        <v>299.17641394512162</v>
      </c>
      <c r="T69" s="62">
        <f t="shared" ref="T69:T132" si="88">$T$3</f>
        <v>180.73046320039873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2.0980685487086927</v>
      </c>
      <c r="AA69" s="23">
        <f>EXP(-LN(2)/25)*AA68+(1-EXP(-LN(2)/25))/(LN(2)/25)*Calculateur!V69*Calculateur!X69*VLOOKUP('Données projet'!$B$9,Paramètres!$A$1:$I$89,3,0)*0.475*44/12</f>
        <v>2.3299456598264952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4.4280142085351883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4.4491666666666658</v>
      </c>
      <c r="AI69" s="14">
        <f>IF('Données projet'!$A$62&gt;35,AI68+AH69-AQ68,IF(A69&lt;'Données projet'!$A$62,$AF$205^A69,IF(A69='Données projet'!$A$62,'Données projet'!$B$62,AI68+AH69-AQ68)))</f>
        <v>225.48583333333295</v>
      </c>
      <c r="AJ69" s="14">
        <f>AI69*VLOOKUP('Données projet'!$B$10,Paramètres!$A$1:$I$89,3,0)*VLOOKUP('Données projet'!$B$10,Paramètres!$A$1:$I$89,5,0)</f>
        <v>228.64263499999964</v>
      </c>
      <c r="AK69" s="14">
        <f t="shared" ref="AK69:AK132" si="89">EXP(-1.0587+0.8836*LN(AJ69)+0.284)</f>
        <v>55.989086453764095</v>
      </c>
      <c r="AL69" s="22">
        <f t="shared" si="58"/>
        <v>495.73358153197188</v>
      </c>
      <c r="AM69" s="62">
        <f t="shared" si="59"/>
        <v>789.06691486530519</v>
      </c>
      <c r="AN69" s="62">
        <f ca="1">AVERAGE(OFFSET($AM$3,0,0,'Données projet'!$E$10+1,1))-AVERAGE(OFFSET($H$3,0,0,'Données projet'!$E$10+1,1))</f>
        <v>384.66322295929552</v>
      </c>
      <c r="AO69" s="62">
        <f t="shared" ref="AO69:AO132" si="90">$AO$3</f>
        <v>248.53970183513286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1.7764942636694669</v>
      </c>
      <c r="AV69" s="23">
        <f>EXP(-LN(2)/25)*AV68+(1-EXP(-LN(2)/25))/(LN(2)/25)*Calculateur!AQ69*Calculateur!AS69*VLOOKUP('Données projet'!$B$10,Paramètres!$A$1:$I$89,3,0)*0.475*44/12</f>
        <v>2.1250817840379796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3.9015760477074464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343.79999999999995</v>
      </c>
      <c r="BE69" s="14">
        <f>BD69*VLOOKUP('Données projet'!$B$11,Paramètres!$A$1:$I$89,3,0)*VLOOKUP('Données projet'!$B$11,Paramètres!$A$1:$I$89,5,0)</f>
        <v>205.5924</v>
      </c>
      <c r="BF69" s="14">
        <f t="shared" ref="BF69:BF132" si="91">EXP(-1.0587+0.8836*LN(BE69)+0.284)</f>
        <v>50.971228364263673</v>
      </c>
      <c r="BG69" s="22">
        <f t="shared" si="61"/>
        <v>446.84831940109251</v>
      </c>
      <c r="BH69" s="62">
        <f t="shared" si="62"/>
        <v>740.18165273442582</v>
      </c>
      <c r="BI69" s="62">
        <f ca="1">AVERAGE(OFFSET($BH$3,0,0,'Données projet'!$E$11+1,1))-AVERAGE(OFFSET($H$3,0,0,'Données projet'!$E$11+1,1))</f>
        <v>146.25807703055079</v>
      </c>
      <c r="BJ69" s="62">
        <f t="shared" ref="BJ69:BJ132" si="92">$BJ$3</f>
        <v>177.40137940534413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4.6683039998350324</v>
      </c>
      <c r="BQ69" s="23">
        <f>EXP(-LN(2)/25)*BQ68+(1-EXP(-LN(2)/25))/(LN(2)/25)*Calculateur!BL69*Calculateur!BN69*VLOOKUP('Données projet'!$B$11,Paramètres!$A$1:$I$89,3,0)*0.475*44/12</f>
        <v>3.59573904154482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8.2640430413798533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14.900000000000006</v>
      </c>
      <c r="BY69" s="13">
        <f>IF('Données projet'!$A$114&gt;35,BY68+BX69-CG68,IF(A69&lt;'Données projet'!$A$114,$BV$205^A69,IF(A69='Données projet'!$A$114,'Données projet'!$B$114,BY68+BX69-CG68)))</f>
        <v>624.41000000000042</v>
      </c>
      <c r="BZ69" s="14">
        <f>BY69*VLOOKUP('Données projet'!$B$12,Paramètres!$A$1:$I$89,3,0)*VLOOKUP('Données projet'!$B$12,Paramètres!$A$1:$I$89,5,0)</f>
        <v>292.22388000000018</v>
      </c>
      <c r="CA69" s="14">
        <f t="shared" ref="CA69:CA132" si="93">EXP(-1.0587+0.8836*LN(BZ69)+0.284)</f>
        <v>69.543806761325641</v>
      </c>
      <c r="CB69" s="22">
        <f t="shared" si="64"/>
        <v>630.07872110930919</v>
      </c>
      <c r="CC69" s="62">
        <f t="shared" si="65"/>
        <v>923.41205444264256</v>
      </c>
      <c r="CD69" s="62">
        <f ca="1">AVERAGE(OFFSET($CC$3,0,0,'Données projet'!$E$12+1,1))-AVERAGE(OFFSET($H$3,0,0,'Données projet'!$E$12+1,1))</f>
        <v>287.12723448949828</v>
      </c>
      <c r="CE69" s="62">
        <f t="shared" ref="CE69:CE132" si="94">$CE$3</f>
        <v>170.5203352323382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2.5222096649108727</v>
      </c>
      <c r="CL69" s="23">
        <f>EXP(-LN(2)/25)*CL68+(1-EXP(-LN(2)/25))/(LN(2)/25)*Calculateur!CG69*Calculateur!CI69*VLOOKUP('Données projet'!$B$12,Paramètres!$A$1:$I$89,3,0)*0.475*44/12</f>
        <v>17.453177415348154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19.975387080259026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8.1000000000000032</v>
      </c>
      <c r="CT69" s="13">
        <f>IF('Données projet'!$A$140&gt;35,CT68+CS69-DB68,IF(A69&lt;'Données projet'!$A$140,$CQ$205^A69,IF(A69='Données projet'!$A$140,'Données projet'!$B$140,CT68+CS69-DB68)))</f>
        <v>410.43000000000063</v>
      </c>
      <c r="CU69" s="18">
        <f>CT69*VLOOKUP('Données projet'!$B$13,Paramètres!$A$1:$I$89,3,0)*VLOOKUP('Données projet'!$B$13,Paramètres!$A$1:$I$89,5,0)</f>
        <v>396.96789600000062</v>
      </c>
      <c r="CV69" s="14">
        <f t="shared" ref="CV69:CV132" si="95">EXP(-1.0587+0.8836*LN(CU69)+0.284)</f>
        <v>91.161680705992794</v>
      </c>
      <c r="CW69" s="22">
        <f t="shared" si="67"/>
        <v>850.15901276293846</v>
      </c>
      <c r="CX69" s="62">
        <f t="shared" si="68"/>
        <v>1143.4923460962718</v>
      </c>
      <c r="CY69" s="62">
        <f ca="1">AVERAGE(OFFSET($CX$3,0,0,'Données projet'!$E$13+1,1))-AVERAGE(OFFSET($H$3,0,0,'Données projet'!$E$13+1,1))</f>
        <v>467.37715054082025</v>
      </c>
      <c r="CZ69" s="62">
        <f t="shared" ref="CZ69:CZ132" si="96">$CZ$3</f>
        <v>443.35096563136415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2.2272660054785627</v>
      </c>
      <c r="DG69" s="23">
        <f>EXP(-LN(2)/25)*DG68+(1-EXP(-LN(2)/25))/(LN(2)/25)*Calculateur!DB69*Calculateur!DD69*VLOOKUP('Données projet'!$B$13,Paramètres!$A$1:$I$89,3,0)*0.475*44/12</f>
        <v>2.5355712437789677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4.7628372492575304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8.1000000000000032</v>
      </c>
      <c r="DO69" s="13">
        <f>IF('Données projet'!$A$166&gt;35,DO68+DN69-DW68,IF(A69&lt;'Données projet'!$A$166,$DL$205^A69,IF(A69='Données projet'!$A$166,'Données projet'!$B$166,DO68+DN69-DW68)))</f>
        <v>410.43000000000063</v>
      </c>
      <c r="DP69" s="18">
        <f>DO69*VLOOKUP('Données projet'!$B$14,Paramètres!$A$1:$I$89,3,0)*VLOOKUP('Données projet'!$B$14,Paramètres!$A$1:$I$89,5,0)</f>
        <v>441.78685200000069</v>
      </c>
      <c r="DQ69" s="14">
        <f t="shared" ref="DQ69:DQ132" si="97">EXP(-1.0587+0.8836*LN(DP69)+0.284)</f>
        <v>100.19869913921779</v>
      </c>
      <c r="DR69" s="22">
        <f t="shared" si="70"/>
        <v>943.95816823413895</v>
      </c>
      <c r="DS69" s="62">
        <f t="shared" si="71"/>
        <v>1237.2915015674723</v>
      </c>
      <c r="DT69" s="62">
        <f ca="1">AVERAGE(OFFSET($DS$3,0,0,'Données projet'!$E$14+1,1))-AVERAGE(OFFSET($H$3,0,0,'Données projet'!$E$14+1,1))</f>
        <v>524.51242549438939</v>
      </c>
      <c r="DU69" s="62">
        <f t="shared" ref="DU69:DU132" si="98">$DU$3</f>
        <v>494.88778446576327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2.4787315222261417</v>
      </c>
      <c r="EB69" s="23">
        <f>EXP(-LN(2)/25)*EB68+(1-EXP(-LN(2)/25))/(LN(2)/25)*Calculateur!DW69*Calculateur!DY69*VLOOKUP('Données projet'!$B$14,Paramètres!$A$1:$I$89,3,0)*0.475*44/12</f>
        <v>2.8218454164636886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5.3005769386898303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390.14369028019127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5.0166666666666657</v>
      </c>
      <c r="N70" s="14">
        <f>IF('Données projet'!$A$36&gt;35,N69+M70-V69,IF(A70&lt;'Données projet'!$A$36,$K$205^A70,IF(A70='Données projet'!$A$36,'Données projet'!$B$36,N69+M70-V69)))</f>
        <v>244.47999999999968</v>
      </c>
      <c r="O70" s="14">
        <f>N70*VLOOKUP('Données projet'!$B$9,Paramètres!$A$1:$I$89,3,0)*VLOOKUP('Données projet'!$B$9,Paramètres!$A$1:$I$89,5,0)</f>
        <v>221.20550399999973</v>
      </c>
      <c r="P70" s="14">
        <f t="shared" si="87"/>
        <v>54.376812670852551</v>
      </c>
      <c r="Q70" s="22">
        <f t="shared" si="54"/>
        <v>479.972534868401</v>
      </c>
      <c r="R70" s="62">
        <f t="shared" si="55"/>
        <v>773.30586820173426</v>
      </c>
      <c r="S70" s="62">
        <f ca="1">AVERAGE(OFFSET($R$3,0,0,'Données projet'!$E$9+1,1))-AVERAGE(OFFSET($H$3,0,0,'Données projet'!$E$9+1,1))</f>
        <v>299.17641394512162</v>
      </c>
      <c r="T70" s="62">
        <f t="shared" si="88"/>
        <v>180.73046320039873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2.0569267041639705</v>
      </c>
      <c r="AA70" s="23">
        <f>EXP(-LN(2)/25)*AA69+(1-EXP(-LN(2)/25))/(LN(2)/25)*Calculateur!V70*Calculateur!X70*VLOOKUP('Données projet'!$B$9,Paramètres!$A$1:$I$89,3,0)*0.475*44/12</f>
        <v>2.2662331732320227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4.3231598773959927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4.4491666666666658</v>
      </c>
      <c r="AI70" s="14">
        <f>IF('Données projet'!$A$62&gt;35,AI69+AH70-AQ69,IF(A70&lt;'Données projet'!$A$62,$AF$205^A70,IF(A70='Données projet'!$A$62,'Données projet'!$B$62,AI69+AH70-AQ69)))</f>
        <v>229.9349999999996</v>
      </c>
      <c r="AJ70" s="14">
        <f>AI70*VLOOKUP('Données projet'!$B$10,Paramètres!$A$1:$I$89,3,0)*VLOOKUP('Données projet'!$B$10,Paramètres!$A$1:$I$89,5,0)</f>
        <v>233.15408999999963</v>
      </c>
      <c r="AK70" s="14">
        <f t="shared" si="89"/>
        <v>56.964127979966733</v>
      </c>
      <c r="AL70" s="22">
        <f t="shared" si="58"/>
        <v>505.28922964844145</v>
      </c>
      <c r="AM70" s="62">
        <f t="shared" si="59"/>
        <v>798.62256298177476</v>
      </c>
      <c r="AN70" s="62">
        <f ca="1">AVERAGE(OFFSET($AM$3,0,0,'Données projet'!$E$10+1,1))-AVERAGE(OFFSET($H$3,0,0,'Données projet'!$E$10+1,1))</f>
        <v>384.66322295929552</v>
      </c>
      <c r="AO70" s="62">
        <f t="shared" si="90"/>
        <v>248.53970183513286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1.7416582947134174</v>
      </c>
      <c r="AV70" s="23">
        <f>EXP(-LN(2)/25)*AV69+(1-EXP(-LN(2)/25))/(LN(2)/25)*Calculateur!AQ70*Calculateur!AS70*VLOOKUP('Données projet'!$B$10,Paramètres!$A$1:$I$89,3,0)*0.475*44/12</f>
        <v>2.066971310900267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3.8086296056136844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343.79999999999995</v>
      </c>
      <c r="BE70" s="14">
        <f>BD70*VLOOKUP('Données projet'!$B$11,Paramètres!$A$1:$I$89,3,0)*VLOOKUP('Données projet'!$B$11,Paramètres!$A$1:$I$89,5,0)</f>
        <v>205.5924</v>
      </c>
      <c r="BF70" s="14">
        <f t="shared" si="91"/>
        <v>50.971228364263673</v>
      </c>
      <c r="BG70" s="22">
        <f t="shared" si="61"/>
        <v>446.84831940109251</v>
      </c>
      <c r="BH70" s="62">
        <f t="shared" si="62"/>
        <v>740.18165273442582</v>
      </c>
      <c r="BI70" s="62">
        <f ca="1">AVERAGE(OFFSET($BH$3,0,0,'Données projet'!$E$11+1,1))-AVERAGE(OFFSET($H$3,0,0,'Données projet'!$E$11+1,1))</f>
        <v>146.25807703055079</v>
      </c>
      <c r="BJ70" s="62">
        <f t="shared" si="92"/>
        <v>177.40137940534413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4.5767614057825519</v>
      </c>
      <c r="BQ70" s="23">
        <f>EXP(-LN(2)/25)*BQ69+(1-EXP(-LN(2)/25))/(LN(2)/25)*Calculateur!BL70*Calculateur!BN70*VLOOKUP('Données projet'!$B$11,Paramètres!$A$1:$I$89,3,0)*0.475*44/12</f>
        <v>3.4974133683620789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8.0741747741446304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14.900000000000006</v>
      </c>
      <c r="BY70" s="13">
        <f>IF('Données projet'!$A$114&gt;35,BY69+BX70-CG69,IF(A70&lt;'Données projet'!$A$114,$BV$205^A70,IF(A70='Données projet'!$A$114,'Données projet'!$B$114,BY69+BX70-CG69)))</f>
        <v>639.3100000000004</v>
      </c>
      <c r="BZ70" s="14">
        <f>BY70*VLOOKUP('Données projet'!$B$12,Paramètres!$A$1:$I$89,3,0)*VLOOKUP('Données projet'!$B$12,Paramètres!$A$1:$I$89,5,0)</f>
        <v>299.1970800000002</v>
      </c>
      <c r="CA70" s="14">
        <f t="shared" si="93"/>
        <v>71.008114357978968</v>
      </c>
      <c r="CB70" s="22">
        <f t="shared" si="64"/>
        <v>644.77404684014698</v>
      </c>
      <c r="CC70" s="62">
        <f t="shared" si="65"/>
        <v>938.10738017348035</v>
      </c>
      <c r="CD70" s="62">
        <f ca="1">AVERAGE(OFFSET($CC$3,0,0,'Données projet'!$E$12+1,1))-AVERAGE(OFFSET($H$3,0,0,'Données projet'!$E$12+1,1))</f>
        <v>287.12723448949828</v>
      </c>
      <c r="CE70" s="62">
        <f t="shared" si="94"/>
        <v>170.5203352323382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2.4727506717779622</v>
      </c>
      <c r="CL70" s="23">
        <f>EXP(-LN(2)/25)*CL69+(1-EXP(-LN(2)/25))/(LN(2)/25)*Calculateur!CG70*Calculateur!CI70*VLOOKUP('Données projet'!$B$12,Paramètres!$A$1:$I$89,3,0)*0.475*44/12</f>
        <v>16.975919361102747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19.44867003288071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8.1000000000000032</v>
      </c>
      <c r="CT70" s="13">
        <f>IF('Données projet'!$A$140&gt;35,CT69+CS70-DB69,IF(A70&lt;'Données projet'!$A$140,$CQ$205^A70,IF(A70='Données projet'!$A$140,'Données projet'!$B$140,CT69+CS70-DB69)))</f>
        <v>418.53000000000065</v>
      </c>
      <c r="CU70" s="18">
        <f>CT70*VLOOKUP('Données projet'!$B$13,Paramètres!$A$1:$I$89,3,0)*VLOOKUP('Données projet'!$B$13,Paramètres!$A$1:$I$89,5,0)</f>
        <v>404.80221600000067</v>
      </c>
      <c r="CV70" s="14">
        <f t="shared" si="95"/>
        <v>92.749563578812641</v>
      </c>
      <c r="CW70" s="22">
        <f t="shared" si="67"/>
        <v>866.56934943309977</v>
      </c>
      <c r="CX70" s="62">
        <f t="shared" si="68"/>
        <v>1159.9026827664331</v>
      </c>
      <c r="CY70" s="62">
        <f ca="1">AVERAGE(OFFSET($CX$3,0,0,'Données projet'!$E$13+1,1))-AVERAGE(OFFSET($H$3,0,0,'Données projet'!$E$13+1,1))</f>
        <v>467.37715054082025</v>
      </c>
      <c r="CZ70" s="62">
        <f t="shared" si="96"/>
        <v>443.35096563136415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2.1835906776092511</v>
      </c>
      <c r="DG70" s="23">
        <f>EXP(-LN(2)/25)*DG69+(1-EXP(-LN(2)/25))/(LN(2)/25)*Calculateur!DB70*Calculateur!DD70*VLOOKUP('Données projet'!$B$13,Paramètres!$A$1:$I$89,3,0)*0.475*44/12</f>
        <v>2.4662359147779354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4.6498265923871864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8.1000000000000032</v>
      </c>
      <c r="DO70" s="13">
        <f>IF('Données projet'!$A$166&gt;35,DO69+DN70-DW69,IF(A70&lt;'Données projet'!$A$166,$DL$205^A70,IF(A70='Données projet'!$A$166,'Données projet'!$B$166,DO69+DN70-DW69)))</f>
        <v>418.53000000000065</v>
      </c>
      <c r="DP70" s="18">
        <f>DO70*VLOOKUP('Données projet'!$B$14,Paramètres!$A$1:$I$89,3,0)*VLOOKUP('Données projet'!$B$14,Paramètres!$A$1:$I$89,5,0)</f>
        <v>450.50569200000069</v>
      </c>
      <c r="DQ70" s="14">
        <f t="shared" si="97"/>
        <v>101.94399164600166</v>
      </c>
      <c r="DR70" s="22">
        <f t="shared" si="70"/>
        <v>962.1831990167874</v>
      </c>
      <c r="DS70" s="62">
        <f t="shared" si="71"/>
        <v>1255.5165323501208</v>
      </c>
      <c r="DT70" s="62">
        <f ca="1">AVERAGE(OFFSET($DS$3,0,0,'Données projet'!$E$14+1,1))-AVERAGE(OFFSET($H$3,0,0,'Données projet'!$E$14+1,1))</f>
        <v>524.51242549438939</v>
      </c>
      <c r="DU70" s="62">
        <f t="shared" si="98"/>
        <v>494.88778446576327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2.4301251089522302</v>
      </c>
      <c r="EB70" s="23">
        <f>EXP(-LN(2)/25)*EB69+(1-EXP(-LN(2)/25))/(LN(2)/25)*Calculateur!DW70*Calculateur!DY70*VLOOKUP('Données projet'!$B$14,Paramètres!$A$1:$I$89,3,0)*0.475*44/12</f>
        <v>2.7446819051560878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5.1748070141083176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392.08392221869906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5.0166666666666657</v>
      </c>
      <c r="N71" s="14">
        <f>IF('Données projet'!$A$36&gt;35,N70+M71-V70,IF(A71&lt;'Données projet'!$A$36,$K$205^A71,IF(A71='Données projet'!$A$36,'Données projet'!$B$36,N70+M71-V70)))</f>
        <v>249.49666666666633</v>
      </c>
      <c r="O71" s="14">
        <f>N71*VLOOKUP('Données projet'!$B$9,Paramètres!$A$1:$I$89,3,0)*VLOOKUP('Données projet'!$B$9,Paramètres!$A$1:$I$89,5,0)</f>
        <v>225.74458399999969</v>
      </c>
      <c r="P71" s="14">
        <f t="shared" si="87"/>
        <v>55.361563420481303</v>
      </c>
      <c r="Q71" s="22">
        <f t="shared" si="54"/>
        <v>489.59320675733761</v>
      </c>
      <c r="R71" s="62">
        <f t="shared" si="55"/>
        <v>782.92654009067087</v>
      </c>
      <c r="S71" s="62">
        <f ca="1">AVERAGE(OFFSET($R$3,0,0,'Données projet'!$E$9+1,1))-AVERAGE(OFFSET($H$3,0,0,'Données projet'!$E$9+1,1))</f>
        <v>299.17641394512162</v>
      </c>
      <c r="T71" s="62">
        <f t="shared" si="88"/>
        <v>180.73046320039873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2.0165916260967229</v>
      </c>
      <c r="AA71" s="23">
        <f>EXP(-LN(2)/25)*AA70+(1-EXP(-LN(2)/25))/(LN(2)/25)*Calculateur!V71*Calculateur!X71*VLOOKUP('Données projet'!$B$9,Paramètres!$A$1:$I$89,3,0)*0.475*44/12</f>
        <v>2.2042629079339702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4.2208545340306927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4.4491666666666658</v>
      </c>
      <c r="AI71" s="14">
        <f>IF('Données projet'!$A$62&gt;35,AI70+AH71-AQ70,IF(A71&lt;'Données projet'!$A$62,$AF$205^A71,IF(A71='Données projet'!$A$62,'Données projet'!$B$62,AI70+AH71-AQ70)))</f>
        <v>234.38416666666626</v>
      </c>
      <c r="AJ71" s="14">
        <f>AI71*VLOOKUP('Données projet'!$B$10,Paramètres!$A$1:$I$89,3,0)*VLOOKUP('Données projet'!$B$10,Paramètres!$A$1:$I$89,5,0)</f>
        <v>237.66554499999958</v>
      </c>
      <c r="AK71" s="14">
        <f t="shared" si="89"/>
        <v>57.936975745004666</v>
      </c>
      <c r="AL71" s="22">
        <f t="shared" si="58"/>
        <v>514.84105696421568</v>
      </c>
      <c r="AM71" s="62">
        <f t="shared" si="59"/>
        <v>808.17439029754905</v>
      </c>
      <c r="AN71" s="62">
        <f ca="1">AVERAGE(OFFSET($AM$3,0,0,'Données projet'!$E$10+1,1))-AVERAGE(OFFSET($H$3,0,0,'Données projet'!$E$10+1,1))</f>
        <v>384.66322295929552</v>
      </c>
      <c r="AO71" s="62">
        <f t="shared" si="90"/>
        <v>248.53970183513286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1.707505437860753</v>
      </c>
      <c r="AV71" s="23">
        <f>EXP(-LN(2)/25)*AV70+(1-EXP(-LN(2)/25))/(LN(2)/25)*Calculateur!AQ71*Calculateur!AS71*VLOOKUP('Données projet'!$B$10,Paramètres!$A$1:$I$89,3,0)*0.475*44/12</f>
        <v>2.0104498717064021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3.7179553095671549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343.79999999999995</v>
      </c>
      <c r="BE71" s="14">
        <f>BD71*VLOOKUP('Données projet'!$B$11,Paramètres!$A$1:$I$89,3,0)*VLOOKUP('Données projet'!$B$11,Paramètres!$A$1:$I$89,5,0)</f>
        <v>205.5924</v>
      </c>
      <c r="BF71" s="14">
        <f t="shared" si="91"/>
        <v>50.971228364263673</v>
      </c>
      <c r="BG71" s="22">
        <f t="shared" si="61"/>
        <v>446.84831940109251</v>
      </c>
      <c r="BH71" s="62">
        <f t="shared" si="62"/>
        <v>740.18165273442582</v>
      </c>
      <c r="BI71" s="62">
        <f ca="1">AVERAGE(OFFSET($BH$3,0,0,'Données projet'!$E$11+1,1))-AVERAGE(OFFSET($H$3,0,0,'Données projet'!$E$11+1,1))</f>
        <v>146.25807703055079</v>
      </c>
      <c r="BJ71" s="62">
        <f t="shared" si="92"/>
        <v>177.40137940534413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4.4870139061639707</v>
      </c>
      <c r="BQ71" s="23">
        <f>EXP(-LN(2)/25)*BQ70+(1-EXP(-LN(2)/25))/(LN(2)/25)*Calculateur!BL71*Calculateur!BN71*VLOOKUP('Données projet'!$B$11,Paramètres!$A$1:$I$89,3,0)*0.475*44/12</f>
        <v>3.4017764158832424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7.8887903220472131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14.900000000000006</v>
      </c>
      <c r="BY71" s="13">
        <f>IF('Données projet'!$A$114&gt;35,BY70+BX71-CG70,IF(A71&lt;'Données projet'!$A$114,$BV$205^A71,IF(A71='Données projet'!$A$114,'Données projet'!$B$114,BY70+BX71-CG70)))</f>
        <v>654.21000000000038</v>
      </c>
      <c r="BZ71" s="14">
        <f>BY71*VLOOKUP('Données projet'!$B$12,Paramètres!$A$1:$I$89,3,0)*VLOOKUP('Données projet'!$B$12,Paramètres!$A$1:$I$89,5,0)</f>
        <v>306.17028000000016</v>
      </c>
      <c r="CA71" s="14">
        <f t="shared" si="93"/>
        <v>72.468454493638617</v>
      </c>
      <c r="CB71" s="22">
        <f t="shared" si="64"/>
        <v>659.46246257642076</v>
      </c>
      <c r="CC71" s="62">
        <f t="shared" si="65"/>
        <v>952.79579590975413</v>
      </c>
      <c r="CD71" s="62">
        <f ca="1">AVERAGE(OFFSET($CC$3,0,0,'Données projet'!$E$12+1,1))-AVERAGE(OFFSET($H$3,0,0,'Données projet'!$E$12+1,1))</f>
        <v>287.12723448949828</v>
      </c>
      <c r="CE71" s="62">
        <f t="shared" si="94"/>
        <v>170.5203352323382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2.4242615393333811</v>
      </c>
      <c r="CL71" s="23">
        <f>EXP(-LN(2)/25)*CL70+(1-EXP(-LN(2)/25))/(LN(2)/25)*Calculateur!CG71*Calculateur!CI71*VLOOKUP('Données projet'!$B$12,Paramètres!$A$1:$I$89,3,0)*0.475*44/12</f>
        <v>16.511711953448593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18.935973492781976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8.1000000000000032</v>
      </c>
      <c r="CT71" s="13">
        <f>IF('Données projet'!$A$140&gt;35,CT70+CS71-DB70,IF(A71&lt;'Données projet'!$A$140,$CQ$205^A71,IF(A71='Données projet'!$A$140,'Données projet'!$B$140,CT70+CS71-DB70)))</f>
        <v>426.63000000000068</v>
      </c>
      <c r="CU71" s="18">
        <f>CT71*VLOOKUP('Données projet'!$B$13,Paramètres!$A$1:$I$89,3,0)*VLOOKUP('Données projet'!$B$13,Paramètres!$A$1:$I$89,5,0)</f>
        <v>412.63653600000066</v>
      </c>
      <c r="CV71" s="14">
        <f t="shared" si="95"/>
        <v>94.333873151909472</v>
      </c>
      <c r="CW71" s="22">
        <f t="shared" si="67"/>
        <v>882.97346260624329</v>
      </c>
      <c r="CX71" s="62">
        <f t="shared" si="68"/>
        <v>1176.3067959395767</v>
      </c>
      <c r="CY71" s="62">
        <f ca="1">AVERAGE(OFFSET($CX$3,0,0,'Données projet'!$E$13+1,1))-AVERAGE(OFFSET($H$3,0,0,'Données projet'!$E$13+1,1))</f>
        <v>467.37715054082025</v>
      </c>
      <c r="CZ71" s="62">
        <f t="shared" si="96"/>
        <v>443.35096563136415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2.1407717962801369</v>
      </c>
      <c r="DG71" s="23">
        <f>EXP(-LN(2)/25)*DG70+(1-EXP(-LN(2)/25))/(LN(2)/25)*Calculateur!DB71*Calculateur!DD71*VLOOKUP('Données projet'!$B$13,Paramètres!$A$1:$I$89,3,0)*0.475*44/12</f>
        <v>2.3987965639946225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4.5395683602747594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8.1000000000000032</v>
      </c>
      <c r="DO71" s="13">
        <f>IF('Données projet'!$A$166&gt;35,DO70+DN71-DW70,IF(A71&lt;'Données projet'!$A$166,$DL$205^A71,IF(A71='Données projet'!$A$166,'Données projet'!$B$166,DO70+DN71-DW70)))</f>
        <v>426.63000000000068</v>
      </c>
      <c r="DP71" s="18">
        <f>DO71*VLOOKUP('Données projet'!$B$14,Paramètres!$A$1:$I$89,3,0)*VLOOKUP('Données projet'!$B$14,Paramètres!$A$1:$I$89,5,0)</f>
        <v>459.22453200000075</v>
      </c>
      <c r="DQ71" s="14">
        <f t="shared" si="97"/>
        <v>103.68535662554932</v>
      </c>
      <c r="DR71" s="22">
        <f t="shared" si="70"/>
        <v>980.40138935616631</v>
      </c>
      <c r="DS71" s="62">
        <f t="shared" si="71"/>
        <v>1273.7347226894997</v>
      </c>
      <c r="DT71" s="62">
        <f ca="1">AVERAGE(OFFSET($DS$3,0,0,'Données projet'!$E$14+1,1))-AVERAGE(OFFSET($H$3,0,0,'Données projet'!$E$14+1,1))</f>
        <v>524.51242549438939</v>
      </c>
      <c r="DU71" s="62">
        <f t="shared" si="98"/>
        <v>494.88778446576327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2.3824718377956353</v>
      </c>
      <c r="EB71" s="23">
        <f>EXP(-LN(2)/25)*EB70+(1-EXP(-LN(2)/25))/(LN(2)/25)*Calculateur!DW71*Calculateur!DY71*VLOOKUP('Données projet'!$B$14,Paramètres!$A$1:$I$89,3,0)*0.475*44/12</f>
        <v>2.6696284341230463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5.0521002719186816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394.02348447732243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5.0166666666666657</v>
      </c>
      <c r="N72" s="14">
        <f>IF('Données projet'!$A$36&gt;35,N71+M72-V71,IF(A72&lt;'Données projet'!$A$36,$K$205^A72,IF(A72='Données projet'!$A$36,'Données projet'!$B$36,N71+M72-V71)))</f>
        <v>254.51333333333298</v>
      </c>
      <c r="O72" s="14">
        <f>N72*VLOOKUP('Données projet'!$B$9,Paramètres!$A$1:$I$89,3,0)*VLOOKUP('Données projet'!$B$9,Paramètres!$A$1:$I$89,5,0)</f>
        <v>230.28366399999967</v>
      </c>
      <c r="P72" s="14">
        <f t="shared" si="87"/>
        <v>56.344011919455909</v>
      </c>
      <c r="Q72" s="22">
        <f t="shared" si="54"/>
        <v>499.20986889305169</v>
      </c>
      <c r="R72" s="62">
        <f t="shared" si="55"/>
        <v>792.54320222638501</v>
      </c>
      <c r="S72" s="62">
        <f ca="1">AVERAGE(OFFSET($R$3,0,0,'Données projet'!$E$9+1,1))-AVERAGE(OFFSET($H$3,0,0,'Données projet'!$E$9+1,1))</f>
        <v>299.17641394512162</v>
      </c>
      <c r="T72" s="62">
        <f t="shared" si="88"/>
        <v>180.73046320039873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1.9770474943084058</v>
      </c>
      <c r="AA72" s="23">
        <f>EXP(-LN(2)/25)*AA71+(1-EXP(-LN(2)/25))/(LN(2)/25)*Calculateur!V72*Calculateur!X72*VLOOKUP('Données projet'!$B$9,Paramètres!$A$1:$I$89,3,0)*0.475*44/12</f>
        <v>2.1439872227993675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4.121034717107773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4.4491666666666658</v>
      </c>
      <c r="AI72" s="14">
        <f>IF('Données projet'!$A$62&gt;35,AI71+AH72-AQ71,IF(A72&lt;'Données projet'!$A$62,$AF$205^A72,IF(A72='Données projet'!$A$62,'Données projet'!$B$62,AI71+AH72-AQ71)))</f>
        <v>238.83333333333292</v>
      </c>
      <c r="AJ72" s="14">
        <f>AI72*VLOOKUP('Données projet'!$B$10,Paramètres!$A$1:$I$89,3,0)*VLOOKUP('Données projet'!$B$10,Paramètres!$A$1:$I$89,5,0)</f>
        <v>242.17699999999957</v>
      </c>
      <c r="AK72" s="14">
        <f t="shared" si="89"/>
        <v>58.907676193184599</v>
      </c>
      <c r="AL72" s="22">
        <f t="shared" si="58"/>
        <v>524.38914436979587</v>
      </c>
      <c r="AM72" s="62">
        <f t="shared" si="59"/>
        <v>817.72247770312924</v>
      </c>
      <c r="AN72" s="62">
        <f ca="1">AVERAGE(OFFSET($AM$3,0,0,'Données projet'!$E$10+1,1))-AVERAGE(OFFSET($H$3,0,0,'Données projet'!$E$10+1,1))</f>
        <v>384.66322295929552</v>
      </c>
      <c r="AO72" s="62">
        <f t="shared" si="90"/>
        <v>248.53970183513286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1.6740222976997836</v>
      </c>
      <c r="AV72" s="23">
        <f>EXP(-LN(2)/25)*AV71+(1-EXP(-LN(2)/25))/(LN(2)/25)*Calculateur!AQ72*Calculateur!AS72*VLOOKUP('Données projet'!$B$10,Paramètres!$A$1:$I$89,3,0)*0.475*44/12</f>
        <v>1.9554740142396267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3.6294963119394104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343.79999999999995</v>
      </c>
      <c r="BE72" s="14">
        <f>BD72*VLOOKUP('Données projet'!$B$11,Paramètres!$A$1:$I$89,3,0)*VLOOKUP('Données projet'!$B$11,Paramètres!$A$1:$I$89,5,0)</f>
        <v>205.5924</v>
      </c>
      <c r="BF72" s="14">
        <f t="shared" si="91"/>
        <v>50.971228364263673</v>
      </c>
      <c r="BG72" s="22">
        <f t="shared" si="61"/>
        <v>446.84831940109251</v>
      </c>
      <c r="BH72" s="62">
        <f t="shared" si="62"/>
        <v>740.18165273442582</v>
      </c>
      <c r="BI72" s="62">
        <f ca="1">AVERAGE(OFFSET($BH$3,0,0,'Données projet'!$E$11+1,1))-AVERAGE(OFFSET($H$3,0,0,'Données projet'!$E$11+1,1))</f>
        <v>146.25807703055079</v>
      </c>
      <c r="BJ72" s="62">
        <f t="shared" si="92"/>
        <v>177.40137940534413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4.3990263002723404</v>
      </c>
      <c r="BQ72" s="23">
        <f>EXP(-LN(2)/25)*BQ71+(1-EXP(-LN(2)/25))/(LN(2)/25)*Calculateur!BL72*Calculateur!BN72*VLOOKUP('Données projet'!$B$11,Paramètres!$A$1:$I$89,3,0)*0.475*44/12</f>
        <v>3.3087546608992682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7.7077809611716086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14.900000000000006</v>
      </c>
      <c r="BY72" s="13">
        <f>IF('Données projet'!$A$114&gt;35,BY71+BX72-CG71,IF(A72&lt;'Données projet'!$A$114,$BV$205^A72,IF(A72='Données projet'!$A$114,'Données projet'!$B$114,BY71+BX72-CG71)))</f>
        <v>669.11000000000035</v>
      </c>
      <c r="BZ72" s="14">
        <f>BY72*VLOOKUP('Données projet'!$B$12,Paramètres!$A$1:$I$89,3,0)*VLOOKUP('Données projet'!$B$12,Paramètres!$A$1:$I$89,5,0)</f>
        <v>313.14348000000018</v>
      </c>
      <c r="CA72" s="14">
        <f t="shared" si="93"/>
        <v>73.924927931497848</v>
      </c>
      <c r="CB72" s="22">
        <f t="shared" si="64"/>
        <v>674.14414381402571</v>
      </c>
      <c r="CC72" s="62">
        <f t="shared" si="65"/>
        <v>967.47747714735897</v>
      </c>
      <c r="CD72" s="62">
        <f ca="1">AVERAGE(OFFSET($CC$3,0,0,'Données projet'!$E$12+1,1))-AVERAGE(OFFSET($H$3,0,0,'Données projet'!$E$12+1,1))</f>
        <v>287.12723448949828</v>
      </c>
      <c r="CE72" s="62">
        <f t="shared" si="94"/>
        <v>170.5203352323382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2.3767232492005874</v>
      </c>
      <c r="CL72" s="23">
        <f>EXP(-LN(2)/25)*CL71+(1-EXP(-LN(2)/25))/(LN(2)/25)*Calculateur!CG72*Calculateur!CI72*VLOOKUP('Données projet'!$B$12,Paramètres!$A$1:$I$89,3,0)*0.475*44/12</f>
        <v>16.060198321768347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18.436921570968934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8.1000000000000032</v>
      </c>
      <c r="CT72" s="13">
        <f>IF('Données projet'!$A$140&gt;35,CT71+CS72-DB71,IF(A72&lt;'Données projet'!$A$140,$CQ$205^A72,IF(A72='Données projet'!$A$140,'Données projet'!$B$140,CT71+CS72-DB71)))</f>
        <v>434.7300000000007</v>
      </c>
      <c r="CU72" s="18">
        <f>CT72*VLOOKUP('Données projet'!$B$13,Paramètres!$A$1:$I$89,3,0)*VLOOKUP('Données projet'!$B$13,Paramètres!$A$1:$I$89,5,0)</f>
        <v>420.47085600000071</v>
      </c>
      <c r="CV72" s="14">
        <f t="shared" si="95"/>
        <v>95.914685090405655</v>
      </c>
      <c r="CW72" s="22">
        <f t="shared" si="67"/>
        <v>899.37148406579115</v>
      </c>
      <c r="CX72" s="62">
        <f t="shared" si="68"/>
        <v>1192.7048173991245</v>
      </c>
      <c r="CY72" s="62">
        <f ca="1">AVERAGE(OFFSET($CX$3,0,0,'Données projet'!$E$13+1,1))-AVERAGE(OFFSET($H$3,0,0,'Données projet'!$E$13+1,1))</f>
        <v>467.37715054082025</v>
      </c>
      <c r="CZ72" s="62">
        <f t="shared" si="96"/>
        <v>443.35096563136415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2.0987925670969481</v>
      </c>
      <c r="DG72" s="23">
        <f>EXP(-LN(2)/25)*DG71+(1-EXP(-LN(2)/25))/(LN(2)/25)*Calculateur!DB72*Calculateur!DD72*VLOOKUP('Données projet'!$B$13,Paramètres!$A$1:$I$89,3,0)*0.475*44/12</f>
        <v>2.333201345804961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4.431993912901909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8.1000000000000032</v>
      </c>
      <c r="DO72" s="13">
        <f>IF('Données projet'!$A$166&gt;35,DO71+DN72-DW71,IF(A72&lt;'Données projet'!$A$166,$DL$205^A72,IF(A72='Données projet'!$A$166,'Données projet'!$B$166,DO71+DN72-DW71)))</f>
        <v>434.7300000000007</v>
      </c>
      <c r="DP72" s="18">
        <f>DO72*VLOOKUP('Données projet'!$B$14,Paramètres!$A$1:$I$89,3,0)*VLOOKUP('Données projet'!$B$14,Paramètres!$A$1:$I$89,5,0)</f>
        <v>467.94337200000075</v>
      </c>
      <c r="DQ72" s="14">
        <f t="shared" si="97"/>
        <v>105.42287724380016</v>
      </c>
      <c r="DR72" s="22">
        <f t="shared" si="70"/>
        <v>998.61288409961981</v>
      </c>
      <c r="DS72" s="62">
        <f t="shared" si="71"/>
        <v>1291.9462174329531</v>
      </c>
      <c r="DT72" s="62">
        <f ca="1">AVERAGE(OFFSET($DS$3,0,0,'Données projet'!$E$14+1,1))-AVERAGE(OFFSET($H$3,0,0,'Données projet'!$E$14+1,1))</f>
        <v>524.51242549438939</v>
      </c>
      <c r="DU72" s="62">
        <f t="shared" si="98"/>
        <v>494.88778446576327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2.335753018220796</v>
      </c>
      <c r="EB72" s="23">
        <f>EXP(-LN(2)/25)*EB71+(1-EXP(-LN(2)/25))/(LN(2)/25)*Calculateur!DW72*Calculateur!DY72*VLOOKUP('Données projet'!$B$14,Paramètres!$A$1:$I$89,3,0)*0.475*44/12</f>
        <v>2.5966273042022938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4.9323803224230893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395.96238788291669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5.0166666666666657</v>
      </c>
      <c r="N73" s="14">
        <f>IF('Données projet'!$A$36&gt;35,N72+M73-V72,IF(A73&lt;'Données projet'!$A$36,$K$205^A73,IF(A73='Données projet'!$A$36,'Données projet'!$B$36,N72+M73-V72)))</f>
        <v>259.52999999999963</v>
      </c>
      <c r="O73" s="14">
        <f>N73*VLOOKUP('Données projet'!$B$9,Paramètres!$A$1:$I$89,3,0)*VLOOKUP('Données projet'!$B$9,Paramètres!$A$1:$I$89,5,0)</f>
        <v>234.82274399999966</v>
      </c>
      <c r="P73" s="14">
        <f t="shared" si="87"/>
        <v>57.324208777711178</v>
      </c>
      <c r="Q73" s="22">
        <f t="shared" si="54"/>
        <v>508.82260942117978</v>
      </c>
      <c r="R73" s="62">
        <f t="shared" si="55"/>
        <v>802.15594275451303</v>
      </c>
      <c r="S73" s="62">
        <f ca="1">AVERAGE(OFFSET($R$3,0,0,'Données projet'!$E$9+1,1))-AVERAGE(OFFSET($H$3,0,0,'Données projet'!$E$9+1,1))</f>
        <v>299.17641394512162</v>
      </c>
      <c r="T73" s="62">
        <f t="shared" si="88"/>
        <v>180.73046320039873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1.9382787988249186</v>
      </c>
      <c r="AA73" s="23">
        <f>EXP(-LN(2)/25)*AA72+(1-EXP(-LN(2)/25))/(LN(2)/25)*Calculateur!V73*Calculateur!X73*VLOOKUP('Données projet'!$B$9,Paramètres!$A$1:$I$89,3,0)*0.475*44/12</f>
        <v>2.0853597794445311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4.0236385782694502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4.4491666666666658</v>
      </c>
      <c r="AI73" s="14">
        <f>IF('Données projet'!$A$62&gt;35,AI72+AH73-AQ72,IF(A73&lt;'Données projet'!$A$62,$AF$205^A73,IF(A73='Données projet'!$A$62,'Données projet'!$B$62,AI72+AH73-AQ72)))</f>
        <v>243.28249999999957</v>
      </c>
      <c r="AJ73" s="14">
        <f>AI73*VLOOKUP('Données projet'!$B$10,Paramètres!$A$1:$I$89,3,0)*VLOOKUP('Données projet'!$B$10,Paramètres!$A$1:$I$89,5,0)</f>
        <v>246.68845499999961</v>
      </c>
      <c r="AK73" s="14">
        <f t="shared" si="89"/>
        <v>59.876273939372105</v>
      </c>
      <c r="AL73" s="22">
        <f t="shared" si="58"/>
        <v>533.93356956940568</v>
      </c>
      <c r="AM73" s="62">
        <f t="shared" si="59"/>
        <v>827.26690290273905</v>
      </c>
      <c r="AN73" s="62">
        <f ca="1">AVERAGE(OFFSET($AM$3,0,0,'Données projet'!$E$10+1,1))-AVERAGE(OFFSET($H$3,0,0,'Données projet'!$E$10+1,1))</f>
        <v>384.66322295929552</v>
      </c>
      <c r="AO73" s="62">
        <f t="shared" si="90"/>
        <v>248.53970183513286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1.6411957414946718</v>
      </c>
      <c r="AV73" s="23">
        <f>EXP(-LN(2)/25)*AV72+(1-EXP(-LN(2)/25))/(LN(2)/25)*Calculateur!AQ73*Calculateur!AS73*VLOOKUP('Données projet'!$B$10,Paramètres!$A$1:$I$89,3,0)*0.475*44/12</f>
        <v>1.9020014744863349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3.5431972159810066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343.79999999999995</v>
      </c>
      <c r="BE73" s="14">
        <f>BD73*VLOOKUP('Données projet'!$B$11,Paramètres!$A$1:$I$89,3,0)*VLOOKUP('Données projet'!$B$11,Paramètres!$A$1:$I$89,5,0)</f>
        <v>205.5924</v>
      </c>
      <c r="BF73" s="14">
        <f t="shared" si="91"/>
        <v>50.971228364263673</v>
      </c>
      <c r="BG73" s="22">
        <f t="shared" si="61"/>
        <v>446.84831940109251</v>
      </c>
      <c r="BH73" s="62">
        <f t="shared" si="62"/>
        <v>740.18165273442582</v>
      </c>
      <c r="BI73" s="62">
        <f ca="1">AVERAGE(OFFSET($BH$3,0,0,'Données projet'!$E$11+1,1))-AVERAGE(OFFSET($H$3,0,0,'Données projet'!$E$11+1,1))</f>
        <v>146.25807703055079</v>
      </c>
      <c r="BJ73" s="62">
        <f t="shared" si="92"/>
        <v>177.40137940534413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4.3127640776651051</v>
      </c>
      <c r="BQ73" s="23">
        <f>EXP(-LN(2)/25)*BQ72+(1-EXP(-LN(2)/25))/(LN(2)/25)*Calculateur!BL73*Calculateur!BN73*VLOOKUP('Données projet'!$B$11,Paramètres!$A$1:$I$89,3,0)*0.475*44/12</f>
        <v>3.2182765906971325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7.5310406683622375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14.900000000000006</v>
      </c>
      <c r="BY73" s="13">
        <f>IF('Données projet'!$A$114&gt;35,BY72+BX73-CG72,IF(A73&lt;'Données projet'!$A$114,$BV$205^A73,IF(A73='Données projet'!$A$114,'Données projet'!$B$114,BY72+BX73-CG72)))</f>
        <v>684.01000000000033</v>
      </c>
      <c r="BZ73" s="14">
        <f>BY73*VLOOKUP('Données projet'!$B$12,Paramètres!$A$1:$I$89,3,0)*VLOOKUP('Données projet'!$B$12,Paramètres!$A$1:$I$89,5,0)</f>
        <v>320.11668000000014</v>
      </c>
      <c r="CA73" s="14">
        <f t="shared" si="93"/>
        <v>75.377630690870532</v>
      </c>
      <c r="CB73" s="22">
        <f t="shared" si="64"/>
        <v>688.81925778659979</v>
      </c>
      <c r="CC73" s="62">
        <f t="shared" si="65"/>
        <v>982.15259111993305</v>
      </c>
      <c r="CD73" s="62">
        <f ca="1">AVERAGE(OFFSET($CC$3,0,0,'Données projet'!$E$12+1,1))-AVERAGE(OFFSET($H$3,0,0,'Données projet'!$E$12+1,1))</f>
        <v>287.12723448949828</v>
      </c>
      <c r="CE73" s="62">
        <f t="shared" si="94"/>
        <v>170.5203352323382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2.3301171559418039</v>
      </c>
      <c r="CL73" s="23">
        <f>EXP(-LN(2)/25)*CL72+(1-EXP(-LN(2)/25))/(LN(2)/25)*Calculateur!CG73*Calculateur!CI73*VLOOKUP('Données projet'!$B$12,Paramètres!$A$1:$I$89,3,0)*0.475*44/12</f>
        <v>15.621031354090468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17.951148510032272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8.1000000000000032</v>
      </c>
      <c r="CT73" s="13">
        <f>IF('Données projet'!$A$140&gt;35,CT72+CS73-DB72,IF(A73&lt;'Données projet'!$A$140,$CQ$205^A73,IF(A73='Données projet'!$A$140,'Données projet'!$B$140,CT72+CS73-DB72)))</f>
        <v>442.83000000000072</v>
      </c>
      <c r="CU73" s="18">
        <f>CT73*VLOOKUP('Données projet'!$B$13,Paramètres!$A$1:$I$89,3,0)*VLOOKUP('Données projet'!$B$13,Paramètres!$A$1:$I$89,5,0)</f>
        <v>428.3051760000007</v>
      </c>
      <c r="CV73" s="14">
        <f t="shared" si="95"/>
        <v>97.492072078414097</v>
      </c>
      <c r="CW73" s="22">
        <f t="shared" si="67"/>
        <v>915.76354040323895</v>
      </c>
      <c r="CX73" s="62">
        <f t="shared" si="68"/>
        <v>1209.0968737365722</v>
      </c>
      <c r="CY73" s="62">
        <f ca="1">AVERAGE(OFFSET($CX$3,0,0,'Données projet'!$E$13+1,1))-AVERAGE(OFFSET($H$3,0,0,'Données projet'!$E$13+1,1))</f>
        <v>467.37715054082025</v>
      </c>
      <c r="CZ73" s="62">
        <f t="shared" si="96"/>
        <v>443.35096563136415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2.05763652499324</v>
      </c>
      <c r="DG73" s="23">
        <f>EXP(-LN(2)/25)*DG72+(1-EXP(-LN(2)/25))/(LN(2)/25)*Calculateur!DB73*Calculateur!DD73*VLOOKUP('Données projet'!$B$13,Paramètres!$A$1:$I$89,3,0)*0.475*44/12</f>
        <v>2.2693998323061981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4.3270363572994377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8.1000000000000032</v>
      </c>
      <c r="DO73" s="13">
        <f>IF('Données projet'!$A$166&gt;35,DO72+DN73-DW72,IF(A73&lt;'Données projet'!$A$166,$DL$205^A73,IF(A73='Données projet'!$A$166,'Données projet'!$B$166,DO72+DN73-DW72)))</f>
        <v>442.83000000000072</v>
      </c>
      <c r="DP73" s="18">
        <f>DO73*VLOOKUP('Données projet'!$B$14,Paramètres!$A$1:$I$89,3,0)*VLOOKUP('Données projet'!$B$14,Paramètres!$A$1:$I$89,5,0)</f>
        <v>476.66221200000075</v>
      </c>
      <c r="DQ73" s="14">
        <f t="shared" si="97"/>
        <v>107.15663339017171</v>
      </c>
      <c r="DR73" s="22">
        <f t="shared" si="70"/>
        <v>1016.8178223878836</v>
      </c>
      <c r="DS73" s="62">
        <f t="shared" si="71"/>
        <v>1310.1511557212168</v>
      </c>
      <c r="DT73" s="62">
        <f ca="1">AVERAGE(OFFSET($DS$3,0,0,'Données projet'!$E$14+1,1))-AVERAGE(OFFSET($H$3,0,0,'Données projet'!$E$14+1,1))</f>
        <v>524.51242549438939</v>
      </c>
      <c r="DU73" s="62">
        <f t="shared" si="98"/>
        <v>494.88778446576327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2.289950326202153</v>
      </c>
      <c r="EB73" s="23">
        <f>EXP(-LN(2)/25)*EB72+(1-EXP(-LN(2)/25))/(LN(2)/25)*Calculateur!DW73*Calculateur!DY73*VLOOKUP('Données projet'!$B$14,Paramètres!$A$1:$I$89,3,0)*0.475*44/12</f>
        <v>2.5256223940181868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4.8155727202203398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397.90064293523346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5.0166666666666657</v>
      </c>
      <c r="N74" s="14">
        <f>IF('Données projet'!$A$36&gt;35,N73+M74-V73,IF(A74&lt;'Données projet'!$A$36,$K$205^A74,IF(A74='Données projet'!$A$36,'Données projet'!$B$36,N73+M74-V73)))</f>
        <v>264.54666666666628</v>
      </c>
      <c r="O74" s="14">
        <f>N74*VLOOKUP('Données projet'!$B$9,Paramètres!$A$1:$I$89,3,0)*VLOOKUP('Données projet'!$B$9,Paramètres!$A$1:$I$89,5,0)</f>
        <v>239.36182399999964</v>
      </c>
      <c r="P74" s="14">
        <f t="shared" si="87"/>
        <v>58.302202536690068</v>
      </c>
      <c r="Q74" s="22">
        <f t="shared" si="54"/>
        <v>518.43151288473462</v>
      </c>
      <c r="R74" s="62">
        <f t="shared" si="55"/>
        <v>811.76484621806799</v>
      </c>
      <c r="S74" s="62">
        <f ca="1">AVERAGE(OFFSET($R$3,0,0,'Données projet'!$E$9+1,1))-AVERAGE(OFFSET($H$3,0,0,'Données projet'!$E$9+1,1))</f>
        <v>299.17641394512162</v>
      </c>
      <c r="T74" s="62">
        <f t="shared" si="88"/>
        <v>180.73046320039873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1.9002703338132934</v>
      </c>
      <c r="AA74" s="23">
        <f>EXP(-LN(2)/25)*AA73+(1-EXP(-LN(2)/25))/(LN(2)/25)*Calculateur!V74*Calculateur!X74*VLOOKUP('Données projet'!$B$9,Paramètres!$A$1:$I$89,3,0)*0.475*44/12</f>
        <v>2.0283355066113158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3.9286058404246091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4.4491666666666658</v>
      </c>
      <c r="AI74" s="14">
        <f>IF('Données projet'!$A$62&gt;35,AI73+AH74-AQ73,IF(A74&lt;'Données projet'!$A$62,$AF$205^A74,IF(A74='Données projet'!$A$62,'Données projet'!$B$62,AI73+AH74-AQ73)))</f>
        <v>247.73166666666623</v>
      </c>
      <c r="AJ74" s="14">
        <f>AI74*VLOOKUP('Données projet'!$B$10,Paramètres!$A$1:$I$89,3,0)*VLOOKUP('Données projet'!$B$10,Paramètres!$A$1:$I$89,5,0)</f>
        <v>251.19990999999959</v>
      </c>
      <c r="AK74" s="14">
        <f t="shared" si="89"/>
        <v>60.842811873169076</v>
      </c>
      <c r="AL74" s="22">
        <f t="shared" si="58"/>
        <v>543.47440726243542</v>
      </c>
      <c r="AM74" s="62">
        <f t="shared" si="59"/>
        <v>836.80774059576879</v>
      </c>
      <c r="AN74" s="62">
        <f ca="1">AVERAGE(OFFSET($AM$3,0,0,'Données projet'!$E$10+1,1))-AVERAGE(OFFSET($H$3,0,0,'Données projet'!$E$10+1,1))</f>
        <v>384.66322295929552</v>
      </c>
      <c r="AO74" s="62">
        <f t="shared" si="90"/>
        <v>248.53970183513286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1.6090128940345201</v>
      </c>
      <c r="AV74" s="23">
        <f>EXP(-LN(2)/25)*AV73+(1-EXP(-LN(2)/25))/(LN(2)/25)*Calculateur!AQ74*Calculateur!AS74*VLOOKUP('Données projet'!$B$10,Paramètres!$A$1:$I$89,3,0)*0.475*44/12</f>
        <v>1.8499911441445958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3.4590040381791161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343.79999999999995</v>
      </c>
      <c r="BE74" s="14">
        <f>BD74*VLOOKUP('Données projet'!$B$11,Paramètres!$A$1:$I$89,3,0)*VLOOKUP('Données projet'!$B$11,Paramètres!$A$1:$I$89,5,0)</f>
        <v>205.5924</v>
      </c>
      <c r="BF74" s="14">
        <f t="shared" si="91"/>
        <v>50.971228364263673</v>
      </c>
      <c r="BG74" s="22">
        <f t="shared" si="61"/>
        <v>446.84831940109251</v>
      </c>
      <c r="BH74" s="62">
        <f t="shared" si="62"/>
        <v>740.18165273442582</v>
      </c>
      <c r="BI74" s="62">
        <f ca="1">AVERAGE(OFFSET($BH$3,0,0,'Données projet'!$E$11+1,1))-AVERAGE(OFFSET($H$3,0,0,'Données projet'!$E$11+1,1))</f>
        <v>146.25807703055079</v>
      </c>
      <c r="BJ74" s="62">
        <f t="shared" si="92"/>
        <v>177.40137940534413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4.2281934046284366</v>
      </c>
      <c r="BQ74" s="23">
        <f>EXP(-LN(2)/25)*BQ73+(1-EXP(-LN(2)/25))/(LN(2)/25)*Calculateur!BL74*Calculateur!BN74*VLOOKUP('Données projet'!$B$11,Paramètres!$A$1:$I$89,3,0)*0.475*44/12</f>
        <v>3.130272648082709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7.3584660527111456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14.900000000000006</v>
      </c>
      <c r="BY74" s="13">
        <f>IF('Données projet'!$A$114&gt;35,BY73+BX74-CG73,IF(A74&lt;'Données projet'!$A$114,$BV$205^A74,IF(A74='Données projet'!$A$114,'Données projet'!$B$114,BY73+BX74-CG73)))</f>
        <v>698.91000000000031</v>
      </c>
      <c r="BZ74" s="14">
        <f>BY74*VLOOKUP('Données projet'!$B$12,Paramètres!$A$1:$I$89,3,0)*VLOOKUP('Données projet'!$B$12,Paramètres!$A$1:$I$89,5,0)</f>
        <v>327.08988000000016</v>
      </c>
      <c r="CA74" s="14">
        <f t="shared" si="93"/>
        <v>76.826654368926398</v>
      </c>
      <c r="CB74" s="22">
        <f t="shared" si="64"/>
        <v>703.48796402588039</v>
      </c>
      <c r="CC74" s="62">
        <f t="shared" si="65"/>
        <v>996.82129735921376</v>
      </c>
      <c r="CD74" s="62">
        <f ca="1">AVERAGE(OFFSET($CC$3,0,0,'Données projet'!$E$12+1,1))-AVERAGE(OFFSET($H$3,0,0,'Données projet'!$E$12+1,1))</f>
        <v>287.12723448949828</v>
      </c>
      <c r="CE74" s="62">
        <f t="shared" si="94"/>
        <v>170.5203352323382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2.2844249797449154</v>
      </c>
      <c r="CL74" s="23">
        <f>EXP(-LN(2)/25)*CL73+(1-EXP(-LN(2)/25))/(LN(2)/25)*Calculateur!CG74*Calculateur!CI74*VLOOKUP('Données projet'!$B$12,Paramètres!$A$1:$I$89,3,0)*0.475*44/12</f>
        <v>15.193873430238527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17.478298409983442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8.1000000000000032</v>
      </c>
      <c r="CT74" s="13">
        <f>IF('Données projet'!$A$140&gt;35,CT73+CS74-DB73,IF(A74&lt;'Données projet'!$A$140,$CQ$205^A74,IF(A74='Données projet'!$A$140,'Données projet'!$B$140,CT73+CS74-DB73)))</f>
        <v>450.93000000000075</v>
      </c>
      <c r="CU74" s="18">
        <f>CT74*VLOOKUP('Données projet'!$B$13,Paramètres!$A$1:$I$89,3,0)*VLOOKUP('Données projet'!$B$13,Paramètres!$A$1:$I$89,5,0)</f>
        <v>436.13949600000069</v>
      </c>
      <c r="CV74" s="14">
        <f t="shared" si="95"/>
        <v>99.066103988823741</v>
      </c>
      <c r="CW74" s="22">
        <f t="shared" si="67"/>
        <v>932.14975331386916</v>
      </c>
      <c r="CX74" s="62">
        <f t="shared" si="68"/>
        <v>1225.4830866472025</v>
      </c>
      <c r="CY74" s="62">
        <f ca="1">AVERAGE(OFFSET($CX$3,0,0,'Données projet'!$E$13+1,1))-AVERAGE(OFFSET($H$3,0,0,'Données projet'!$E$13+1,1))</f>
        <v>467.37715054082025</v>
      </c>
      <c r="CZ74" s="62">
        <f t="shared" si="96"/>
        <v>443.35096563136415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2.0172875277724787</v>
      </c>
      <c r="DG74" s="23">
        <f>EXP(-LN(2)/25)*DG73+(1-EXP(-LN(2)/25))/(LN(2)/25)*Calculateur!DB74*Calculateur!DD74*VLOOKUP('Données projet'!$B$13,Paramètres!$A$1:$I$89,3,0)*0.475*44/12</f>
        <v>2.2073429745492348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4.2246305023217134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8.1000000000000032</v>
      </c>
      <c r="DO74" s="13">
        <f>IF('Données projet'!$A$166&gt;35,DO73+DN74-DW73,IF(A74&lt;'Données projet'!$A$166,$DL$205^A74,IF(A74='Données projet'!$A$166,'Données projet'!$B$166,DO73+DN74-DW73)))</f>
        <v>450.93000000000075</v>
      </c>
      <c r="DP74" s="18">
        <f>DO74*VLOOKUP('Données projet'!$B$14,Paramètres!$A$1:$I$89,3,0)*VLOOKUP('Données projet'!$B$14,Paramètres!$A$1:$I$89,5,0)</f>
        <v>485.38105200000075</v>
      </c>
      <c r="DQ74" s="14">
        <f t="shared" si="97"/>
        <v>108.88670186417578</v>
      </c>
      <c r="DR74" s="22">
        <f t="shared" si="70"/>
        <v>1035.0163379801074</v>
      </c>
      <c r="DS74" s="62">
        <f t="shared" si="71"/>
        <v>1328.3496713134407</v>
      </c>
      <c r="DT74" s="62">
        <f ca="1">AVERAGE(OFFSET($DS$3,0,0,'Données projet'!$E$14+1,1))-AVERAGE(OFFSET($H$3,0,0,'Données projet'!$E$14+1,1))</f>
        <v>524.51242549438939</v>
      </c>
      <c r="DU74" s="62">
        <f t="shared" si="98"/>
        <v>494.88778446576327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2.245045797037112</v>
      </c>
      <c r="EB74" s="23">
        <f>EXP(-LN(2)/25)*EB73+(1-EXP(-LN(2)/25))/(LN(2)/25)*Calculateur!DW74*Calculateur!DY74*VLOOKUP('Données projet'!$B$14,Paramètres!$A$1:$I$89,3,0)*0.475*44/12</f>
        <v>2.4565591168370502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4.7016049138741618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399.83825982126905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5.0166666666666657</v>
      </c>
      <c r="N75" s="14">
        <f>IF('Données projet'!$A$36&gt;35,N74+M75-V74,IF(A75&lt;'Données projet'!$A$36,$K$205^A75,IF(A75='Données projet'!$A$36,'Données projet'!$B$36,N74+M75-V74)))</f>
        <v>269.56333333333293</v>
      </c>
      <c r="O75" s="14">
        <f>N75*VLOOKUP('Données projet'!$B$9,Paramètres!$A$1:$I$89,3,0)*VLOOKUP('Données projet'!$B$9,Paramètres!$A$1:$I$89,5,0)</f>
        <v>243.90090399999966</v>
      </c>
      <c r="P75" s="14">
        <f t="shared" si="87"/>
        <v>59.278039791480261</v>
      </c>
      <c r="Q75" s="22">
        <f t="shared" si="54"/>
        <v>528.03666043682745</v>
      </c>
      <c r="R75" s="62">
        <f t="shared" si="55"/>
        <v>821.36999377016082</v>
      </c>
      <c r="S75" s="62">
        <f ca="1">AVERAGE(OFFSET($R$3,0,0,'Données projet'!$E$9+1,1))-AVERAGE(OFFSET($H$3,0,0,'Données projet'!$E$9+1,1))</f>
        <v>299.17641394512162</v>
      </c>
      <c r="T75" s="62">
        <f t="shared" si="88"/>
        <v>180.73046320039873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1.8630071916176716</v>
      </c>
      <c r="AA75" s="23">
        <f>EXP(-LN(2)/25)*AA74+(1-EXP(-LN(2)/25))/(LN(2)/25)*Calculateur!V75*Calculateur!X75*VLOOKUP('Données projet'!$B$9,Paramètres!$A$1:$I$89,3,0)*0.475*44/12</f>
        <v>1.972870565517501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3.8358777571351723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4.4491666666666658</v>
      </c>
      <c r="AI75" s="14">
        <f>IF('Données projet'!$A$62&gt;35,AI74+AH75-AQ74,IF(A75&lt;'Données projet'!$A$62,$AF$205^A75,IF(A75='Données projet'!$A$62,'Données projet'!$B$62,AI74+AH75-AQ74)))</f>
        <v>252.18083333333288</v>
      </c>
      <c r="AJ75" s="14">
        <f>AI75*VLOOKUP('Données projet'!$B$10,Paramètres!$A$1:$I$89,3,0)*VLOOKUP('Données projet'!$B$10,Paramètres!$A$1:$I$89,5,0)</f>
        <v>255.71136499999957</v>
      </c>
      <c r="AK75" s="14">
        <f t="shared" si="89"/>
        <v>61.807331255395553</v>
      </c>
      <c r="AL75" s="22">
        <f t="shared" si="58"/>
        <v>553.01172931147983</v>
      </c>
      <c r="AM75" s="62">
        <f t="shared" si="59"/>
        <v>846.3450626448132</v>
      </c>
      <c r="AN75" s="62">
        <f ca="1">AVERAGE(OFFSET($AM$3,0,0,'Données projet'!$E$10+1,1))-AVERAGE(OFFSET($H$3,0,0,'Données projet'!$E$10+1,1))</f>
        <v>384.66322295929552</v>
      </c>
      <c r="AO75" s="62">
        <f t="shared" si="90"/>
        <v>248.53970183513286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1.5774611325834631</v>
      </c>
      <c r="AV75" s="23">
        <f>EXP(-LN(2)/25)*AV74+(1-EXP(-LN(2)/25))/(LN(2)/25)*Calculateur!AQ75*Calculateur!AS75*VLOOKUP('Données projet'!$B$10,Paramètres!$A$1:$I$89,3,0)*0.475*44/12</f>
        <v>1.7994030390211557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3.3768641716046188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343.79999999999995</v>
      </c>
      <c r="BE75" s="14">
        <f>BD75*VLOOKUP('Données projet'!$B$11,Paramètres!$A$1:$I$89,3,0)*VLOOKUP('Données projet'!$B$11,Paramètres!$A$1:$I$89,5,0)</f>
        <v>205.5924</v>
      </c>
      <c r="BF75" s="14">
        <f t="shared" si="91"/>
        <v>50.971228364263673</v>
      </c>
      <c r="BG75" s="22">
        <f t="shared" si="61"/>
        <v>446.84831940109251</v>
      </c>
      <c r="BH75" s="62">
        <f t="shared" si="62"/>
        <v>740.18165273442582</v>
      </c>
      <c r="BI75" s="62">
        <f ca="1">AVERAGE(OFFSET($BH$3,0,0,'Données projet'!$E$11+1,1))-AVERAGE(OFFSET($H$3,0,0,'Données projet'!$E$11+1,1))</f>
        <v>146.25807703055079</v>
      </c>
      <c r="BJ75" s="62">
        <f t="shared" si="92"/>
        <v>177.40137940534413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4.1452811109070007</v>
      </c>
      <c r="BQ75" s="23">
        <f>EXP(-LN(2)/25)*BQ74+(1-EXP(-LN(2)/25))/(LN(2)/25)*Calculateur!BL75*Calculateur!BN75*VLOOKUP('Données projet'!$B$11,Paramètres!$A$1:$I$89,3,0)*0.475*44/12</f>
        <v>3.0446751779070031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7.1899562888140043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14.900000000000006</v>
      </c>
      <c r="BY75" s="13">
        <f>IF('Données projet'!$A$114&gt;35,BY74+BX75-CG74,IF(A75&lt;'Données projet'!$A$114,$BV$205^A75,IF(A75='Données projet'!$A$114,'Données projet'!$B$114,BY74+BX75-CG74)))</f>
        <v>713.81000000000029</v>
      </c>
      <c r="BZ75" s="14">
        <f>BY75*VLOOKUP('Données projet'!$B$12,Paramètres!$A$1:$I$89,3,0)*VLOOKUP('Données projet'!$B$12,Paramètres!$A$1:$I$89,5,0)</f>
        <v>334.06308000000013</v>
      </c>
      <c r="CA75" s="14">
        <f t="shared" si="93"/>
        <v>78.272086434215097</v>
      </c>
      <c r="CB75" s="22">
        <f t="shared" si="64"/>
        <v>718.1504148729249</v>
      </c>
      <c r="CC75" s="62">
        <f t="shared" si="65"/>
        <v>1011.4837482062583</v>
      </c>
      <c r="CD75" s="62">
        <f ca="1">AVERAGE(OFFSET($CC$3,0,0,'Données projet'!$E$12+1,1))-AVERAGE(OFFSET($H$3,0,0,'Données projet'!$E$12+1,1))</f>
        <v>287.12723448949828</v>
      </c>
      <c r="CE75" s="62">
        <f t="shared" si="94"/>
        <v>170.5203352323382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2.2396287992537722</v>
      </c>
      <c r="CL75" s="23">
        <f>EXP(-LN(2)/25)*CL74+(1-EXP(-LN(2)/25))/(LN(2)/25)*Calculateur!CG75*Calculateur!CI75*VLOOKUP('Données projet'!$B$12,Paramètres!$A$1:$I$89,3,0)*0.475*44/12</f>
        <v>14.778396162277577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17.018024961531349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8.1000000000000032</v>
      </c>
      <c r="CT75" s="13">
        <f>IF('Données projet'!$A$140&gt;35,CT74+CS75-DB74,IF(A75&lt;'Données projet'!$A$140,$CQ$205^A75,IF(A75='Données projet'!$A$140,'Données projet'!$B$140,CT74+CS75-DB74)))</f>
        <v>459.03000000000077</v>
      </c>
      <c r="CU75" s="18">
        <f>CT75*VLOOKUP('Données projet'!$B$13,Paramètres!$A$1:$I$89,3,0)*VLOOKUP('Données projet'!$B$13,Paramètres!$A$1:$I$89,5,0)</f>
        <v>443.9738160000008</v>
      </c>
      <c r="CV75" s="14">
        <f t="shared" si="95"/>
        <v>100.63684804053902</v>
      </c>
      <c r="CW75" s="22">
        <f t="shared" si="67"/>
        <v>948.53023987060681</v>
      </c>
      <c r="CX75" s="62">
        <f t="shared" si="68"/>
        <v>1241.8635732039402</v>
      </c>
      <c r="CY75" s="62">
        <f ca="1">AVERAGE(OFFSET($CX$3,0,0,'Données projet'!$E$13+1,1))-AVERAGE(OFFSET($H$3,0,0,'Données projet'!$E$13+1,1))</f>
        <v>467.37715054082025</v>
      </c>
      <c r="CZ75" s="62">
        <f t="shared" si="96"/>
        <v>443.35096563136415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1.9777297497767581</v>
      </c>
      <c r="DG75" s="23">
        <f>EXP(-LN(2)/25)*DG74+(1-EXP(-LN(2)/25))/(LN(2)/25)*Calculateur!DB75*Calculateur!DD75*VLOOKUP('Données projet'!$B$13,Paramètres!$A$1:$I$89,3,0)*0.475*44/12</f>
        <v>2.1469830648310637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4.1247128146078218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8.1000000000000032</v>
      </c>
      <c r="DO75" s="13">
        <f>IF('Données projet'!$A$166&gt;35,DO74+DN75-DW74,IF(A75&lt;'Données projet'!$A$166,$DL$205^A75,IF(A75='Données projet'!$A$166,'Données projet'!$B$166,DO74+DN75-DW74)))</f>
        <v>459.03000000000077</v>
      </c>
      <c r="DP75" s="18">
        <f>DO75*VLOOKUP('Données projet'!$B$14,Paramètres!$A$1:$I$89,3,0)*VLOOKUP('Données projet'!$B$14,Paramètres!$A$1:$I$89,5,0)</f>
        <v>494.09989200000081</v>
      </c>
      <c r="DQ75" s="14">
        <f t="shared" si="97"/>
        <v>110.61315654824557</v>
      </c>
      <c r="DR75" s="22">
        <f t="shared" si="70"/>
        <v>1053.2085595548626</v>
      </c>
      <c r="DS75" s="62">
        <f t="shared" si="71"/>
        <v>1346.5418928881959</v>
      </c>
      <c r="DT75" s="62">
        <f ca="1">AVERAGE(OFFSET($DS$3,0,0,'Données projet'!$E$14+1,1))-AVERAGE(OFFSET($H$3,0,0,'Données projet'!$E$14+1,1))</f>
        <v>524.51242549438939</v>
      </c>
      <c r="DU75" s="62">
        <f t="shared" si="98"/>
        <v>494.88778446576327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2.2010218182999393</v>
      </c>
      <c r="EB75" s="23">
        <f>EXP(-LN(2)/25)*EB74+(1-EXP(-LN(2)/25))/(LN(2)/25)*Calculateur!DW75*Calculateur!DY75*VLOOKUP('Données projet'!$B$14,Paramètres!$A$1:$I$89,3,0)*0.475*44/12</f>
        <v>2.3893843786023115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4.5904061969022507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401.77524842879154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>
        <f>VLOOKUP(A76,'Données projet'!$A$35:$I$55,2,0)</f>
        <v>274.58</v>
      </c>
      <c r="L76" s="13">
        <f>VLOOKUP(A76,'Données projet'!$A$35:$I$55,9,0)</f>
        <v>5.0166666666666657</v>
      </c>
      <c r="M76" s="13">
        <f t="array" ref="M76">INDEX(L:L,MIN(IF(ISNUMBER(L76:L272),ROW(L76:L272),"")))</f>
        <v>5.0166666666666657</v>
      </c>
      <c r="N76" s="14">
        <f>IF('Données projet'!$A$36&gt;35,N75+M76-V75,IF(A76&lt;'Données projet'!$A$36,$K$205^A76,IF(A76='Données projet'!$A$36,'Données projet'!$B$36,N75+M76-V75)))</f>
        <v>274.57999999999959</v>
      </c>
      <c r="O76" s="14">
        <f>N76*VLOOKUP('Données projet'!$B$9,Paramètres!$A$1:$I$89,3,0)*VLOOKUP('Données projet'!$B$9,Paramètres!$A$1:$I$89,5,0)</f>
        <v>248.43998399999964</v>
      </c>
      <c r="P76" s="14">
        <f t="shared" si="87"/>
        <v>60.251765303600827</v>
      </c>
      <c r="Q76" s="22">
        <f t="shared" si="54"/>
        <v>537.63813003710413</v>
      </c>
      <c r="R76" s="62">
        <f t="shared" si="55"/>
        <v>830.9714633704375</v>
      </c>
      <c r="S76" s="62">
        <f ca="1">AVERAGE(OFFSET($R$3,0,0,'Données projet'!$E$9+1,1))-AVERAGE(OFFSET($H$3,0,0,'Données projet'!$E$9+1,1))</f>
        <v>299.17641394512162</v>
      </c>
      <c r="T76" s="62">
        <f t="shared" si="88"/>
        <v>180.73046320039873</v>
      </c>
      <c r="U76" s="16">
        <f>IF(ISNA(VLOOKUP(A76,'Données projet'!$A$35:$I$55,3,0)),0,VLOOKUP(A76,'Données projet'!$A$35:$I$55,3,0))</f>
        <v>5</v>
      </c>
      <c r="V76" s="16">
        <f>IF(ISNA(VLOOKUP(A76,'Données projet'!$A$35:$I$55,4,0)),0,VLOOKUP(A76,'Données projet'!$A$35:$I$55,4,0))</f>
        <v>27.46</v>
      </c>
      <c r="W76" s="17">
        <f>IF(ISNA(VLOOKUP(A76,'Données projet'!$A$35:$I$55,5,0)),0%,VLOOKUP(A76,'Données projet'!$A$35:$I$55,5,0)*VLOOKUP('Données projet'!$B$9,Paramètres!$A$1:$I$89,7,0))</f>
        <v>7.7399999999999997E-2</v>
      </c>
      <c r="X76" s="17">
        <f>IF(ISNA(VLOOKUP(A76,'Données projet'!$A$35:$I$55,6,0)),0%,VLOOKUP(A76,'Données projet'!$A$35:$I$55,6,0)*VLOOKUP('Données projet'!$B$9,Paramètres!$A$1:$I$89,7,0))</f>
        <v>7.7399999999999997E-2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3.9523667483983944</v>
      </c>
      <c r="AA76" s="23">
        <f>EXP(-LN(2)/25)*AA75+(1-EXP(-LN(2)/25))/(LN(2)/25)*Calculateur!V76*Calculateur!X76*VLOOKUP('Données projet'!$B$9,Paramètres!$A$1:$I$89,3,0)*0.475*44/12</f>
        <v>4.036443860841997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7.9888106092403914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>
        <f>VLOOKUP(A76,'Données projet'!$A$61:$I$81,2,0)</f>
        <v>256.63</v>
      </c>
      <c r="AG76" s="13">
        <f>VLOOKUP(A76,'Données projet'!$A$61:$I$81,9,0)</f>
        <v>4.4491666666666658</v>
      </c>
      <c r="AH76" s="13">
        <f t="array" ref="AH76">INDEX(AG:AG,MIN(IF(ISNUMBER(AG76:AG272),ROW(AG76:AG272),"")))</f>
        <v>4.4491666666666658</v>
      </c>
      <c r="AI76" s="14">
        <f>IF('Données projet'!$A$62&gt;35,AI75+AH76-AQ75,IF(A76&lt;'Données projet'!$A$62,$AF$205^A76,IF(A76='Données projet'!$A$62,'Données projet'!$B$62,AI75+AH76-AQ75)))</f>
        <v>256.62999999999954</v>
      </c>
      <c r="AJ76" s="14">
        <f>AI76*VLOOKUP('Données projet'!$B$10,Paramètres!$A$1:$I$89,3,0)*VLOOKUP('Données projet'!$B$10,Paramètres!$A$1:$I$89,5,0)</f>
        <v>260.22281999999956</v>
      </c>
      <c r="AK76" s="14">
        <f t="shared" si="89"/>
        <v>62.7698718075697</v>
      </c>
      <c r="AL76" s="22">
        <f t="shared" si="58"/>
        <v>562.54560489818311</v>
      </c>
      <c r="AM76" s="62">
        <f t="shared" si="59"/>
        <v>855.87893823151649</v>
      </c>
      <c r="AN76" s="62">
        <f ca="1">AVERAGE(OFFSET($AM$3,0,0,'Données projet'!$E$10+1,1))-AVERAGE(OFFSET($H$3,0,0,'Données projet'!$E$10+1,1))</f>
        <v>384.66322295929552</v>
      </c>
      <c r="AO76" s="62">
        <f t="shared" si="90"/>
        <v>248.53970183513286</v>
      </c>
      <c r="AP76" s="16">
        <f>IF(ISNA(VLOOKUP(A76,'Données projet'!$A$61:$I$81,3,0)),0,VLOOKUP(A76,'Données projet'!$A$61:$I$81,3,0))</f>
        <v>5</v>
      </c>
      <c r="AQ76" s="16">
        <f>IF(ISNA(VLOOKUP(A76,'Données projet'!$A$61:$I$81,4,0)),0,VLOOKUP(A76,'Données projet'!$A$61:$I$81,4,0))</f>
        <v>25.66</v>
      </c>
      <c r="AR76" s="17">
        <f>IF(ISNA(VLOOKUP(A76,'Données projet'!$A$61:$I$81,5,0)),0%,VLOOKUP(A76,'Données projet'!$A$61:$I$81,5,0)*VLOOKUP('Données projet'!$B$10,Paramètres!$A$1:$I$89,7,0))</f>
        <v>6.0200000000000004E-2</v>
      </c>
      <c r="AS76" s="17">
        <f>IF(ISNA(VLOOKUP(A76,'Données projet'!$A$61:$I$81,6,0)),0%,VLOOKUP(A76,'Données projet'!$A$61:$I$81,6,0)*VLOOKUP('Données projet'!$B$10,Paramètres!$A$1:$I$89,7,0))</f>
        <v>6.0200000000000004E-2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3.2780907288309145</v>
      </c>
      <c r="AV76" s="23">
        <f>EXP(-LN(2)/25)*AV75+(1-EXP(-LN(2)/25))/(LN(2)/25)*Calculateur!AQ76*Calculateur!AS76*VLOOKUP('Données projet'!$B$10,Paramètres!$A$1:$I$89,3,0)*0.475*44/12</f>
        <v>3.4749430932758121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6.7530338221067261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343.79999999999995</v>
      </c>
      <c r="BE76" s="14">
        <f>BD76*VLOOKUP('Données projet'!$B$11,Paramètres!$A$1:$I$89,3,0)*VLOOKUP('Données projet'!$B$11,Paramètres!$A$1:$I$89,5,0)</f>
        <v>205.5924</v>
      </c>
      <c r="BF76" s="14">
        <f t="shared" si="91"/>
        <v>50.971228364263673</v>
      </c>
      <c r="BG76" s="22">
        <f t="shared" si="61"/>
        <v>446.84831940109251</v>
      </c>
      <c r="BH76" s="62">
        <f t="shared" si="62"/>
        <v>740.18165273442582</v>
      </c>
      <c r="BI76" s="62">
        <f ca="1">AVERAGE(OFFSET($BH$3,0,0,'Données projet'!$E$11+1,1))-AVERAGE(OFFSET($H$3,0,0,'Données projet'!$E$11+1,1))</f>
        <v>146.25807703055079</v>
      </c>
      <c r="BJ76" s="62">
        <f t="shared" si="92"/>
        <v>177.40137940534413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4.0639946766939357</v>
      </c>
      <c r="BQ76" s="23">
        <f>EXP(-LN(2)/25)*BQ75+(1-EXP(-LN(2)/25))/(LN(2)/25)*Calculateur!BL76*Calculateur!BN76*VLOOKUP('Données projet'!$B$11,Paramètres!$A$1:$I$89,3,0)*0.475*44/12</f>
        <v>2.9614183750546275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7.0254130517485631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>
        <f>VLOOKUP(A76,'Données projet'!$A$113:$I$133,2,0)</f>
        <v>728.71</v>
      </c>
      <c r="BW76" s="13">
        <f>VLOOKUP(A76,'Données projet'!$A$113:$I$133,9,0)</f>
        <v>14.900000000000006</v>
      </c>
      <c r="BX76" s="13">
        <f t="array" ref="BX76">INDEX(BW:BW,MIN(IF(ISNUMBER(BW76:BW272),ROW(BW76:BW272),"")))</f>
        <v>14.900000000000006</v>
      </c>
      <c r="BY76" s="13">
        <f>IF('Données projet'!$A$114&gt;35,BY75+BX76-CG75,IF(A76&lt;'Données projet'!$A$114,$BV$205^A76,IF(A76='Données projet'!$A$114,'Données projet'!$B$114,BY75+BX76-CG75)))</f>
        <v>728.71000000000026</v>
      </c>
      <c r="BZ76" s="14">
        <f>BY76*VLOOKUP('Données projet'!$B$12,Paramètres!$A$1:$I$89,3,0)*VLOOKUP('Données projet'!$B$12,Paramètres!$A$1:$I$89,5,0)</f>
        <v>341.03628000000015</v>
      </c>
      <c r="CA76" s="14">
        <f t="shared" si="93"/>
        <v>79.714010494991527</v>
      </c>
      <c r="CB76" s="22">
        <f t="shared" si="64"/>
        <v>732.8067559454438</v>
      </c>
      <c r="CC76" s="62">
        <f t="shared" si="65"/>
        <v>1026.1400892787772</v>
      </c>
      <c r="CD76" s="62">
        <f ca="1">AVERAGE(OFFSET($CC$3,0,0,'Données projet'!$E$12+1,1))-AVERAGE(OFFSET($H$3,0,0,'Données projet'!$E$12+1,1))</f>
        <v>287.12723448949828</v>
      </c>
      <c r="CE76" s="62">
        <f t="shared" si="94"/>
        <v>170.5203352323382</v>
      </c>
      <c r="CF76" s="16">
        <f>IF(ISNA(VLOOKUP(A76,'Données projet'!$A$113:$I$133,3,0)),0,VLOOKUP(A76,'Données projet'!$A$113:$I$133,3,0))</f>
        <v>5</v>
      </c>
      <c r="CG76" s="16">
        <f>IF(ISNA(VLOOKUP(A76,'Données projet'!$A$113:$I$133,4,0)),0,VLOOKUP(A76,'Données projet'!$A$113:$I$133,4,0))</f>
        <v>72.87</v>
      </c>
      <c r="CH76" s="17">
        <f>IF(ISNA(VLOOKUP(A76,'Données projet'!$A$113:$I$133,5,0)),0%,VLOOKUP(A76,'Données projet'!$A$113:$I$133,5,0)*VLOOKUP('Données projet'!$B$12,Paramètres!$A$1:$I$89,7,0))</f>
        <v>6.0500000000000005E-2</v>
      </c>
      <c r="CI76" s="17">
        <f>IF(ISNA(VLOOKUP(A76,'Données projet'!$A$113:$I$133,6,0)),0%,VLOOKUP(A76,'Données projet'!$A$113:$I$133,6,0)*VLOOKUP('Données projet'!$B$12,Paramètres!$A$1:$I$89,7,0))</f>
        <v>0.30250000000000005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4.932733456926222</v>
      </c>
      <c r="CL76" s="23">
        <f>EXP(-LN(2)/25)*CL75+(1-EXP(-LN(2)/25))/(LN(2)/25)*Calculateur!CG76*Calculateur!CI76*VLOOKUP('Données projet'!$B$12,Paramètres!$A$1:$I$89,3,0)*0.475*44/12</f>
        <v>28.005508703369351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32.938242160295573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>
        <f>VLOOKUP(A76,'Données projet'!$A$139:$I$159,2,0)</f>
        <v>467.13</v>
      </c>
      <c r="CR76" s="13">
        <f>VLOOKUP(A76,'Données projet'!$A$139:$I$159,9,0)</f>
        <v>8.1000000000000032</v>
      </c>
      <c r="CS76" s="13">
        <f t="array" ref="CS76">INDEX(CR:CR,MIN(IF(ISNUMBER(CR76:CR272),ROW(CR76:CR272),"")))</f>
        <v>8.1000000000000032</v>
      </c>
      <c r="CT76" s="13">
        <f>IF('Données projet'!$A$140&gt;35,CT75+CS76-DB75,IF(A76&lt;'Données projet'!$A$140,$CQ$205^A76,IF(A76='Données projet'!$A$140,'Données projet'!$B$140,CT75+CS76-DB75)))</f>
        <v>467.13000000000079</v>
      </c>
      <c r="CU76" s="18">
        <f>CT76*VLOOKUP('Données projet'!$B$13,Paramètres!$A$1:$I$89,3,0)*VLOOKUP('Données projet'!$B$13,Paramètres!$A$1:$I$89,5,0)</f>
        <v>451.80813600000079</v>
      </c>
      <c r="CV76" s="14">
        <f t="shared" si="95"/>
        <v>102.20436894430831</v>
      </c>
      <c r="CW76" s="22">
        <f t="shared" si="67"/>
        <v>964.90511277800488</v>
      </c>
      <c r="CX76" s="62">
        <f t="shared" si="68"/>
        <v>1258.2384461113381</v>
      </c>
      <c r="CY76" s="62">
        <f ca="1">AVERAGE(OFFSET($CX$3,0,0,'Données projet'!$E$13+1,1))-AVERAGE(OFFSET($H$3,0,0,'Données projet'!$E$13+1,1))</f>
        <v>467.37715054082025</v>
      </c>
      <c r="CZ76" s="62">
        <f t="shared" si="96"/>
        <v>443.35096563136415</v>
      </c>
      <c r="DA76" s="16">
        <f>IF(ISNA(VLOOKUP(A76,'Données projet'!$A$139:$I$159,3,0)),0,VLOOKUP(A76,'Données projet'!$A$139:$I$159,3,0))</f>
        <v>5</v>
      </c>
      <c r="DB76" s="16">
        <f>IF(ISNA(VLOOKUP(A76,'Données projet'!$A$139:$I$159,4,0)),0,VLOOKUP(A76,'Données projet'!$A$139:$I$159,4,0))</f>
        <v>46.71</v>
      </c>
      <c r="DC76" s="17">
        <f>IF(ISNA(VLOOKUP(A76,'Données projet'!$A$139:$I$159,5,0)),0%,VLOOKUP(A76,'Données projet'!$A$139:$I$159,5,0)*VLOOKUP('Données projet'!$B$13,Paramètres!$A$1:$I$89,7,0))</f>
        <v>4.7300000000000002E-2</v>
      </c>
      <c r="DD76" s="17">
        <f>IF(ISNA(VLOOKUP(A76,'Données projet'!$A$139:$I$159,6,0)),0%,VLOOKUP(A76,'Données projet'!$A$139:$I$159,6,0)*VLOOKUP('Données projet'!$B$13,Paramètres!$A$1:$I$89,7,0))</f>
        <v>4.7300000000000002E-2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4.3012441744190886</v>
      </c>
      <c r="DG76" s="23">
        <f>EXP(-LN(2)/25)*DG75+(1-EXP(-LN(2)/25))/(LN(2)/25)*Calculateur!DB76*Calculateur!DD76*VLOOKUP('Données projet'!$B$13,Paramètres!$A$1:$I$89,3,0)*0.475*44/12</f>
        <v>4.4412689373366714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8.7425131117557591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>
        <f>VLOOKUP(A76,'Données projet'!$A$165:$I$185,2,0)</f>
        <v>467.13</v>
      </c>
      <c r="DM76" s="13">
        <f>VLOOKUP(A76,'Données projet'!$A$165:$I$185,9,0)</f>
        <v>8.1000000000000032</v>
      </c>
      <c r="DN76" s="13">
        <f t="array" ref="DN76">INDEX(DM:DM,MIN(IF(ISNUMBER(DM76:DM272),ROW(DM76:DM272),"")))</f>
        <v>8.1000000000000032</v>
      </c>
      <c r="DO76" s="13">
        <f>IF('Données projet'!$A$166&gt;35,DO75+DN76-DW75,IF(A76&lt;'Données projet'!$A$166,$DL$205^A76,IF(A76='Données projet'!$A$166,'Données projet'!$B$166,DO75+DN76-DW75)))</f>
        <v>467.13000000000079</v>
      </c>
      <c r="DP76" s="18">
        <f>DO76*VLOOKUP('Données projet'!$B$14,Paramètres!$A$1:$I$89,3,0)*VLOOKUP('Données projet'!$B$14,Paramètres!$A$1:$I$89,5,0)</f>
        <v>502.81873200000081</v>
      </c>
      <c r="DQ76" s="14">
        <f t="shared" si="97"/>
        <v>112.33606856802022</v>
      </c>
      <c r="DR76" s="22">
        <f t="shared" si="70"/>
        <v>1071.3946109893034</v>
      </c>
      <c r="DS76" s="62">
        <f t="shared" si="71"/>
        <v>1364.7279443226366</v>
      </c>
      <c r="DT76" s="62">
        <f ca="1">AVERAGE(OFFSET($DS$3,0,0,'Données projet'!$E$14+1,1))-AVERAGE(OFFSET($H$3,0,0,'Données projet'!$E$14+1,1))</f>
        <v>524.51242549438939</v>
      </c>
      <c r="DU76" s="62">
        <f t="shared" si="98"/>
        <v>494.88778446576327</v>
      </c>
      <c r="DV76" s="16">
        <f>IF(ISNA(VLOOKUP(A76,'Données projet'!$A$165:$I$185,3,0)),0,VLOOKUP(A76,'Données projet'!$A$165:$I$185,3,0))</f>
        <v>5</v>
      </c>
      <c r="DW76" s="16">
        <f>IF(ISNA(VLOOKUP(A76,'Données projet'!$A$165:$I$185,4,0)),0,VLOOKUP(A76,'Données projet'!$A$165:$I$185,4,0))</f>
        <v>46.71</v>
      </c>
      <c r="DX76" s="17">
        <f>IF(ISNA(VLOOKUP(A76,'Données projet'!$A$165:$I$185,5,0)),0%,VLOOKUP(A76,'Données projet'!$A$165:$I$185,5,0)*VLOOKUP('Données projet'!$B$14,Paramètres!$A$1:$I$89,7,0))</f>
        <v>4.7300000000000002E-2</v>
      </c>
      <c r="DY76" s="17">
        <f>IF(ISNA(VLOOKUP(A76,'Données projet'!$A$165:$I$185,6,0)),0%,VLOOKUP(A76,'Données projet'!$A$165:$I$185,6,0)*VLOOKUP('Données projet'!$B$14,Paramètres!$A$1:$I$89,7,0))</f>
        <v>4.7300000000000002E-2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4.7868685166922091</v>
      </c>
      <c r="EB76" s="23">
        <f>EXP(-LN(2)/25)*EB75+(1-EXP(-LN(2)/25))/(LN(2)/25)*Calculateur!DW76*Calculateur!DY76*VLOOKUP('Données projet'!$B$14,Paramètres!$A$1:$I$89,3,0)*0.475*44/12</f>
        <v>4.9427025270359719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9.7295710437281819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403.71161835910709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4.4666666666666712</v>
      </c>
      <c r="N77" s="14">
        <f>IF('Données projet'!$A$36&gt;35,N76+M77-V76,IF(A77&lt;'Données projet'!$A$36,$K$205^A77,IF(A77='Données projet'!$A$36,'Données projet'!$B$36,N76+M77-V76)))</f>
        <v>251.58666666666628</v>
      </c>
      <c r="O77" s="14">
        <f>N77*VLOOKUP('Données projet'!$B$9,Paramètres!$A$1:$I$89,3,0)*VLOOKUP('Données projet'!$B$9,Paramètres!$A$1:$I$89,5,0)</f>
        <v>227.63561599999966</v>
      </c>
      <c r="P77" s="14">
        <f t="shared" si="87"/>
        <v>55.771139386683693</v>
      </c>
      <c r="Q77" s="22">
        <f t="shared" si="54"/>
        <v>493.60009896514015</v>
      </c>
      <c r="R77" s="62">
        <f t="shared" si="55"/>
        <v>786.93343229847346</v>
      </c>
      <c r="S77" s="62">
        <f ca="1">AVERAGE(OFFSET($R$3,0,0,'Données projet'!$E$9+1,1))-AVERAGE(OFFSET($H$3,0,0,'Données projet'!$E$9+1,1))</f>
        <v>299.17641394512162</v>
      </c>
      <c r="T77" s="62">
        <f t="shared" si="88"/>
        <v>180.73046320039873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3.8748632471679811</v>
      </c>
      <c r="AA77" s="23">
        <f>EXP(-LN(2)/25)*AA76+(1-EXP(-LN(2)/25))/(LN(2)/25)*Calculateur!V77*Calculateur!X77*VLOOKUP('Données projet'!$B$9,Paramètres!$A$1:$I$89,3,0)*0.475*44/12</f>
        <v>3.9260670911999154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7.8009303383678965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4.45</v>
      </c>
      <c r="AI77" s="14">
        <f>IF('Données projet'!$A$62&gt;35,AI76+AH77-AQ76,IF(A77&lt;'Données projet'!$A$62,$AF$205^A77,IF(A77='Données projet'!$A$62,'Données projet'!$B$62,AI76+AH77-AQ76)))</f>
        <v>235.41999999999953</v>
      </c>
      <c r="AJ77" s="14">
        <f>AI77*VLOOKUP('Données projet'!$B$10,Paramètres!$A$1:$I$89,3,0)*VLOOKUP('Données projet'!$B$10,Paramètres!$A$1:$I$89,5,0)</f>
        <v>238.71587999999957</v>
      </c>
      <c r="AK77" s="14">
        <f t="shared" si="89"/>
        <v>58.163159602173451</v>
      </c>
      <c r="AL77" s="22">
        <f t="shared" si="58"/>
        <v>517.06432730711788</v>
      </c>
      <c r="AM77" s="62">
        <f t="shared" si="59"/>
        <v>810.39766064045125</v>
      </c>
      <c r="AN77" s="62">
        <f ca="1">AVERAGE(OFFSET($AM$3,0,0,'Données projet'!$E$10+1,1))-AVERAGE(OFFSET($H$3,0,0,'Données projet'!$E$10+1,1))</f>
        <v>384.66322295929552</v>
      </c>
      <c r="AO77" s="62">
        <f t="shared" si="90"/>
        <v>248.53970183513286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3.2138093690764569</v>
      </c>
      <c r="AV77" s="23">
        <f>EXP(-LN(2)/25)*AV76+(1-EXP(-LN(2)/25))/(LN(2)/25)*Calculateur!AQ77*Calculateur!AS77*VLOOKUP('Données projet'!$B$10,Paramètres!$A$1:$I$89,3,0)*0.475*44/12</f>
        <v>3.3799205916508699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6.5937299607273268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343.79999999999995</v>
      </c>
      <c r="BE77" s="14">
        <f>BD77*VLOOKUP('Données projet'!$B$11,Paramètres!$A$1:$I$89,3,0)*VLOOKUP('Données projet'!$B$11,Paramètres!$A$1:$I$89,5,0)</f>
        <v>205.5924</v>
      </c>
      <c r="BF77" s="14">
        <f t="shared" si="91"/>
        <v>50.971228364263673</v>
      </c>
      <c r="BG77" s="22">
        <f t="shared" si="61"/>
        <v>446.84831940109251</v>
      </c>
      <c r="BH77" s="62">
        <f t="shared" si="62"/>
        <v>740.18165273442582</v>
      </c>
      <c r="BI77" s="62">
        <f ca="1">AVERAGE(OFFSET($BH$3,0,0,'Données projet'!$E$11+1,1))-AVERAGE(OFFSET($H$3,0,0,'Données projet'!$E$11+1,1))</f>
        <v>146.25807703055079</v>
      </c>
      <c r="BJ77" s="62">
        <f t="shared" si="92"/>
        <v>177.40137940534413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3.9843022198759601</v>
      </c>
      <c r="BQ77" s="23">
        <f>EXP(-LN(2)/25)*BQ76+(1-EXP(-LN(2)/25))/(LN(2)/25)*Calculateur!BL77*Calculateur!BN77*VLOOKUP('Données projet'!$B$11,Paramètres!$A$1:$I$89,3,0)*0.475*44/12</f>
        <v>2.8804382338545347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6.8647404537304944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14.899999999999993</v>
      </c>
      <c r="BY77" s="13">
        <f>IF('Données projet'!$A$114&gt;35,BY76+BX77-CG76,IF(A77&lt;'Données projet'!$A$114,$BV$205^A77,IF(A77='Données projet'!$A$114,'Données projet'!$B$114,BY76+BX77-CG76)))</f>
        <v>670.74000000000024</v>
      </c>
      <c r="BZ77" s="14">
        <f>BY77*VLOOKUP('Données projet'!$B$12,Paramètres!$A$1:$I$89,3,0)*VLOOKUP('Données projet'!$B$12,Paramètres!$A$1:$I$89,5,0)</f>
        <v>313.90632000000011</v>
      </c>
      <c r="CA77" s="14">
        <f t="shared" si="93"/>
        <v>74.084029762701292</v>
      </c>
      <c r="CB77" s="22">
        <f t="shared" si="64"/>
        <v>675.74985917003823</v>
      </c>
      <c r="CC77" s="62">
        <f t="shared" si="65"/>
        <v>969.08319250337149</v>
      </c>
      <c r="CD77" s="62">
        <f ca="1">AVERAGE(OFFSET($CC$3,0,0,'Données projet'!$E$12+1,1))-AVERAGE(OFFSET($H$3,0,0,'Données projet'!$E$12+1,1))</f>
        <v>287.12723448949828</v>
      </c>
      <c r="CE77" s="62">
        <f t="shared" si="94"/>
        <v>170.5203352323382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4.8360055625062257</v>
      </c>
      <c r="CL77" s="23">
        <f>EXP(-LN(2)/25)*CL76+(1-EXP(-LN(2)/25))/(LN(2)/25)*Calculateur!CG77*Calculateur!CI77*VLOOKUP('Données projet'!$B$12,Paramètres!$A$1:$I$89,3,0)*0.475*44/12</f>
        <v>27.23969659513002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32.075702157636243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8.0999999999999979</v>
      </c>
      <c r="CT77" s="13">
        <f>IF('Données projet'!$A$140&gt;35,CT76+CS77-DB76,IF(A77&lt;'Données projet'!$A$140,$CQ$205^A77,IF(A77='Données projet'!$A$140,'Données projet'!$B$140,CT76+CS77-DB76)))</f>
        <v>428.52000000000083</v>
      </c>
      <c r="CU77" s="18">
        <f>CT77*VLOOKUP('Données projet'!$B$13,Paramètres!$A$1:$I$89,3,0)*VLOOKUP('Données projet'!$B$13,Paramètres!$A$1:$I$89,5,0)</f>
        <v>414.46454400000084</v>
      </c>
      <c r="CV77" s="14">
        <f t="shared" si="95"/>
        <v>94.703039395025982</v>
      </c>
      <c r="CW77" s="22">
        <f t="shared" si="67"/>
        <v>886.8002077463384</v>
      </c>
      <c r="CX77" s="62">
        <f t="shared" si="68"/>
        <v>1180.1335410796717</v>
      </c>
      <c r="CY77" s="62">
        <f ca="1">AVERAGE(OFFSET($CX$3,0,0,'Données projet'!$E$13+1,1))-AVERAGE(OFFSET($H$3,0,0,'Données projet'!$E$13+1,1))</f>
        <v>467.37715054082025</v>
      </c>
      <c r="CZ77" s="62">
        <f t="shared" si="96"/>
        <v>443.35096563136415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4.2168993996586277</v>
      </c>
      <c r="DG77" s="23">
        <f>EXP(-LN(2)/25)*DG76+(1-EXP(-LN(2)/25))/(LN(2)/25)*Calculateur!DB77*Calculateur!DD77*VLOOKUP('Données projet'!$B$13,Paramètres!$A$1:$I$89,3,0)*0.475*44/12</f>
        <v>4.3198222046890171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8.5367216043476439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8.0999999999999979</v>
      </c>
      <c r="DO77" s="13">
        <f>IF('Données projet'!$A$166&gt;35,DO76+DN77-DW76,IF(A77&lt;'Données projet'!$A$166,$DL$205^A77,IF(A77='Données projet'!$A$166,'Données projet'!$B$166,DO76+DN77-DW76)))</f>
        <v>428.52000000000083</v>
      </c>
      <c r="DP77" s="18">
        <f>DO77*VLOOKUP('Données projet'!$B$14,Paramètres!$A$1:$I$89,3,0)*VLOOKUP('Données projet'!$B$14,Paramètres!$A$1:$I$89,5,0)</f>
        <v>461.25892800000088</v>
      </c>
      <c r="DQ77" s="14">
        <f t="shared" si="97"/>
        <v>104.09111897042854</v>
      </c>
      <c r="DR77" s="22">
        <f t="shared" si="70"/>
        <v>984.65133180683108</v>
      </c>
      <c r="DS77" s="62">
        <f t="shared" si="71"/>
        <v>1277.9846651401645</v>
      </c>
      <c r="DT77" s="62">
        <f ca="1">AVERAGE(OFFSET($DS$3,0,0,'Données projet'!$E$14+1,1))-AVERAGE(OFFSET($H$3,0,0,'Données projet'!$E$14+1,1))</f>
        <v>524.51242549438939</v>
      </c>
      <c r="DU77" s="62">
        <f t="shared" si="98"/>
        <v>494.88778446576327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4.6930009447813736</v>
      </c>
      <c r="EB77" s="23">
        <f>EXP(-LN(2)/25)*EB76+(1-EXP(-LN(2)/25))/(LN(2)/25)*Calculateur!DW77*Calculateur!DY77*VLOOKUP('Données projet'!$B$14,Paramètres!$A$1:$I$89,3,0)*0.475*44/12</f>
        <v>4.8075440665087443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9.500545011290118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405.64737893911513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4.4666666666666712</v>
      </c>
      <c r="N78" s="14">
        <f>IF('Données projet'!$A$36&gt;35,N77+M78-V77,IF(A78&lt;'Données projet'!$A$36,$K$205^A78,IF(A78='Données projet'!$A$36,'Données projet'!$B$36,N77+M78-V77)))</f>
        <v>256.05333333333294</v>
      </c>
      <c r="O78" s="14">
        <f>N78*VLOOKUP('Données projet'!$B$9,Paramètres!$A$1:$I$89,3,0)*VLOOKUP('Données projet'!$B$9,Paramètres!$A$1:$I$89,5,0)</f>
        <v>231.67705599999965</v>
      </c>
      <c r="P78" s="14">
        <f t="shared" si="87"/>
        <v>56.645146780056024</v>
      </c>
      <c r="Q78" s="22">
        <f t="shared" si="54"/>
        <v>502.16116984193036</v>
      </c>
      <c r="R78" s="62">
        <f t="shared" si="55"/>
        <v>795.49450317526362</v>
      </c>
      <c r="S78" s="62">
        <f ca="1">AVERAGE(OFFSET($R$3,0,0,'Données projet'!$E$9+1,1))-AVERAGE(OFFSET($H$3,0,0,'Données projet'!$E$9+1,1))</f>
        <v>299.17641394512162</v>
      </c>
      <c r="T78" s="62">
        <f t="shared" si="88"/>
        <v>180.73046320039873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3.7988795423242281</v>
      </c>
      <c r="AA78" s="23">
        <f>EXP(-LN(2)/25)*AA77+(1-EXP(-LN(2)/25))/(LN(2)/25)*Calculateur!V78*Calculateur!X78*VLOOKUP('Données projet'!$B$9,Paramètres!$A$1:$I$89,3,0)*0.475*44/12</f>
        <v>3.8187085801281584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7.6175881224523865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4.45</v>
      </c>
      <c r="AI78" s="14">
        <f>IF('Données projet'!$A$62&gt;35,AI77+AH78-AQ77,IF(A78&lt;'Données projet'!$A$62,$AF$205^A78,IF(A78='Données projet'!$A$62,'Données projet'!$B$62,AI77+AH78-AQ77)))</f>
        <v>239.86999999999952</v>
      </c>
      <c r="AJ78" s="14">
        <f>AI78*VLOOKUP('Données projet'!$B$10,Paramètres!$A$1:$I$89,3,0)*VLOOKUP('Données projet'!$B$10,Paramètres!$A$1:$I$89,5,0)</f>
        <v>243.22817999999953</v>
      </c>
      <c r="AK78" s="14">
        <f t="shared" si="89"/>
        <v>59.133548113446274</v>
      </c>
      <c r="AL78" s="22">
        <f t="shared" si="58"/>
        <v>526.613343130918</v>
      </c>
      <c r="AM78" s="62">
        <f t="shared" si="59"/>
        <v>819.94667646425137</v>
      </c>
      <c r="AN78" s="62">
        <f ca="1">AVERAGE(OFFSET($AM$3,0,0,'Données projet'!$E$10+1,1))-AVERAGE(OFFSET($H$3,0,0,'Données projet'!$E$10+1,1))</f>
        <v>384.66322295929552</v>
      </c>
      <c r="AO78" s="62">
        <f t="shared" si="90"/>
        <v>248.53970183513286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3.1507885275790262</v>
      </c>
      <c r="AV78" s="23">
        <f>EXP(-LN(2)/25)*AV77+(1-EXP(-LN(2)/25))/(LN(2)/25)*Calculateur!AQ78*Calculateur!AS78*VLOOKUP('Données projet'!$B$10,Paramètres!$A$1:$I$89,3,0)*0.475*44/12</f>
        <v>3.287496485329878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6.4382850129089046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343.79999999999995</v>
      </c>
      <c r="BE78" s="14">
        <f>BD78*VLOOKUP('Données projet'!$B$11,Paramètres!$A$1:$I$89,3,0)*VLOOKUP('Données projet'!$B$11,Paramètres!$A$1:$I$89,5,0)</f>
        <v>205.5924</v>
      </c>
      <c r="BF78" s="14">
        <f t="shared" si="91"/>
        <v>50.971228364263673</v>
      </c>
      <c r="BG78" s="22">
        <f t="shared" si="61"/>
        <v>446.84831940109251</v>
      </c>
      <c r="BH78" s="62">
        <f t="shared" si="62"/>
        <v>740.18165273442582</v>
      </c>
      <c r="BI78" s="62">
        <f ca="1">AVERAGE(OFFSET($BH$3,0,0,'Données projet'!$E$11+1,1))-AVERAGE(OFFSET($H$3,0,0,'Données projet'!$E$11+1,1))</f>
        <v>146.25807703055079</v>
      </c>
      <c r="BJ78" s="62">
        <f t="shared" si="92"/>
        <v>177.40137940534413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3.9061724835285858</v>
      </c>
      <c r="BQ78" s="23">
        <f>EXP(-LN(2)/25)*BQ77+(1-EXP(-LN(2)/25))/(LN(2)/25)*Calculateur!BL78*Calculateur!BN78*VLOOKUP('Données projet'!$B$11,Paramètres!$A$1:$I$89,3,0)*0.475*44/12</f>
        <v>2.8016724988741188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6.7078449824027047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14.899999999999993</v>
      </c>
      <c r="BY78" s="13">
        <f>IF('Données projet'!$A$114&gt;35,BY77+BX78-CG77,IF(A78&lt;'Données projet'!$A$114,$BV$205^A78,IF(A78='Données projet'!$A$114,'Données projet'!$B$114,BY77+BX78-CG77)))</f>
        <v>685.64000000000021</v>
      </c>
      <c r="BZ78" s="14">
        <f>BY78*VLOOKUP('Données projet'!$B$12,Paramètres!$A$1:$I$89,3,0)*VLOOKUP('Données projet'!$B$12,Paramètres!$A$1:$I$89,5,0)</f>
        <v>320.87952000000007</v>
      </c>
      <c r="CA78" s="14">
        <f t="shared" si="93"/>
        <v>75.536325660084501</v>
      </c>
      <c r="CB78" s="22">
        <f t="shared" si="64"/>
        <v>690.42426452464724</v>
      </c>
      <c r="CC78" s="62">
        <f t="shared" si="65"/>
        <v>983.7575978579805</v>
      </c>
      <c r="CD78" s="62">
        <f ca="1">AVERAGE(OFFSET($CC$3,0,0,'Données projet'!$E$12+1,1))-AVERAGE(OFFSET($H$3,0,0,'Données projet'!$E$12+1,1))</f>
        <v>287.12723448949828</v>
      </c>
      <c r="CE78" s="62">
        <f t="shared" si="94"/>
        <v>170.5203352323382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4.7411744430976155</v>
      </c>
      <c r="CL78" s="23">
        <f>EXP(-LN(2)/25)*CL77+(1-EXP(-LN(2)/25))/(LN(2)/25)*Calculateur!CG78*Calculateur!CI78*VLOOKUP('Données projet'!$B$12,Paramètres!$A$1:$I$89,3,0)*0.475*44/12</f>
        <v>26.494825659262805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31.236000102360421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8.0999999999999979</v>
      </c>
      <c r="CT78" s="13">
        <f>IF('Données projet'!$A$140&gt;35,CT77+CS78-DB77,IF(A78&lt;'Données projet'!$A$140,$CQ$205^A78,IF(A78='Données projet'!$A$140,'Données projet'!$B$140,CT77+CS78-DB77)))</f>
        <v>436.62000000000086</v>
      </c>
      <c r="CU78" s="18">
        <f>CT78*VLOOKUP('Données projet'!$B$13,Paramètres!$A$1:$I$89,3,0)*VLOOKUP('Données projet'!$B$13,Paramètres!$A$1:$I$89,5,0)</f>
        <v>422.29886400000083</v>
      </c>
      <c r="CV78" s="14">
        <f t="shared" si="95"/>
        <v>96.283045783253982</v>
      </c>
      <c r="CW78" s="22">
        <f t="shared" si="67"/>
        <v>903.19682620583535</v>
      </c>
      <c r="CX78" s="62">
        <f t="shared" si="68"/>
        <v>1196.5301595391686</v>
      </c>
      <c r="CY78" s="62">
        <f ca="1">AVERAGE(OFFSET($CX$3,0,0,'Données projet'!$E$13+1,1))-AVERAGE(OFFSET($H$3,0,0,'Données projet'!$E$13+1,1))</f>
        <v>467.37715054082025</v>
      </c>
      <c r="CZ78" s="62">
        <f t="shared" si="96"/>
        <v>443.35096563136415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4.1342085744859869</v>
      </c>
      <c r="DG78" s="23">
        <f>EXP(-LN(2)/25)*DG77+(1-EXP(-LN(2)/25))/(LN(2)/25)*Calculateur!DB78*Calculateur!DD78*VLOOKUP('Données projet'!$B$13,Paramètres!$A$1:$I$89,3,0)*0.475*44/12</f>
        <v>4.2016964393322196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8.3359050138182056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8.0999999999999979</v>
      </c>
      <c r="DO78" s="13">
        <f>IF('Données projet'!$A$166&gt;35,DO77+DN78-DW77,IF(A78&lt;'Données projet'!$A$166,$DL$205^A78,IF(A78='Données projet'!$A$166,'Données projet'!$B$166,DO77+DN78-DW77)))</f>
        <v>436.62000000000086</v>
      </c>
      <c r="DP78" s="18">
        <f>DO78*VLOOKUP('Données projet'!$B$14,Paramètres!$A$1:$I$89,3,0)*VLOOKUP('Données projet'!$B$14,Paramètres!$A$1:$I$89,5,0)</f>
        <v>469.97776800000094</v>
      </c>
      <c r="DQ78" s="14">
        <f t="shared" si="97"/>
        <v>105.82775418279004</v>
      </c>
      <c r="DR78" s="22">
        <f t="shared" si="70"/>
        <v>1002.8612844683611</v>
      </c>
      <c r="DS78" s="62">
        <f t="shared" si="71"/>
        <v>1296.1946178016944</v>
      </c>
      <c r="DT78" s="62">
        <f ca="1">AVERAGE(OFFSET($DS$3,0,0,'Données projet'!$E$14+1,1))-AVERAGE(OFFSET($H$3,0,0,'Données projet'!$E$14+1,1))</f>
        <v>524.51242549438939</v>
      </c>
      <c r="DU78" s="62">
        <f t="shared" si="98"/>
        <v>494.88778446576327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4.6009740587021444</v>
      </c>
      <c r="EB78" s="23">
        <f>EXP(-LN(2)/25)*EB77+(1-EXP(-LN(2)/25))/(LN(2)/25)*Calculateur!DW78*Calculateur!DY78*VLOOKUP('Données projet'!$B$14,Paramètres!$A$1:$I$89,3,0)*0.475*44/12</f>
        <v>4.6760815211923079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9.2770555798944514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407.58253923270354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4.4666666666666712</v>
      </c>
      <c r="N79" s="14">
        <f>IF('Données projet'!$A$36&gt;35,N78+M79-V78,IF(A79&lt;'Données projet'!$A$36,$K$205^A79,IF(A79='Données projet'!$A$36,'Données projet'!$B$36,N78+M79-V78)))</f>
        <v>260.51999999999964</v>
      </c>
      <c r="O79" s="14">
        <f>N79*VLOOKUP('Données projet'!$B$9,Paramètres!$A$1:$I$89,3,0)*VLOOKUP('Données projet'!$B$9,Paramètres!$A$1:$I$89,5,0)</f>
        <v>235.71849599999967</v>
      </c>
      <c r="P79" s="14">
        <f t="shared" si="87"/>
        <v>57.517381194242169</v>
      </c>
      <c r="Q79" s="22">
        <f t="shared" si="54"/>
        <v>510.71915277997118</v>
      </c>
      <c r="R79" s="62">
        <f t="shared" si="55"/>
        <v>804.05248611330444</v>
      </c>
      <c r="S79" s="62">
        <f ca="1">AVERAGE(OFFSET($R$3,0,0,'Données projet'!$E$9+1,1))-AVERAGE(OFFSET($H$3,0,0,'Données projet'!$E$9+1,1))</f>
        <v>299.17641394512162</v>
      </c>
      <c r="T79" s="62">
        <f t="shared" si="88"/>
        <v>180.73046320039873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3.7243858315869773</v>
      </c>
      <c r="AA79" s="23">
        <f>EXP(-LN(2)/25)*AA78+(1-EXP(-LN(2)/25))/(LN(2)/25)*Calculateur!V79*Calculateur!X79*VLOOKUP('Données projet'!$B$9,Paramètres!$A$1:$I$89,3,0)*0.475*44/12</f>
        <v>3.7142857931873974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7.4386716247743747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4.45</v>
      </c>
      <c r="AI79" s="14">
        <f>IF('Données projet'!$A$62&gt;35,AI78+AH79-AQ78,IF(A79&lt;'Données projet'!$A$62,$AF$205^A79,IF(A79='Données projet'!$A$62,'Données projet'!$B$62,AI78+AH79-AQ78)))</f>
        <v>244.31999999999951</v>
      </c>
      <c r="AJ79" s="14">
        <f>AI79*VLOOKUP('Données projet'!$B$10,Paramètres!$A$1:$I$89,3,0)*VLOOKUP('Données projet'!$B$10,Paramètres!$A$1:$I$89,5,0)</f>
        <v>247.74047999999951</v>
      </c>
      <c r="AK79" s="14">
        <f t="shared" si="89"/>
        <v>60.101843282605358</v>
      </c>
      <c r="AL79" s="22">
        <f t="shared" si="58"/>
        <v>536.15871305053679</v>
      </c>
      <c r="AM79" s="62">
        <f t="shared" si="59"/>
        <v>829.49204638387005</v>
      </c>
      <c r="AN79" s="62">
        <f ca="1">AVERAGE(OFFSET($AM$3,0,0,'Données projet'!$E$10+1,1))-AVERAGE(OFFSET($H$3,0,0,'Données projet'!$E$10+1,1))</f>
        <v>384.66322295929552</v>
      </c>
      <c r="AO79" s="62">
        <f t="shared" si="90"/>
        <v>248.53970183513286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3.089003486344442</v>
      </c>
      <c r="AV79" s="23">
        <f>EXP(-LN(2)/25)*AV78+(1-EXP(-LN(2)/25))/(LN(2)/25)*Calculateur!AQ79*Calculateur!AS79*VLOOKUP('Données projet'!$B$10,Paramètres!$A$1:$I$89,3,0)*0.475*44/12</f>
        <v>3.1975997210566058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6.2866032074010478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343.79999999999995</v>
      </c>
      <c r="BE79" s="14">
        <f>BD79*VLOOKUP('Données projet'!$B$11,Paramètres!$A$1:$I$89,3,0)*VLOOKUP('Données projet'!$B$11,Paramètres!$A$1:$I$89,5,0)</f>
        <v>205.5924</v>
      </c>
      <c r="BF79" s="14">
        <f t="shared" si="91"/>
        <v>50.971228364263673</v>
      </c>
      <c r="BG79" s="22">
        <f t="shared" si="61"/>
        <v>446.84831940109251</v>
      </c>
      <c r="BH79" s="62">
        <f t="shared" si="62"/>
        <v>740.18165273442582</v>
      </c>
      <c r="BI79" s="62">
        <f ca="1">AVERAGE(OFFSET($BH$3,0,0,'Données projet'!$E$11+1,1))-AVERAGE(OFFSET($H$3,0,0,'Données projet'!$E$11+1,1))</f>
        <v>146.25807703055079</v>
      </c>
      <c r="BJ79" s="62">
        <f t="shared" si="92"/>
        <v>177.40137940534413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3.8295748236565501</v>
      </c>
      <c r="BQ79" s="23">
        <f>EXP(-LN(2)/25)*BQ78+(1-EXP(-LN(2)/25))/(LN(2)/25)*Calculateur!BL79*Calculateur!BN79*VLOOKUP('Données projet'!$B$11,Paramètres!$A$1:$I$89,3,0)*0.475*44/12</f>
        <v>2.7250606170588525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6.554635440715403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14.899999999999993</v>
      </c>
      <c r="BY79" s="13">
        <f>IF('Données projet'!$A$114&gt;35,BY78+BX79-CG78,IF(A79&lt;'Données projet'!$A$114,$BV$205^A79,IF(A79='Données projet'!$A$114,'Données projet'!$B$114,BY78+BX79-CG78)))</f>
        <v>700.54000000000019</v>
      </c>
      <c r="BZ79" s="14">
        <f>BY79*VLOOKUP('Données projet'!$B$12,Paramètres!$A$1:$I$89,3,0)*VLOOKUP('Données projet'!$B$12,Paramètres!$A$1:$I$89,5,0)</f>
        <v>327.85272000000009</v>
      </c>
      <c r="CA79" s="14">
        <f t="shared" si="93"/>
        <v>76.98495224094242</v>
      </c>
      <c r="CB79" s="22">
        <f t="shared" si="64"/>
        <v>705.09227915297481</v>
      </c>
      <c r="CC79" s="62">
        <f t="shared" si="65"/>
        <v>998.42561248630818</v>
      </c>
      <c r="CD79" s="62">
        <f ca="1">AVERAGE(OFFSET($CC$3,0,0,'Données projet'!$E$12+1,1))-AVERAGE(OFFSET($H$3,0,0,'Données projet'!$E$12+1,1))</f>
        <v>287.12723448949828</v>
      </c>
      <c r="CE79" s="62">
        <f t="shared" si="94"/>
        <v>170.5203352323382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4.6482029040993371</v>
      </c>
      <c r="CL79" s="23">
        <f>EXP(-LN(2)/25)*CL78+(1-EXP(-LN(2)/25))/(LN(2)/25)*Calculateur!CG79*Calculateur!CI79*VLOOKUP('Données projet'!$B$12,Paramètres!$A$1:$I$89,3,0)*0.475*44/12</f>
        <v>25.770323258307936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30.418526162407275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8.0999999999999979</v>
      </c>
      <c r="CT79" s="13">
        <f>IF('Données projet'!$A$140&gt;35,CT78+CS79-DB78,IF(A79&lt;'Données projet'!$A$140,$CQ$205^A79,IF(A79='Données projet'!$A$140,'Données projet'!$B$140,CT78+CS79-DB78)))</f>
        <v>444.72000000000088</v>
      </c>
      <c r="CU79" s="18">
        <f>CT79*VLOOKUP('Données projet'!$B$13,Paramètres!$A$1:$I$89,3,0)*VLOOKUP('Données projet'!$B$13,Paramètres!$A$1:$I$89,5,0)</f>
        <v>430.13318400000082</v>
      </c>
      <c r="CV79" s="14">
        <f t="shared" si="95"/>
        <v>97.859643770139542</v>
      </c>
      <c r="CW79" s="22">
        <f t="shared" si="67"/>
        <v>919.58750836632771</v>
      </c>
      <c r="CX79" s="62">
        <f t="shared" si="68"/>
        <v>1212.920841699661</v>
      </c>
      <c r="CY79" s="62">
        <f ca="1">AVERAGE(OFFSET($CX$3,0,0,'Données projet'!$E$13+1,1))-AVERAGE(OFFSET($H$3,0,0,'Données projet'!$E$13+1,1))</f>
        <v>467.37715054082025</v>
      </c>
      <c r="CZ79" s="62">
        <f t="shared" si="96"/>
        <v>443.35096563136415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4.0531392659585581</v>
      </c>
      <c r="DG79" s="23">
        <f>EXP(-LN(2)/25)*DG78+(1-EXP(-LN(2)/25))/(LN(2)/25)*Calculateur!DB79*Calculateur!DD79*VLOOKUP('Données projet'!$B$13,Paramètres!$A$1:$I$89,3,0)*0.475*44/12</f>
        <v>4.0868008292410671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8.1399400951996252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8.0999999999999979</v>
      </c>
      <c r="DO79" s="13">
        <f>IF('Données projet'!$A$166&gt;35,DO78+DN79-DW78,IF(A79&lt;'Données projet'!$A$166,$DL$205^A79,IF(A79='Données projet'!$A$166,'Données projet'!$B$166,DO78+DN79-DW78)))</f>
        <v>444.72000000000088</v>
      </c>
      <c r="DP79" s="18">
        <f>DO79*VLOOKUP('Données projet'!$B$14,Paramètres!$A$1:$I$89,3,0)*VLOOKUP('Données projet'!$B$14,Paramètres!$A$1:$I$89,5,0)</f>
        <v>478.69660800000094</v>
      </c>
      <c r="DQ79" s="14">
        <f t="shared" si="97"/>
        <v>107.5606431129639</v>
      </c>
      <c r="DR79" s="22">
        <f t="shared" si="70"/>
        <v>1021.0647123550802</v>
      </c>
      <c r="DS79" s="62">
        <f t="shared" si="71"/>
        <v>1314.3980456884135</v>
      </c>
      <c r="DT79" s="62">
        <f ca="1">AVERAGE(OFFSET($DS$3,0,0,'Données projet'!$E$14+1,1))-AVERAGE(OFFSET($H$3,0,0,'Données projet'!$E$14+1,1))</f>
        <v>524.51242549438939</v>
      </c>
      <c r="DU79" s="62">
        <f t="shared" si="98"/>
        <v>494.88778446576327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4.5107517637280701</v>
      </c>
      <c r="EB79" s="23">
        <f>EXP(-LN(2)/25)*EB78+(1-EXP(-LN(2)/25))/(LN(2)/25)*Calculateur!DW79*Calculateur!DY79*VLOOKUP('Données projet'!$B$14,Paramètres!$A$1:$I$89,3,0)*0.475*44/12</f>
        <v>4.5482138260908647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9.0589655898189356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409.51710805152618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4.4666666666666712</v>
      </c>
      <c r="N80" s="14">
        <f>IF('Données projet'!$A$36&gt;35,N79+M80-V79,IF(A80&lt;'Données projet'!$A$36,$K$205^A80,IF(A80='Données projet'!$A$36,'Données projet'!$B$36,N79+M80-V79)))</f>
        <v>264.98666666666634</v>
      </c>
      <c r="O80" s="14">
        <f>N80*VLOOKUP('Données projet'!$B$9,Paramètres!$A$1:$I$89,3,0)*VLOOKUP('Données projet'!$B$9,Paramètres!$A$1:$I$89,5,0)</f>
        <v>239.75993599999967</v>
      </c>
      <c r="P80" s="14">
        <f t="shared" si="87"/>
        <v>58.387876535162476</v>
      </c>
      <c r="Q80" s="22">
        <f t="shared" si="54"/>
        <v>519.27410683207404</v>
      </c>
      <c r="R80" s="62">
        <f t="shared" si="55"/>
        <v>812.6074401654073</v>
      </c>
      <c r="S80" s="62">
        <f ca="1">AVERAGE(OFFSET($R$3,0,0,'Données projet'!$E$9+1,1))-AVERAGE(OFFSET($H$3,0,0,'Données projet'!$E$9+1,1))</f>
        <v>299.17641394512162</v>
      </c>
      <c r="T80" s="62">
        <f t="shared" si="88"/>
        <v>180.73046320039873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3.6513528970806073</v>
      </c>
      <c r="AA80" s="23">
        <f>EXP(-LN(2)/25)*AA79+(1-EXP(-LN(2)/25))/(LN(2)/25)*Calculateur!V80*Calculateur!X80*VLOOKUP('Données projet'!$B$9,Paramètres!$A$1:$I$89,3,0)*0.475*44/12</f>
        <v>3.6127184528468872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7.2640713499274945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4.45</v>
      </c>
      <c r="AI80" s="14">
        <f>IF('Données projet'!$A$62&gt;35,AI79+AH80-AQ79,IF(A80&lt;'Données projet'!$A$62,$AF$205^A80,IF(A80='Données projet'!$A$62,'Données projet'!$B$62,AI79+AH80-AQ79)))</f>
        <v>248.7699999999995</v>
      </c>
      <c r="AJ80" s="14">
        <f>AI80*VLOOKUP('Données projet'!$B$10,Paramètres!$A$1:$I$89,3,0)*VLOOKUP('Données projet'!$B$10,Paramètres!$A$1:$I$89,5,0)</f>
        <v>252.25277999999952</v>
      </c>
      <c r="AK80" s="14">
        <f t="shared" si="89"/>
        <v>61.068087635125003</v>
      </c>
      <c r="AL80" s="22">
        <f t="shared" si="58"/>
        <v>545.70051113117518</v>
      </c>
      <c r="AM80" s="62">
        <f t="shared" si="59"/>
        <v>839.03384446450855</v>
      </c>
      <c r="AN80" s="62">
        <f ca="1">AVERAGE(OFFSET($AM$3,0,0,'Données projet'!$E$10+1,1))-AVERAGE(OFFSET($H$3,0,0,'Données projet'!$E$10+1,1))</f>
        <v>384.66322295929552</v>
      </c>
      <c r="AO80" s="62">
        <f t="shared" si="90"/>
        <v>248.53970183513286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3.0284300120833141</v>
      </c>
      <c r="AV80" s="23">
        <f>EXP(-LN(2)/25)*AV79+(1-EXP(-LN(2)/25))/(LN(2)/25)*Calculateur!AQ80*Calculateur!AS80*VLOOKUP('Données projet'!$B$10,Paramètres!$A$1:$I$89,3,0)*0.475*44/12</f>
        <v>3.1101611885298519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6.138591200613166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343.79999999999995</v>
      </c>
      <c r="BE80" s="14">
        <f>BD80*VLOOKUP('Données projet'!$B$11,Paramètres!$A$1:$I$89,3,0)*VLOOKUP('Données projet'!$B$11,Paramètres!$A$1:$I$89,5,0)</f>
        <v>205.5924</v>
      </c>
      <c r="BF80" s="14">
        <f t="shared" si="91"/>
        <v>50.971228364263673</v>
      </c>
      <c r="BG80" s="22">
        <f t="shared" si="61"/>
        <v>446.84831940109251</v>
      </c>
      <c r="BH80" s="62">
        <f t="shared" si="62"/>
        <v>740.18165273442582</v>
      </c>
      <c r="BI80" s="62">
        <f ca="1">AVERAGE(OFFSET($BH$3,0,0,'Données projet'!$E$11+1,1))-AVERAGE(OFFSET($H$3,0,0,'Données projet'!$E$11+1,1))</f>
        <v>146.25807703055079</v>
      </c>
      <c r="BJ80" s="62">
        <f t="shared" si="92"/>
        <v>177.40137940534413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3.7544791971746454</v>
      </c>
      <c r="BQ80" s="23">
        <f>EXP(-LN(2)/25)*BQ79+(1-EXP(-LN(2)/25))/(LN(2)/25)*Calculateur!BL80*Calculateur!BN80*VLOOKUP('Données projet'!$B$11,Paramètres!$A$1:$I$89,3,0)*0.475*44/12</f>
        <v>2.6505436911806686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6.4050228883553135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14.899999999999993</v>
      </c>
      <c r="BY80" s="13">
        <f>IF('Données projet'!$A$114&gt;35,BY79+BX80-CG79,IF(A80&lt;'Données projet'!$A$114,$BV$205^A80,IF(A80='Données projet'!$A$114,'Données projet'!$B$114,BY79+BX80-CG79)))</f>
        <v>715.44000000000017</v>
      </c>
      <c r="BZ80" s="14">
        <f>BY80*VLOOKUP('Données projet'!$B$12,Paramètres!$A$1:$I$89,3,0)*VLOOKUP('Données projet'!$B$12,Paramètres!$A$1:$I$89,5,0)</f>
        <v>334.82592000000011</v>
      </c>
      <c r="CA80" s="14">
        <f t="shared" si="93"/>
        <v>78.429996538880459</v>
      </c>
      <c r="CB80" s="22">
        <f t="shared" si="64"/>
        <v>719.75405463855031</v>
      </c>
      <c r="CC80" s="62">
        <f t="shared" si="65"/>
        <v>1013.0873879718836</v>
      </c>
      <c r="CD80" s="62">
        <f ca="1">AVERAGE(OFFSET($CC$3,0,0,'Données projet'!$E$12+1,1))-AVERAGE(OFFSET($H$3,0,0,'Données projet'!$E$12+1,1))</f>
        <v>287.12723448949828</v>
      </c>
      <c r="CE80" s="62">
        <f t="shared" si="94"/>
        <v>170.5203352323382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4.5570544802737754</v>
      </c>
      <c r="CL80" s="23">
        <f>EXP(-LN(2)/25)*CL79+(1-EXP(-LN(2)/25))/(LN(2)/25)*Calculateur!CG80*Calculateur!CI80*VLOOKUP('Données projet'!$B$12,Paramètres!$A$1:$I$89,3,0)*0.475*44/12</f>
        <v>25.065632413607105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29.622686893880882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8.0999999999999979</v>
      </c>
      <c r="CT80" s="13">
        <f>IF('Données projet'!$A$140&gt;35,CT79+CS80-DB79,IF(A80&lt;'Données projet'!$A$140,$CQ$205^A80,IF(A80='Données projet'!$A$140,'Données projet'!$B$140,CT79+CS80-DB79)))</f>
        <v>452.8200000000009</v>
      </c>
      <c r="CU80" s="18">
        <f>CT80*VLOOKUP('Données projet'!$B$13,Paramètres!$A$1:$I$89,3,0)*VLOOKUP('Données projet'!$B$13,Paramètres!$A$1:$I$89,5,0)</f>
        <v>437.96750400000093</v>
      </c>
      <c r="CV80" s="14">
        <f t="shared" si="95"/>
        <v>99.432902595681512</v>
      </c>
      <c r="CW80" s="22">
        <f t="shared" si="67"/>
        <v>935.97237482081346</v>
      </c>
      <c r="CX80" s="62">
        <f t="shared" si="68"/>
        <v>1229.3057081541467</v>
      </c>
      <c r="CY80" s="62">
        <f ca="1">AVERAGE(OFFSET($CX$3,0,0,'Données projet'!$E$13+1,1))-AVERAGE(OFFSET($H$3,0,0,'Données projet'!$E$13+1,1))</f>
        <v>467.37715054082025</v>
      </c>
      <c r="CZ80" s="62">
        <f t="shared" si="96"/>
        <v>443.35096563136415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3.9736596771239565</v>
      </c>
      <c r="DG80" s="23">
        <f>EXP(-LN(2)/25)*DG79+(1-EXP(-LN(2)/25))/(LN(2)/25)*Calculateur!DB80*Calculateur!DD80*VLOOKUP('Données projet'!$B$13,Paramètres!$A$1:$I$89,3,0)*0.475*44/12</f>
        <v>3.9750470456499549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7.9487067227739114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8.0999999999999979</v>
      </c>
      <c r="DO80" s="13">
        <f>IF('Données projet'!$A$166&gt;35,DO79+DN80-DW79,IF(A80&lt;'Données projet'!$A$166,$DL$205^A80,IF(A80='Données projet'!$A$166,'Données projet'!$B$166,DO79+DN80-DW79)))</f>
        <v>452.8200000000009</v>
      </c>
      <c r="DP80" s="18">
        <f>DO80*VLOOKUP('Données projet'!$B$14,Paramètres!$A$1:$I$89,3,0)*VLOOKUP('Données projet'!$B$14,Paramètres!$A$1:$I$89,5,0)</f>
        <v>487.41544800000094</v>
      </c>
      <c r="DQ80" s="14">
        <f t="shared" si="97"/>
        <v>109.28986186483175</v>
      </c>
      <c r="DR80" s="22">
        <f t="shared" si="70"/>
        <v>1039.2617480145834</v>
      </c>
      <c r="DS80" s="62">
        <f t="shared" si="71"/>
        <v>1332.5950813479167</v>
      </c>
      <c r="DT80" s="62">
        <f ca="1">AVERAGE(OFFSET($DS$3,0,0,'Données projet'!$E$14+1,1))-AVERAGE(OFFSET($H$3,0,0,'Données projet'!$E$14+1,1))</f>
        <v>524.51242549438939</v>
      </c>
      <c r="DU80" s="62">
        <f t="shared" si="98"/>
        <v>494.88778446576327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4.4222986729282718</v>
      </c>
      <c r="EB80" s="23">
        <f>EXP(-LN(2)/25)*EB79+(1-EXP(-LN(2)/25))/(LN(2)/25)*Calculateur!DW80*Calculateur!DY80*VLOOKUP('Données projet'!$B$14,Paramètres!$A$1:$I$89,3,0)*0.475*44/12</f>
        <v>4.4238426798362402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8.8461413527645121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411.45109396520513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4.4666666666666712</v>
      </c>
      <c r="N81" s="14">
        <f>IF('Données projet'!$A$36&gt;35,N80+M81-V80,IF(A81&lt;'Données projet'!$A$36,$K$205^A81,IF(A81='Données projet'!$A$36,'Données projet'!$B$36,N80+M81-V80)))</f>
        <v>269.45333333333303</v>
      </c>
      <c r="O81" s="14">
        <f>N81*VLOOKUP('Données projet'!$B$9,Paramètres!$A$1:$I$89,3,0)*VLOOKUP('Données projet'!$B$9,Paramètres!$A$1:$I$89,5,0)</f>
        <v>243.80137599999972</v>
      </c>
      <c r="P81" s="14">
        <f t="shared" si="87"/>
        <v>59.256665500177128</v>
      </c>
      <c r="Q81" s="22">
        <f t="shared" si="54"/>
        <v>527.82608894614134</v>
      </c>
      <c r="R81" s="62">
        <f t="shared" si="55"/>
        <v>821.15942227947471</v>
      </c>
      <c r="S81" s="62">
        <f ca="1">AVERAGE(OFFSET($R$3,0,0,'Données projet'!$E$9+1,1))-AVERAGE(OFFSET($H$3,0,0,'Données projet'!$E$9+1,1))</f>
        <v>299.17641394512162</v>
      </c>
      <c r="T81" s="62">
        <f t="shared" si="88"/>
        <v>180.73046320039873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3.5797520938742156</v>
      </c>
      <c r="AA81" s="23">
        <f>EXP(-LN(2)/25)*AA80+(1-EXP(-LN(2)/25))/(LN(2)/25)*Calculateur!V81*Calculateur!X81*VLOOKUP('Données projet'!$B$9,Paramètres!$A$1:$I$89,3,0)*0.475*44/12</f>
        <v>3.5139284767691827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7.0936805706433983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4.45</v>
      </c>
      <c r="AI81" s="14">
        <f>IF('Données projet'!$A$62&gt;35,AI80+AH81-AQ80,IF(A81&lt;'Données projet'!$A$62,$AF$205^A81,IF(A81='Données projet'!$A$62,'Données projet'!$B$62,AI80+AH81-AQ80)))</f>
        <v>253.21999999999949</v>
      </c>
      <c r="AJ81" s="14">
        <f>AI81*VLOOKUP('Données projet'!$B$10,Paramètres!$A$1:$I$89,3,0)*VLOOKUP('Données projet'!$B$10,Paramètres!$A$1:$I$89,5,0)</f>
        <v>256.7650799999995</v>
      </c>
      <c r="AK81" s="14">
        <f t="shared" si="89"/>
        <v>62.03232208796031</v>
      </c>
      <c r="AL81" s="22">
        <f t="shared" si="58"/>
        <v>555.23880863653005</v>
      </c>
      <c r="AM81" s="62">
        <f t="shared" si="59"/>
        <v>848.57214196986342</v>
      </c>
      <c r="AN81" s="62">
        <f ca="1">AVERAGE(OFFSET($AM$3,0,0,'Données projet'!$E$10+1,1))-AVERAGE(OFFSET($H$3,0,0,'Données projet'!$E$10+1,1))</f>
        <v>384.66322295929552</v>
      </c>
      <c r="AO81" s="62">
        <f t="shared" si="90"/>
        <v>248.53970183513286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2.9690443467062759</v>
      </c>
      <c r="AV81" s="23">
        <f>EXP(-LN(2)/25)*AV80+(1-EXP(-LN(2)/25))/(LN(2)/25)*Calculateur!AQ81*Calculateur!AS81*VLOOKUP('Données projet'!$B$10,Paramètres!$A$1:$I$89,3,0)*0.475*44/12</f>
        <v>3.0251136672732346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5.9941580139795105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343.79999999999995</v>
      </c>
      <c r="BE81" s="14">
        <f>BD81*VLOOKUP('Données projet'!$B$11,Paramètres!$A$1:$I$89,3,0)*VLOOKUP('Données projet'!$B$11,Paramètres!$A$1:$I$89,5,0)</f>
        <v>205.5924</v>
      </c>
      <c r="BF81" s="14">
        <f t="shared" si="91"/>
        <v>50.971228364263673</v>
      </c>
      <c r="BG81" s="22">
        <f t="shared" si="61"/>
        <v>446.84831940109251</v>
      </c>
      <c r="BH81" s="62">
        <f t="shared" si="62"/>
        <v>740.18165273442582</v>
      </c>
      <c r="BI81" s="62">
        <f ca="1">AVERAGE(OFFSET($BH$3,0,0,'Données projet'!$E$11+1,1))-AVERAGE(OFFSET($H$3,0,0,'Données projet'!$E$11+1,1))</f>
        <v>146.25807703055079</v>
      </c>
      <c r="BJ81" s="62">
        <f t="shared" si="92"/>
        <v>177.40137940534413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3.6808561501242414</v>
      </c>
      <c r="BQ81" s="23">
        <f>EXP(-LN(2)/25)*BQ80+(1-EXP(-LN(2)/25))/(LN(2)/25)*Calculateur!BL81*Calculateur!BN81*VLOOKUP('Données projet'!$B$11,Paramètres!$A$1:$I$89,3,0)*0.475*44/12</f>
        <v>2.5780644345592982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6.2589205846835396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14.899999999999993</v>
      </c>
      <c r="BY81" s="13">
        <f>IF('Données projet'!$A$114&gt;35,BY80+BX81-CG80,IF(A81&lt;'Données projet'!$A$114,$BV$205^A81,IF(A81='Données projet'!$A$114,'Données projet'!$B$114,BY80+BX81-CG80)))</f>
        <v>730.34000000000015</v>
      </c>
      <c r="BZ81" s="14">
        <f>BY81*VLOOKUP('Données projet'!$B$12,Paramètres!$A$1:$I$89,3,0)*VLOOKUP('Données projet'!$B$12,Paramètres!$A$1:$I$89,5,0)</f>
        <v>341.79912000000007</v>
      </c>
      <c r="CA81" s="14">
        <f t="shared" si="93"/>
        <v>79.871541755149181</v>
      </c>
      <c r="CB81" s="22">
        <f t="shared" si="64"/>
        <v>734.40973589021826</v>
      </c>
      <c r="CC81" s="62">
        <f t="shared" si="65"/>
        <v>1027.7430692235516</v>
      </c>
      <c r="CD81" s="62">
        <f ca="1">AVERAGE(OFFSET($CC$3,0,0,'Données projet'!$E$12+1,1))-AVERAGE(OFFSET($H$3,0,0,'Données projet'!$E$12+1,1))</f>
        <v>287.12723448949828</v>
      </c>
      <c r="CE81" s="62">
        <f t="shared" si="94"/>
        <v>170.5203352323382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4.467693421444384</v>
      </c>
      <c r="CL81" s="23">
        <f>EXP(-LN(2)/25)*CL80+(1-EXP(-LN(2)/25))/(LN(2)/25)*Calculateur!CG81*Calculateur!CI81*VLOOKUP('Données projet'!$B$12,Paramètres!$A$1:$I$89,3,0)*0.475*44/12</f>
        <v>24.380211377112698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28.847904798557082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8.0999999999999979</v>
      </c>
      <c r="CT81" s="13">
        <f>IF('Données projet'!$A$140&gt;35,CT80+CS81-DB80,IF(A81&lt;'Données projet'!$A$140,$CQ$205^A81,IF(A81='Données projet'!$A$140,'Données projet'!$B$140,CT80+CS81-DB80)))</f>
        <v>460.92000000000093</v>
      </c>
      <c r="CU81" s="18">
        <f>CT81*VLOOKUP('Données projet'!$B$13,Paramètres!$A$1:$I$89,3,0)*VLOOKUP('Données projet'!$B$13,Paramètres!$A$1:$I$89,5,0)</f>
        <v>445.80182400000092</v>
      </c>
      <c r="CV81" s="14">
        <f t="shared" si="95"/>
        <v>101.00288888090265</v>
      </c>
      <c r="CW81" s="22">
        <f t="shared" si="67"/>
        <v>952.35154160090713</v>
      </c>
      <c r="CX81" s="62">
        <f t="shared" si="68"/>
        <v>1245.6848749342405</v>
      </c>
      <c r="CY81" s="62">
        <f ca="1">AVERAGE(OFFSET($CX$3,0,0,'Données projet'!$E$13+1,1))-AVERAGE(OFFSET($H$3,0,0,'Données projet'!$E$13+1,1))</f>
        <v>467.37715054082025</v>
      </c>
      <c r="CZ81" s="62">
        <f t="shared" si="96"/>
        <v>443.35096563136415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3.8957386345486391</v>
      </c>
      <c r="DG81" s="23">
        <f>EXP(-LN(2)/25)*DG80+(1-EXP(-LN(2)/25))/(LN(2)/25)*Calculateur!DB81*Calculateur!DD81*VLOOKUP('Données projet'!$B$13,Paramètres!$A$1:$I$89,3,0)*0.475*44/12</f>
        <v>3.8663491751480179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7.7620878096966575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8.0999999999999979</v>
      </c>
      <c r="DO81" s="13">
        <f>IF('Données projet'!$A$166&gt;35,DO80+DN81-DW80,IF(A81&lt;'Données projet'!$A$166,$DL$205^A81,IF(A81='Données projet'!$A$166,'Données projet'!$B$166,DO80+DN81-DW80)))</f>
        <v>460.92000000000093</v>
      </c>
      <c r="DP81" s="18">
        <f>DO81*VLOOKUP('Données projet'!$B$14,Paramètres!$A$1:$I$89,3,0)*VLOOKUP('Données projet'!$B$14,Paramètres!$A$1:$I$89,5,0)</f>
        <v>496.13428800000094</v>
      </c>
      <c r="DQ81" s="14">
        <f t="shared" si="97"/>
        <v>111.01548366367631</v>
      </c>
      <c r="DR81" s="22">
        <f t="shared" si="70"/>
        <v>1057.4525189809044</v>
      </c>
      <c r="DS81" s="62">
        <f t="shared" si="71"/>
        <v>1350.7858523142377</v>
      </c>
      <c r="DT81" s="62">
        <f ca="1">AVERAGE(OFFSET($DS$3,0,0,'Données projet'!$E$14+1,1))-AVERAGE(OFFSET($H$3,0,0,'Données projet'!$E$14+1,1))</f>
        <v>524.51242549438939</v>
      </c>
      <c r="DU81" s="62">
        <f t="shared" si="98"/>
        <v>494.88778446576327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4.3355800932879989</v>
      </c>
      <c r="EB81" s="23">
        <f>EXP(-LN(2)/25)*EB80+(1-EXP(-LN(2)/25))/(LN(2)/25)*Calculateur!DW81*Calculateur!DY81*VLOOKUP('Données projet'!$B$14,Paramètres!$A$1:$I$89,3,0)*0.475*44/12</f>
        <v>4.3028724691163429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8.6384525624043427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413.38450531099431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4.4666666666666712</v>
      </c>
      <c r="N82" s="14">
        <f>IF('Données projet'!$A$36&gt;35,N81+M82-V81,IF(A82&lt;'Données projet'!$A$36,$K$205^A82,IF(A82='Données projet'!$A$36,'Données projet'!$B$36,N81+M82-V81)))</f>
        <v>273.91999999999973</v>
      </c>
      <c r="O82" s="14">
        <f>N82*VLOOKUP('Données projet'!$B$9,Paramètres!$A$1:$I$89,3,0)*VLOOKUP('Données projet'!$B$9,Paramètres!$A$1:$I$89,5,0)</f>
        <v>247.84281599999977</v>
      </c>
      <c r="P82" s="14">
        <f t="shared" si="87"/>
        <v>60.123779640471085</v>
      </c>
      <c r="Q82" s="22">
        <f t="shared" si="54"/>
        <v>536.37515407382011</v>
      </c>
      <c r="R82" s="62">
        <f t="shared" si="55"/>
        <v>829.70848740715337</v>
      </c>
      <c r="S82" s="62">
        <f ca="1">AVERAGE(OFFSET($R$3,0,0,'Données projet'!$E$9+1,1))-AVERAGE(OFFSET($H$3,0,0,'Données projet'!$E$9+1,1))</f>
        <v>299.17641394512162</v>
      </c>
      <c r="T82" s="62">
        <f t="shared" si="88"/>
        <v>180.73046320039873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3.5095553387465235</v>
      </c>
      <c r="AA82" s="23">
        <f>EXP(-LN(2)/25)*AA81+(1-EXP(-LN(2)/25))/(LN(2)/25)*Calculateur!V82*Calculateur!X82*VLOOKUP('Données projet'!$B$9,Paramètres!$A$1:$I$89,3,0)*0.475*44/12</f>
        <v>3.4178399177824619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6.9273952565289854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4.45</v>
      </c>
      <c r="AI82" s="14">
        <f>IF('Données projet'!$A$62&gt;35,AI81+AH82-AQ81,IF(A82&lt;'Données projet'!$A$62,$AF$205^A82,IF(A82='Données projet'!$A$62,'Données projet'!$B$62,AI81+AH82-AQ81)))</f>
        <v>257.6699999999995</v>
      </c>
      <c r="AJ82" s="14">
        <f>AI82*VLOOKUP('Données projet'!$B$10,Paramètres!$A$1:$I$89,3,0)*VLOOKUP('Données projet'!$B$10,Paramètres!$A$1:$I$89,5,0)</f>
        <v>261.27737999999954</v>
      </c>
      <c r="AK82" s="14">
        <f t="shared" si="89"/>
        <v>62.994586037568503</v>
      </c>
      <c r="AL82" s="22">
        <f t="shared" si="58"/>
        <v>564.77367418209769</v>
      </c>
      <c r="AM82" s="62">
        <f t="shared" si="59"/>
        <v>858.10700751543095</v>
      </c>
      <c r="AN82" s="62">
        <f ca="1">AVERAGE(OFFSET($AM$3,0,0,'Données projet'!$E$10+1,1))-AVERAGE(OFFSET($H$3,0,0,'Données projet'!$E$10+1,1))</f>
        <v>384.66322295929552</v>
      </c>
      <c r="AO82" s="62">
        <f t="shared" si="90"/>
        <v>248.53970183513286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2.9108231980056019</v>
      </c>
      <c r="AV82" s="23">
        <f>EXP(-LN(2)/25)*AV81+(1-EXP(-LN(2)/25))/(LN(2)/25)*Calculateur!AQ82*Calculateur!AS82*VLOOKUP('Données projet'!$B$10,Paramètres!$A$1:$I$89,3,0)*0.475*44/12</f>
        <v>2.9423917749578341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5.8532149729634355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343.79999999999995</v>
      </c>
      <c r="BE82" s="14">
        <f>BD82*VLOOKUP('Données projet'!$B$11,Paramètres!$A$1:$I$89,3,0)*VLOOKUP('Données projet'!$B$11,Paramètres!$A$1:$I$89,5,0)</f>
        <v>205.5924</v>
      </c>
      <c r="BF82" s="14">
        <f t="shared" si="91"/>
        <v>50.971228364263673</v>
      </c>
      <c r="BG82" s="22">
        <f t="shared" si="61"/>
        <v>446.84831940109251</v>
      </c>
      <c r="BH82" s="62">
        <f t="shared" si="62"/>
        <v>740.18165273442582</v>
      </c>
      <c r="BI82" s="62">
        <f ca="1">AVERAGE(OFFSET($BH$3,0,0,'Données projet'!$E$11+1,1))-AVERAGE(OFFSET($H$3,0,0,'Données projet'!$E$11+1,1))</f>
        <v>146.25807703055079</v>
      </c>
      <c r="BJ82" s="62">
        <f t="shared" si="92"/>
        <v>177.40137940534413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3.6086768061208714</v>
      </c>
      <c r="BQ82" s="23">
        <f>EXP(-LN(2)/25)*BQ81+(1-EXP(-LN(2)/25))/(LN(2)/25)*Calculateur!BL82*Calculateur!BN82*VLOOKUP('Données projet'!$B$11,Paramètres!$A$1:$I$89,3,0)*0.475*44/12</f>
        <v>2.5075671270217579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6.1162439331426288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14.899999999999993</v>
      </c>
      <c r="BY82" s="13">
        <f>IF('Données projet'!$A$114&gt;35,BY81+BX82-CG81,IF(A82&lt;'Données projet'!$A$114,$BV$205^A82,IF(A82='Données projet'!$A$114,'Données projet'!$B$114,BY81+BX82-CG81)))</f>
        <v>745.24000000000012</v>
      </c>
      <c r="BZ82" s="14">
        <f>BY82*VLOOKUP('Données projet'!$B$12,Paramètres!$A$1:$I$89,3,0)*VLOOKUP('Données projet'!$B$12,Paramètres!$A$1:$I$89,5,0)</f>
        <v>348.77232000000004</v>
      </c>
      <c r="CA82" s="14">
        <f t="shared" si="93"/>
        <v>81.309667502080302</v>
      </c>
      <c r="CB82" s="22">
        <f t="shared" si="64"/>
        <v>749.0594615661231</v>
      </c>
      <c r="CC82" s="62">
        <f t="shared" si="65"/>
        <v>1042.3927948994565</v>
      </c>
      <c r="CD82" s="62">
        <f ca="1">AVERAGE(OFFSET($CC$3,0,0,'Données projet'!$E$12+1,1))-AVERAGE(OFFSET($H$3,0,0,'Données projet'!$E$12+1,1))</f>
        <v>287.12723448949828</v>
      </c>
      <c r="CE82" s="62">
        <f t="shared" si="94"/>
        <v>170.5203352323382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4.3800846784737733</v>
      </c>
      <c r="CL82" s="23">
        <f>EXP(-LN(2)/25)*CL81+(1-EXP(-LN(2)/25))/(LN(2)/25)*Calculateur!CG82*Calculateur!CI82*VLOOKUP('Données projet'!$B$12,Paramètres!$A$1:$I$89,3,0)*0.475*44/12</f>
        <v>23.713533214905958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28.093617893379729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8.0999999999999979</v>
      </c>
      <c r="CT82" s="13">
        <f>IF('Données projet'!$A$140&gt;35,CT81+CS82-DB81,IF(A82&lt;'Données projet'!$A$140,$CQ$205^A82,IF(A82='Données projet'!$A$140,'Données projet'!$B$140,CT81+CS82-DB81)))</f>
        <v>469.02000000000095</v>
      </c>
      <c r="CU82" s="18">
        <f>CT82*VLOOKUP('Données projet'!$B$13,Paramètres!$A$1:$I$89,3,0)*VLOOKUP('Données projet'!$B$13,Paramètres!$A$1:$I$89,5,0)</f>
        <v>453.63614400000097</v>
      </c>
      <c r="CV82" s="14">
        <f t="shared" si="95"/>
        <v>102.56966677116401</v>
      </c>
      <c r="CW82" s="22">
        <f t="shared" si="67"/>
        <v>968.72512042644564</v>
      </c>
      <c r="CX82" s="62">
        <f t="shared" si="68"/>
        <v>1262.058453759779</v>
      </c>
      <c r="CY82" s="62">
        <f ca="1">AVERAGE(OFFSET($CX$3,0,0,'Données projet'!$E$13+1,1))-AVERAGE(OFFSET($H$3,0,0,'Données projet'!$E$13+1,1))</f>
        <v>467.37715054082025</v>
      </c>
      <c r="CZ82" s="62">
        <f t="shared" si="96"/>
        <v>443.35096563136415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3.8193455760910804</v>
      </c>
      <c r="DG82" s="23">
        <f>EXP(-LN(2)/25)*DG81+(1-EXP(-LN(2)/25))/(LN(2)/25)*Calculateur!DB82*Calculateur!DD82*VLOOKUP('Données projet'!$B$13,Paramètres!$A$1:$I$89,3,0)*0.475*44/12</f>
        <v>3.760623653631129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7.5799692297222094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8.0999999999999979</v>
      </c>
      <c r="DO82" s="13">
        <f>IF('Données projet'!$A$166&gt;35,DO81+DN82-DW81,IF(A82&lt;'Données projet'!$A$166,$DL$205^A82,IF(A82='Données projet'!$A$166,'Données projet'!$B$166,DO81+DN82-DW81)))</f>
        <v>469.02000000000095</v>
      </c>
      <c r="DP82" s="18">
        <f>DO82*VLOOKUP('Données projet'!$B$14,Paramètres!$A$1:$I$89,3,0)*VLOOKUP('Données projet'!$B$14,Paramètres!$A$1:$I$89,5,0)</f>
        <v>504.85312800000099</v>
      </c>
      <c r="DQ82" s="14">
        <f t="shared" si="97"/>
        <v>112.73757901370156</v>
      </c>
      <c r="DR82" s="22">
        <f t="shared" si="70"/>
        <v>1075.6371480488651</v>
      </c>
      <c r="DS82" s="62">
        <f t="shared" si="71"/>
        <v>1368.9704813821984</v>
      </c>
      <c r="DT82" s="62">
        <f ca="1">AVERAGE(OFFSET($DS$3,0,0,'Données projet'!$E$14+1,1))-AVERAGE(OFFSET($H$3,0,0,'Données projet'!$E$14+1,1))</f>
        <v>524.51242549438939</v>
      </c>
      <c r="DU82" s="62">
        <f t="shared" si="98"/>
        <v>494.88778446576327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4.2505620121013612</v>
      </c>
      <c r="EB82" s="23">
        <f>EXP(-LN(2)/25)*EB81+(1-EXP(-LN(2)/25))/(LN(2)/25)*Calculateur!DW82*Calculateur!DY82*VLOOKUP('Données projet'!$B$14,Paramètres!$A$1:$I$89,3,0)*0.475*44/12</f>
        <v>4.1852101951701277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8.4357722072714889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415.31735020294059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4.4666666666666712</v>
      </c>
      <c r="N83" s="14">
        <f>IF('Données projet'!$A$36&gt;35,N82+M83-V82,IF(A83&lt;'Données projet'!$A$36,$K$205^A83,IF(A83='Données projet'!$A$36,'Données projet'!$B$36,N82+M83-V82)))</f>
        <v>278.38666666666643</v>
      </c>
      <c r="O83" s="14">
        <f>N83*VLOOKUP('Données projet'!$B$9,Paramètres!$A$1:$I$89,3,0)*VLOOKUP('Données projet'!$B$9,Paramètres!$A$1:$I$89,5,0)</f>
        <v>251.88425599999977</v>
      </c>
      <c r="P83" s="14">
        <f t="shared" si="87"/>
        <v>60.989249419255131</v>
      </c>
      <c r="Q83" s="22">
        <f t="shared" si="54"/>
        <v>544.92135527186895</v>
      </c>
      <c r="R83" s="62">
        <f t="shared" si="55"/>
        <v>838.25468860520232</v>
      </c>
      <c r="S83" s="62">
        <f ca="1">AVERAGE(OFFSET($R$3,0,0,'Données projet'!$E$9+1,1))-AVERAGE(OFFSET($H$3,0,0,'Données projet'!$E$9+1,1))</f>
        <v>299.17641394512162</v>
      </c>
      <c r="T83" s="62">
        <f t="shared" si="88"/>
        <v>180.73046320039873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3.4407350991710923</v>
      </c>
      <c r="AA83" s="23">
        <f>EXP(-LN(2)/25)*AA82+(1-EXP(-LN(2)/25))/(LN(2)/25)*Calculateur!V83*Calculateur!X83*VLOOKUP('Données projet'!$B$9,Paramètres!$A$1:$I$89,3,0)*0.475*44/12</f>
        <v>3.3243789054943109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6.7651140046654028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4.45</v>
      </c>
      <c r="AI83" s="14">
        <f>IF('Données projet'!$A$62&gt;35,AI82+AH83-AQ82,IF(A83&lt;'Données projet'!$A$62,$AF$205^A83,IF(A83='Données projet'!$A$62,'Données projet'!$B$62,AI82+AH83-AQ82)))</f>
        <v>262.11999999999949</v>
      </c>
      <c r="AJ83" s="14">
        <f>AI83*VLOOKUP('Données projet'!$B$10,Paramètres!$A$1:$I$89,3,0)*VLOOKUP('Données projet'!$B$10,Paramètres!$A$1:$I$89,5,0)</f>
        <v>265.78967999999952</v>
      </c>
      <c r="AK83" s="14">
        <f t="shared" si="89"/>
        <v>63.95491744167709</v>
      </c>
      <c r="AL83" s="22">
        <f t="shared" si="58"/>
        <v>574.30517387758675</v>
      </c>
      <c r="AM83" s="62">
        <f t="shared" si="59"/>
        <v>867.63850721092012</v>
      </c>
      <c r="AN83" s="62">
        <f ca="1">AVERAGE(OFFSET($AM$3,0,0,'Données projet'!$E$10+1,1))-AVERAGE(OFFSET($H$3,0,0,'Données projet'!$E$10+1,1))</f>
        <v>384.66322295929552</v>
      </c>
      <c r="AO83" s="62">
        <f t="shared" si="90"/>
        <v>248.53970183513286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2.8537437305195539</v>
      </c>
      <c r="AV83" s="23">
        <f>EXP(-LN(2)/25)*AV82+(1-EXP(-LN(2)/25))/(LN(2)/25)*Calculateur!AQ83*Calculateur!AS83*VLOOKUP('Données projet'!$B$10,Paramètres!$A$1:$I$89,3,0)*0.475*44/12</f>
        <v>2.8619319171379538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5.7156756476575072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343.79999999999995</v>
      </c>
      <c r="BE83" s="14">
        <f>BD83*VLOOKUP('Données projet'!$B$11,Paramètres!$A$1:$I$89,3,0)*VLOOKUP('Données projet'!$B$11,Paramètres!$A$1:$I$89,5,0)</f>
        <v>205.5924</v>
      </c>
      <c r="BF83" s="14">
        <f t="shared" si="91"/>
        <v>50.971228364263673</v>
      </c>
      <c r="BG83" s="22">
        <f t="shared" si="61"/>
        <v>446.84831940109251</v>
      </c>
      <c r="BH83" s="62">
        <f t="shared" si="62"/>
        <v>740.18165273442582</v>
      </c>
      <c r="BI83" s="62">
        <f ca="1">AVERAGE(OFFSET($BH$3,0,0,'Données projet'!$E$11+1,1))-AVERAGE(OFFSET($H$3,0,0,'Données projet'!$E$11+1,1))</f>
        <v>146.25807703055079</v>
      </c>
      <c r="BJ83" s="62">
        <f t="shared" si="92"/>
        <v>177.40137940534413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3.5379128550283547</v>
      </c>
      <c r="BQ83" s="23">
        <f>EXP(-LN(2)/25)*BQ82+(1-EXP(-LN(2)/25))/(LN(2)/25)*Calculateur!BL83*Calculateur!BN83*VLOOKUP('Données projet'!$B$11,Paramètres!$A$1:$I$89,3,0)*0.475*44/12</f>
        <v>2.4389975720661239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5.9769104270944791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760.14</v>
      </c>
      <c r="BW83" s="13">
        <f>VLOOKUP(A83,'Données projet'!$A$113:$I$133,9,0)</f>
        <v>14.899999999999993</v>
      </c>
      <c r="BX83" s="13">
        <f t="array" ref="BX83">INDEX(BW:BW,MIN(IF(ISNUMBER(BW83:BW279),ROW(BW83:BW279),"")))</f>
        <v>14.899999999999993</v>
      </c>
      <c r="BY83" s="13">
        <f>IF('Données projet'!$A$114&gt;35,BY82+BX83-CG82,IF(A83&lt;'Données projet'!$A$114,$BV$205^A83,IF(A83='Données projet'!$A$114,'Données projet'!$B$114,BY82+BX83-CG82)))</f>
        <v>760.1400000000001</v>
      </c>
      <c r="BZ83" s="14">
        <f>BY83*VLOOKUP('Données projet'!$B$12,Paramètres!$A$1:$I$89,3,0)*VLOOKUP('Données projet'!$B$12,Paramètres!$A$1:$I$89,5,0)</f>
        <v>355.74552000000006</v>
      </c>
      <c r="CA83" s="14">
        <f t="shared" si="93"/>
        <v>82.744450026504168</v>
      </c>
      <c r="CB83" s="22">
        <f t="shared" si="64"/>
        <v>763.70336446282818</v>
      </c>
      <c r="CC83" s="62">
        <f t="shared" si="65"/>
        <v>1057.0366977961614</v>
      </c>
      <c r="CD83" s="62">
        <f ca="1">AVERAGE(OFFSET($CC$3,0,0,'Données projet'!$E$12+1,1))-AVERAGE(OFFSET($H$3,0,0,'Données projet'!$E$12+1,1))</f>
        <v>287.12723448949828</v>
      </c>
      <c r="CE83" s="62">
        <f t="shared" si="94"/>
        <v>170.5203352323382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6.0500000000000005E-2</v>
      </c>
      <c r="CI83" s="17">
        <f>IF(ISNA(VLOOKUP(A83,'Données projet'!$A$113:$I$133,6,0)),0%,VLOOKUP(A83,'Données projet'!$A$113:$I$133,6,0)*VLOOKUP('Données projet'!$B$12,Paramètres!$A$1:$I$89,7,0))</f>
        <v>0.30800000000000005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4.2941938895167588</v>
      </c>
      <c r="CL83" s="23">
        <f>EXP(-LN(2)/25)*CL82+(1-EXP(-LN(2)/25))/(LN(2)/25)*Calculateur!CG83*Calculateur!CI83*VLOOKUP('Données projet'!$B$12,Paramètres!$A$1:$I$89,3,0)*0.475*44/12</f>
        <v>23.06508540210384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27.359279291620599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477.12</v>
      </c>
      <c r="CR83" s="13">
        <f>VLOOKUP(A83,'Données projet'!$A$139:$I$159,9,0)</f>
        <v>8.0999999999999979</v>
      </c>
      <c r="CS83" s="13">
        <f t="array" ref="CS83">INDEX(CR:CR,MIN(IF(ISNUMBER(CR83:CR279),ROW(CR83:CR279),"")))</f>
        <v>8.0999999999999979</v>
      </c>
      <c r="CT83" s="13">
        <f>IF('Données projet'!$A$140&gt;35,CT82+CS83-DB82,IF(A83&lt;'Données projet'!$A$140,$CQ$205^A83,IF(A83='Données projet'!$A$140,'Données projet'!$B$140,CT82+CS83-DB82)))</f>
        <v>477.12000000000097</v>
      </c>
      <c r="CU83" s="18">
        <f>CT83*VLOOKUP('Données projet'!$B$13,Paramètres!$A$1:$I$89,3,0)*VLOOKUP('Données projet'!$B$13,Paramètres!$A$1:$I$89,5,0)</f>
        <v>461.47046400000096</v>
      </c>
      <c r="CV83" s="14">
        <f t="shared" si="95"/>
        <v>104.13329806929862</v>
      </c>
      <c r="CW83" s="22">
        <f t="shared" si="67"/>
        <v>985.09321893736342</v>
      </c>
      <c r="CX83" s="62">
        <f t="shared" si="68"/>
        <v>1278.4265522706967</v>
      </c>
      <c r="CY83" s="62">
        <f ca="1">AVERAGE(OFFSET($CX$3,0,0,'Données projet'!$E$13+1,1))-AVERAGE(OFFSET($H$3,0,0,'Données projet'!$E$13+1,1))</f>
        <v>467.37715054082025</v>
      </c>
      <c r="CZ83" s="62">
        <f t="shared" si="96"/>
        <v>443.35096563136415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5.16E-2</v>
      </c>
      <c r="DD83" s="17">
        <f>IF(ISNA(VLOOKUP(A83,'Données projet'!$A$139:$I$159,6,0)),0%,VLOOKUP(A83,'Données projet'!$A$139:$I$159,6,0)*VLOOKUP('Données projet'!$B$13,Paramètres!$A$1:$I$89,7,0))</f>
        <v>5.16E-2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3.7444505389147098</v>
      </c>
      <c r="DG83" s="23">
        <f>EXP(-LN(2)/25)*DG82+(1-EXP(-LN(2)/25))/(LN(2)/25)*Calculateur!DB83*Calculateur!DD83*VLOOKUP('Données projet'!$B$13,Paramètres!$A$1:$I$89,3,0)*0.475*44/12</f>
        <v>3.6577892020599827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7.4022397409746929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477.12</v>
      </c>
      <c r="DM83" s="13">
        <f>VLOOKUP(A83,'Données projet'!$A$165:$I$185,9,0)</f>
        <v>8.0999999999999979</v>
      </c>
      <c r="DN83" s="13">
        <f t="array" ref="DN83">INDEX(DM:DM,MIN(IF(ISNUMBER(DM83:DM279),ROW(DM83:DM279),"")))</f>
        <v>8.0999999999999979</v>
      </c>
      <c r="DO83" s="13">
        <f>IF('Données projet'!$A$166&gt;35,DO82+DN83-DW82,IF(A83&lt;'Données projet'!$A$166,$DL$205^A83,IF(A83='Données projet'!$A$166,'Données projet'!$B$166,DO82+DN83-DW82)))</f>
        <v>477.12000000000097</v>
      </c>
      <c r="DP83" s="18">
        <f>DO83*VLOOKUP('Données projet'!$B$14,Paramètres!$A$1:$I$89,3,0)*VLOOKUP('Données projet'!$B$14,Paramètres!$A$1:$I$89,5,0)</f>
        <v>513.57196800000099</v>
      </c>
      <c r="DQ83" s="14">
        <f t="shared" si="97"/>
        <v>114.45621584436451</v>
      </c>
      <c r="DR83" s="22">
        <f t="shared" si="70"/>
        <v>1093.8157535289363</v>
      </c>
      <c r="DS83" s="62">
        <f t="shared" si="71"/>
        <v>1387.1490868622695</v>
      </c>
      <c r="DT83" s="62">
        <f ca="1">AVERAGE(OFFSET($DS$3,0,0,'Données projet'!$E$14+1,1))-AVERAGE(OFFSET($H$3,0,0,'Données projet'!$E$14+1,1))</f>
        <v>524.51242549438939</v>
      </c>
      <c r="DU83" s="62">
        <f t="shared" si="98"/>
        <v>494.88778446576327</v>
      </c>
      <c r="DV83" s="16">
        <f>IF(ISNA(VLOOKUP(A83,'Données projet'!$A$165:$I$185,3,0)),0,VLOOKUP(A83,'Données projet'!$A$165:$I$185,3,0))</f>
        <v>6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5.16E-2</v>
      </c>
      <c r="DY83" s="17">
        <f>IF(ISNA(VLOOKUP(A83,'Données projet'!$A$165:$I$185,6,0)),0%,VLOOKUP(A83,'Données projet'!$A$165:$I$185,6,0)*VLOOKUP('Données projet'!$B$14,Paramètres!$A$1:$I$89,7,0))</f>
        <v>5.16E-2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4.1672110836308844</v>
      </c>
      <c r="EB83" s="23">
        <f>EXP(-LN(2)/25)*EB82+(1-EXP(-LN(2)/25))/(LN(2)/25)*Calculateur!DW83*Calculateur!DY83*VLOOKUP('Données projet'!$B$14,Paramètres!$A$1:$I$89,3,0)*0.475*44/12</f>
        <v>4.0707654022925617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8.237976485923447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417.24963654057308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4.4666666666666712</v>
      </c>
      <c r="N84" s="14">
        <f>IF('Données projet'!$A$36&gt;35,N83+M84-V83,IF(A84&lt;'Données projet'!$A$36,$K$205^A84,IF(A84='Données projet'!$A$36,'Données projet'!$B$36,N83+M84-V83)))</f>
        <v>282.85333333333313</v>
      </c>
      <c r="O84" s="14">
        <f>N84*VLOOKUP('Données projet'!$B$9,Paramètres!$A$1:$I$89,3,0)*VLOOKUP('Données projet'!$B$9,Paramètres!$A$1:$I$89,5,0)</f>
        <v>255.92569599999979</v>
      </c>
      <c r="P84" s="14">
        <f t="shared" si="87"/>
        <v>61.85310426612503</v>
      </c>
      <c r="Q84" s="22">
        <f t="shared" si="54"/>
        <v>553.464743796834</v>
      </c>
      <c r="R84" s="62">
        <f t="shared" si="55"/>
        <v>846.79807713016726</v>
      </c>
      <c r="S84" s="62">
        <f ca="1">AVERAGE(OFFSET($R$3,0,0,'Données projet'!$E$9+1,1))-AVERAGE(OFFSET($H$3,0,0,'Données projet'!$E$9+1,1))</f>
        <v>299.17641394512162</v>
      </c>
      <c r="T84" s="62">
        <f t="shared" si="88"/>
        <v>180.73046320039873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3.3732643825175339</v>
      </c>
      <c r="AA84" s="23">
        <f>EXP(-LN(2)/25)*AA83+(1-EXP(-LN(2)/25))/(LN(2)/25)*Calculateur!V84*Calculateur!X84*VLOOKUP('Données projet'!$B$9,Paramètres!$A$1:$I$89,3,0)*0.475*44/12</f>
        <v>3.2334735895020805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6.606737972019614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4.45</v>
      </c>
      <c r="AI84" s="14">
        <f>IF('Données projet'!$A$62&gt;35,AI83+AH84-AQ83,IF(A84&lt;'Données projet'!$A$62,$AF$205^A84,IF(A84='Données projet'!$A$62,'Données projet'!$B$62,AI83+AH84-AQ83)))</f>
        <v>266.56999999999948</v>
      </c>
      <c r="AJ84" s="14">
        <f>AI84*VLOOKUP('Données projet'!$B$10,Paramètres!$A$1:$I$89,3,0)*VLOOKUP('Données projet'!$B$10,Paramètres!$A$1:$I$89,5,0)</f>
        <v>270.3019799999995</v>
      </c>
      <c r="AK84" s="14">
        <f t="shared" si="89"/>
        <v>64.913352895342044</v>
      </c>
      <c r="AL84" s="22">
        <f t="shared" si="58"/>
        <v>583.83337145938651</v>
      </c>
      <c r="AM84" s="62">
        <f t="shared" si="59"/>
        <v>877.16670479271988</v>
      </c>
      <c r="AN84" s="62">
        <f ca="1">AVERAGE(OFFSET($AM$3,0,0,'Données projet'!$E$10+1,1))-AVERAGE(OFFSET($H$3,0,0,'Données projet'!$E$10+1,1))</f>
        <v>384.66322295929552</v>
      </c>
      <c r="AO84" s="62">
        <f t="shared" si="90"/>
        <v>248.53970183513286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2.7977835565758697</v>
      </c>
      <c r="AV84" s="23">
        <f>EXP(-LN(2)/25)*AV83+(1-EXP(-LN(2)/25))/(LN(2)/25)*Calculateur!AQ84*Calculateur!AS84*VLOOKUP('Données projet'!$B$10,Paramètres!$A$1:$I$89,3,0)*0.475*44/12</f>
        <v>2.7836722383613579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5.5814557949372272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343.79999999999995</v>
      </c>
      <c r="BE84" s="14">
        <f>BD84*VLOOKUP('Données projet'!$B$11,Paramètres!$A$1:$I$89,3,0)*VLOOKUP('Données projet'!$B$11,Paramètres!$A$1:$I$89,5,0)</f>
        <v>205.5924</v>
      </c>
      <c r="BF84" s="14">
        <f t="shared" si="91"/>
        <v>50.971228364263673</v>
      </c>
      <c r="BG84" s="22">
        <f t="shared" si="61"/>
        <v>446.84831940109251</v>
      </c>
      <c r="BH84" s="62">
        <f t="shared" si="62"/>
        <v>740.18165273442582</v>
      </c>
      <c r="BI84" s="62">
        <f ca="1">AVERAGE(OFFSET($BH$3,0,0,'Données projet'!$E$11+1,1))-AVERAGE(OFFSET($H$3,0,0,'Données projet'!$E$11+1,1))</f>
        <v>146.25807703055079</v>
      </c>
      <c r="BJ84" s="62">
        <f t="shared" si="92"/>
        <v>177.40137940534413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3.468536541855014</v>
      </c>
      <c r="BQ84" s="23">
        <f>EXP(-LN(2)/25)*BQ83+(1-EXP(-LN(2)/25))/(LN(2)/25)*Calculateur!BL84*Calculateur!BN84*VLOOKUP('Données projet'!$B$11,Paramètres!$A$1:$I$89,3,0)*0.475*44/12</f>
        <v>2.3723030551966677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5.8408395970516818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760.1400000000001</v>
      </c>
      <c r="BZ84" s="14">
        <f>BY84*VLOOKUP('Données projet'!$B$12,Paramètres!$A$1:$I$89,3,0)*VLOOKUP('Données projet'!$B$12,Paramètres!$A$1:$I$89,5,0)</f>
        <v>355.74552000000006</v>
      </c>
      <c r="CA84" s="14">
        <f t="shared" si="93"/>
        <v>82.744450026504168</v>
      </c>
      <c r="CB84" s="22">
        <f t="shared" si="64"/>
        <v>763.70336446282818</v>
      </c>
      <c r="CC84" s="62">
        <f t="shared" si="65"/>
        <v>1057.0366977961614</v>
      </c>
      <c r="CD84" s="62">
        <f ca="1">AVERAGE(OFFSET($CC$3,0,0,'Données projet'!$E$12+1,1))-AVERAGE(OFFSET($H$3,0,0,'Données projet'!$E$12+1,1))</f>
        <v>287.12723448949828</v>
      </c>
      <c r="CE84" s="62">
        <f t="shared" si="94"/>
        <v>170.5203352323382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4.2099873665429834</v>
      </c>
      <c r="CL84" s="23">
        <f>EXP(-LN(2)/25)*CL83+(1-EXP(-LN(2)/25))/(LN(2)/25)*Calculateur!CG84*Calculateur!CI84*VLOOKUP('Données projet'!$B$12,Paramètres!$A$1:$I$89,3,0)*0.475*44/12</f>
        <v>22.434369428843183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26.644356795386166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477.12000000000097</v>
      </c>
      <c r="CU84" s="18">
        <f>CT84*VLOOKUP('Données projet'!$B$13,Paramètres!$A$1:$I$89,3,0)*VLOOKUP('Données projet'!$B$13,Paramètres!$A$1:$I$89,5,0)</f>
        <v>461.47046400000096</v>
      </c>
      <c r="CV84" s="14">
        <f t="shared" si="95"/>
        <v>104.13329806929862</v>
      </c>
      <c r="CW84" s="22">
        <f t="shared" si="67"/>
        <v>985.09321893736342</v>
      </c>
      <c r="CX84" s="62">
        <f t="shared" si="68"/>
        <v>1278.4265522706967</v>
      </c>
      <c r="CY84" s="62">
        <f ca="1">AVERAGE(OFFSET($CX$3,0,0,'Données projet'!$E$13+1,1))-AVERAGE(OFFSET($H$3,0,0,'Données projet'!$E$13+1,1))</f>
        <v>467.37715054082025</v>
      </c>
      <c r="CZ84" s="62">
        <f t="shared" si="96"/>
        <v>443.35096563136415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3.6710241477359058</v>
      </c>
      <c r="DG84" s="23">
        <f>EXP(-LN(2)/25)*DG83+(1-EXP(-LN(2)/25))/(LN(2)/25)*Calculateur!DB84*Calculateur!DD84*VLOOKUP('Données projet'!$B$13,Paramètres!$A$1:$I$89,3,0)*0.475*44/12</f>
        <v>3.5577667639748785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7.2287909117107843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477.12000000000097</v>
      </c>
      <c r="DP84" s="18">
        <f>DO84*VLOOKUP('Données projet'!$B$14,Paramètres!$A$1:$I$89,3,0)*VLOOKUP('Données projet'!$B$14,Paramètres!$A$1:$I$89,5,0)</f>
        <v>513.57196800000099</v>
      </c>
      <c r="DQ84" s="14">
        <f t="shared" si="97"/>
        <v>114.45621584436451</v>
      </c>
      <c r="DR84" s="22">
        <f t="shared" si="70"/>
        <v>1093.8157535289363</v>
      </c>
      <c r="DS84" s="62">
        <f t="shared" si="71"/>
        <v>1387.1490868622695</v>
      </c>
      <c r="DT84" s="62">
        <f ca="1">AVERAGE(OFFSET($DS$3,0,0,'Données projet'!$E$14+1,1))-AVERAGE(OFFSET($H$3,0,0,'Données projet'!$E$14+1,1))</f>
        <v>524.51242549438939</v>
      </c>
      <c r="DU84" s="62">
        <f t="shared" si="98"/>
        <v>494.88778446576327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4.0854946160286669</v>
      </c>
      <c r="EB84" s="23">
        <f>EXP(-LN(2)/25)*EB83+(1-EXP(-LN(2)/25))/(LN(2)/25)*Calculateur!DW84*Calculateur!DY84*VLOOKUP('Données projet'!$B$14,Paramètres!$A$1:$I$89,3,0)*0.475*44/12</f>
        <v>3.959450108294623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8.0449447243232903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419.18137201715149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4.4666666666666712</v>
      </c>
      <c r="N85" s="14">
        <f>IF('Données projet'!$A$36&gt;35,N84+M85-V84,IF(A85&lt;'Données projet'!$A$36,$K$205^A85,IF(A85='Données projet'!$A$36,'Données projet'!$B$36,N84+M85-V84)))</f>
        <v>287.31999999999982</v>
      </c>
      <c r="O85" s="14">
        <f>N85*VLOOKUP('Données projet'!$B$9,Paramètres!$A$1:$I$89,3,0)*VLOOKUP('Données projet'!$B$9,Paramètres!$A$1:$I$89,5,0)</f>
        <v>259.96713599999981</v>
      </c>
      <c r="P85" s="14">
        <f t="shared" si="87"/>
        <v>62.715372627890368</v>
      </c>
      <c r="Q85" s="22">
        <f t="shared" si="54"/>
        <v>562.00536919357535</v>
      </c>
      <c r="R85" s="62">
        <f t="shared" si="55"/>
        <v>855.33870252690872</v>
      </c>
      <c r="S85" s="62">
        <f ca="1">AVERAGE(OFFSET($R$3,0,0,'Données projet'!$E$9+1,1))-AVERAGE(OFFSET($H$3,0,0,'Données projet'!$E$9+1,1))</f>
        <v>299.17641394512162</v>
      </c>
      <c r="T85" s="62">
        <f t="shared" si="88"/>
        <v>180.73046320039873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3.3071167254644784</v>
      </c>
      <c r="AA85" s="23">
        <f>EXP(-LN(2)/25)*AA84+(1-EXP(-LN(2)/25))/(LN(2)/25)*Calculateur!V85*Calculateur!X85*VLOOKUP('Données projet'!$B$9,Paramètres!$A$1:$I$89,3,0)*0.475*44/12</f>
        <v>3.1450540841561603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6.4521708096206387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4.45</v>
      </c>
      <c r="AI85" s="14">
        <f>IF('Données projet'!$A$62&gt;35,AI84+AH85-AQ84,IF(A85&lt;'Données projet'!$A$62,$AF$205^A85,IF(A85='Données projet'!$A$62,'Données projet'!$B$62,AI84+AH85-AQ84)))</f>
        <v>271.01999999999947</v>
      </c>
      <c r="AJ85" s="14">
        <f>AI85*VLOOKUP('Données projet'!$B$10,Paramètres!$A$1:$I$89,3,0)*VLOOKUP('Données projet'!$B$10,Paramètres!$A$1:$I$89,5,0)</f>
        <v>274.81427999999948</v>
      </c>
      <c r="AK85" s="14">
        <f t="shared" si="89"/>
        <v>65.869927701783624</v>
      </c>
      <c r="AL85" s="22">
        <f t="shared" si="58"/>
        <v>593.35832841393892</v>
      </c>
      <c r="AM85" s="62">
        <f t="shared" si="59"/>
        <v>886.69166174727229</v>
      </c>
      <c r="AN85" s="62">
        <f ca="1">AVERAGE(OFFSET($AM$3,0,0,'Données projet'!$E$10+1,1))-AVERAGE(OFFSET($H$3,0,0,'Données projet'!$E$10+1,1))</f>
        <v>384.66322295929552</v>
      </c>
      <c r="AO85" s="62">
        <f t="shared" si="90"/>
        <v>248.53970183513286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2.7429207275108856</v>
      </c>
      <c r="AV85" s="23">
        <f>EXP(-LN(2)/25)*AV84+(1-EXP(-LN(2)/25))/(LN(2)/25)*Calculateur!AQ85*Calculateur!AS85*VLOOKUP('Données projet'!$B$10,Paramètres!$A$1:$I$89,3,0)*0.475*44/12</f>
        <v>2.7075525746164057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5.4504733021272909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343.79999999999995</v>
      </c>
      <c r="BE85" s="14">
        <f>BD85*VLOOKUP('Données projet'!$B$11,Paramètres!$A$1:$I$89,3,0)*VLOOKUP('Données projet'!$B$11,Paramètres!$A$1:$I$89,5,0)</f>
        <v>205.5924</v>
      </c>
      <c r="BF85" s="14">
        <f t="shared" si="91"/>
        <v>50.971228364263673</v>
      </c>
      <c r="BG85" s="22">
        <f t="shared" si="61"/>
        <v>446.84831940109251</v>
      </c>
      <c r="BH85" s="62">
        <f t="shared" si="62"/>
        <v>740.18165273442582</v>
      </c>
      <c r="BI85" s="62">
        <f ca="1">AVERAGE(OFFSET($BH$3,0,0,'Données projet'!$E$11+1,1))-AVERAGE(OFFSET($H$3,0,0,'Données projet'!$E$11+1,1))</f>
        <v>146.25807703055079</v>
      </c>
      <c r="BJ85" s="62">
        <f t="shared" si="92"/>
        <v>177.40137940534413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3.4005206558676297</v>
      </c>
      <c r="BQ85" s="23">
        <f>EXP(-LN(2)/25)*BQ84+(1-EXP(-LN(2)/25))/(LN(2)/25)*Calculateur!BL85*Calculateur!BN85*VLOOKUP('Données projet'!$B$11,Paramètres!$A$1:$I$89,3,0)*0.475*44/12</f>
        <v>2.3074323033983193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5.707952959265949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760.1400000000001</v>
      </c>
      <c r="BZ85" s="14">
        <f>BY85*VLOOKUP('Données projet'!$B$12,Paramètres!$A$1:$I$89,3,0)*VLOOKUP('Données projet'!$B$12,Paramètres!$A$1:$I$89,5,0)</f>
        <v>355.74552000000006</v>
      </c>
      <c r="CA85" s="14">
        <f t="shared" si="93"/>
        <v>82.744450026504168</v>
      </c>
      <c r="CB85" s="22">
        <f t="shared" si="64"/>
        <v>763.70336446282818</v>
      </c>
      <c r="CC85" s="62">
        <f t="shared" si="65"/>
        <v>1057.0366977961614</v>
      </c>
      <c r="CD85" s="62">
        <f ca="1">AVERAGE(OFFSET($CC$3,0,0,'Données projet'!$E$12+1,1))-AVERAGE(OFFSET($H$3,0,0,'Données projet'!$E$12+1,1))</f>
        <v>287.12723448949828</v>
      </c>
      <c r="CE85" s="62">
        <f t="shared" si="94"/>
        <v>170.5203352323382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4.127432082123816</v>
      </c>
      <c r="CL85" s="23">
        <f>EXP(-LN(2)/25)*CL84+(1-EXP(-LN(2)/25))/(LN(2)/25)*Calculateur!CG85*Calculateur!CI85*VLOOKUP('Données projet'!$B$12,Paramètres!$A$1:$I$89,3,0)*0.475*44/12</f>
        <v>21.820900417039251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25.948332499163065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477.12000000000097</v>
      </c>
      <c r="CU85" s="18">
        <f>CT85*VLOOKUP('Données projet'!$B$13,Paramètres!$A$1:$I$89,3,0)*VLOOKUP('Données projet'!$B$13,Paramètres!$A$1:$I$89,5,0)</f>
        <v>461.47046400000096</v>
      </c>
      <c r="CV85" s="14">
        <f t="shared" si="95"/>
        <v>104.13329806929862</v>
      </c>
      <c r="CW85" s="22">
        <f t="shared" si="67"/>
        <v>985.09321893736342</v>
      </c>
      <c r="CX85" s="62">
        <f t="shared" si="68"/>
        <v>1278.4265522706967</v>
      </c>
      <c r="CY85" s="62">
        <f ca="1">AVERAGE(OFFSET($CX$3,0,0,'Données projet'!$E$13+1,1))-AVERAGE(OFFSET($H$3,0,0,'Données projet'!$E$13+1,1))</f>
        <v>467.37715054082025</v>
      </c>
      <c r="CZ85" s="62">
        <f t="shared" si="96"/>
        <v>443.35096563136415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3.5990376033024418</v>
      </c>
      <c r="DG85" s="23">
        <f>EXP(-LN(2)/25)*DG84+(1-EXP(-LN(2)/25))/(LN(2)/25)*Calculateur!DB85*Calculateur!DD85*VLOOKUP('Données projet'!$B$13,Paramètres!$A$1:$I$89,3,0)*0.475*44/12</f>
        <v>3.4604794447191627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7.0595170480216041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477.12000000000097</v>
      </c>
      <c r="DP85" s="18">
        <f>DO85*VLOOKUP('Données projet'!$B$14,Paramètres!$A$1:$I$89,3,0)*VLOOKUP('Données projet'!$B$14,Paramètres!$A$1:$I$89,5,0)</f>
        <v>513.57196800000099</v>
      </c>
      <c r="DQ85" s="14">
        <f t="shared" si="97"/>
        <v>114.45621584436451</v>
      </c>
      <c r="DR85" s="22">
        <f t="shared" si="70"/>
        <v>1093.8157535289363</v>
      </c>
      <c r="DS85" s="62">
        <f t="shared" si="71"/>
        <v>1387.1490868622695</v>
      </c>
      <c r="DT85" s="62">
        <f ca="1">AVERAGE(OFFSET($DS$3,0,0,'Données projet'!$E$14+1,1))-AVERAGE(OFFSET($H$3,0,0,'Données projet'!$E$14+1,1))</f>
        <v>524.51242549438939</v>
      </c>
      <c r="DU85" s="62">
        <f t="shared" si="98"/>
        <v>494.88778446576327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4.0053805585140054</v>
      </c>
      <c r="EB85" s="23">
        <f>EXP(-LN(2)/25)*EB84+(1-EXP(-LN(2)/25))/(LN(2)/25)*Calculateur!DW85*Calculateur!DY85*VLOOKUP('Données projet'!$B$14,Paramètres!$A$1:$I$89,3,0)*0.475*44/12</f>
        <v>3.8511787368648749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7.8565592953788803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421.1125641275006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4.4666666666666712</v>
      </c>
      <c r="N86" s="14">
        <f>IF('Données projet'!$A$36&gt;35,N85+M86-V85,IF(A86&lt;'Données projet'!$A$36,$K$205^A86,IF(A86='Données projet'!$A$36,'Données projet'!$B$36,N85+M86-V85)))</f>
        <v>291.78666666666652</v>
      </c>
      <c r="O86" s="14">
        <f>N86*VLOOKUP('Données projet'!$B$9,Paramètres!$A$1:$I$89,3,0)*VLOOKUP('Données projet'!$B$9,Paramètres!$A$1:$I$89,5,0)</f>
        <v>264.00857599999989</v>
      </c>
      <c r="P86" s="14">
        <f t="shared" si="87"/>
        <v>63.576082016152284</v>
      </c>
      <c r="Q86" s="22">
        <f t="shared" si="54"/>
        <v>570.54327937813161</v>
      </c>
      <c r="R86" s="62">
        <f t="shared" si="55"/>
        <v>863.87661271146499</v>
      </c>
      <c r="S86" s="62">
        <f ca="1">AVERAGE(OFFSET($R$3,0,0,'Données projet'!$E$9+1,1))-AVERAGE(OFFSET($H$3,0,0,'Données projet'!$E$9+1,1))</f>
        <v>299.17641394512162</v>
      </c>
      <c r="T86" s="62">
        <f t="shared" si="88"/>
        <v>180.73046320039873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3.2422661836201465</v>
      </c>
      <c r="AA86" s="23">
        <f>EXP(-LN(2)/25)*AA85+(1-EXP(-LN(2)/25))/(LN(2)/25)*Calculateur!V86*Calculateur!X86*VLOOKUP('Données projet'!$B$9,Paramètres!$A$1:$I$89,3,0)*0.475*44/12</f>
        <v>3.0590524148337037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6.3013185984538502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4.45</v>
      </c>
      <c r="AI86" s="14">
        <f>IF('Données projet'!$A$62&gt;35,AI85+AH86-AQ85,IF(A86&lt;'Données projet'!$A$62,$AF$205^A86,IF(A86='Données projet'!$A$62,'Données projet'!$B$62,AI85+AH86-AQ85)))</f>
        <v>275.46999999999946</v>
      </c>
      <c r="AJ86" s="14">
        <f>AI86*VLOOKUP('Données projet'!$B$10,Paramètres!$A$1:$I$89,3,0)*VLOOKUP('Données projet'!$B$10,Paramètres!$A$1:$I$89,5,0)</f>
        <v>279.32657999999947</v>
      </c>
      <c r="AK86" s="14">
        <f t="shared" si="89"/>
        <v>66.824675938437395</v>
      </c>
      <c r="AL86" s="22">
        <f t="shared" si="58"/>
        <v>602.88010409277751</v>
      </c>
      <c r="AM86" s="62">
        <f t="shared" si="59"/>
        <v>896.21343742611089</v>
      </c>
      <c r="AN86" s="62">
        <f ca="1">AVERAGE(OFFSET($AM$3,0,0,'Données projet'!$E$10+1,1))-AVERAGE(OFFSET($H$3,0,0,'Données projet'!$E$10+1,1))</f>
        <v>384.66322295929552</v>
      </c>
      <c r="AO86" s="62">
        <f t="shared" si="90"/>
        <v>248.53970183513286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2.6891337250608442</v>
      </c>
      <c r="AV86" s="23">
        <f>EXP(-LN(2)/25)*AV85+(1-EXP(-LN(2)/25))/(LN(2)/25)*Calculateur!AQ86*Calculateur!AS86*VLOOKUP('Données projet'!$B$10,Paramètres!$A$1:$I$89,3,0)*0.475*44/12</f>
        <v>2.6335144070795184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5.3226481321403627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343.79999999999995</v>
      </c>
      <c r="BE86" s="14">
        <f>BD86*VLOOKUP('Données projet'!$B$11,Paramètres!$A$1:$I$89,3,0)*VLOOKUP('Données projet'!$B$11,Paramètres!$A$1:$I$89,5,0)</f>
        <v>205.5924</v>
      </c>
      <c r="BF86" s="14">
        <f t="shared" si="91"/>
        <v>50.971228364263673</v>
      </c>
      <c r="BG86" s="22">
        <f t="shared" si="61"/>
        <v>446.84831940109251</v>
      </c>
      <c r="BH86" s="62">
        <f t="shared" si="62"/>
        <v>740.18165273442582</v>
      </c>
      <c r="BI86" s="62">
        <f ca="1">AVERAGE(OFFSET($BH$3,0,0,'Données projet'!$E$11+1,1))-AVERAGE(OFFSET($H$3,0,0,'Données projet'!$E$11+1,1))</f>
        <v>146.25807703055079</v>
      </c>
      <c r="BJ86" s="62">
        <f t="shared" si="92"/>
        <v>177.40137940534413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3.333838519918864</v>
      </c>
      <c r="BQ86" s="23">
        <f>EXP(-LN(2)/25)*BQ85+(1-EXP(-LN(2)/25))/(LN(2)/25)*Calculateur!BL86*Calculateur!BN86*VLOOKUP('Données projet'!$B$11,Paramètres!$A$1:$I$89,3,0)*0.475*44/12</f>
        <v>2.244335445719301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5.5781739656381646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760.1400000000001</v>
      </c>
      <c r="BZ86" s="14">
        <f>BY86*VLOOKUP('Données projet'!$B$12,Paramètres!$A$1:$I$89,3,0)*VLOOKUP('Données projet'!$B$12,Paramètres!$A$1:$I$89,5,0)</f>
        <v>355.74552000000006</v>
      </c>
      <c r="CA86" s="14">
        <f t="shared" si="93"/>
        <v>82.744450026504168</v>
      </c>
      <c r="CB86" s="22">
        <f t="shared" si="64"/>
        <v>763.70336446282818</v>
      </c>
      <c r="CC86" s="62">
        <f t="shared" si="65"/>
        <v>1057.0366977961614</v>
      </c>
      <c r="CD86" s="62">
        <f ca="1">AVERAGE(OFFSET($CC$3,0,0,'Données projet'!$E$12+1,1))-AVERAGE(OFFSET($H$3,0,0,'Données projet'!$E$12+1,1))</f>
        <v>287.12723448949828</v>
      </c>
      <c r="CE86" s="62">
        <f t="shared" si="94"/>
        <v>170.5203352323382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4.0464956564783572</v>
      </c>
      <c r="CL86" s="23">
        <f>EXP(-LN(2)/25)*CL85+(1-EXP(-LN(2)/25))/(LN(2)/25)*Calculateur!CG86*Calculateur!CI86*VLOOKUP('Données projet'!$B$12,Paramètres!$A$1:$I$89,3,0)*0.475*44/12</f>
        <v>21.224206747624031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25.270702404102387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477.12000000000097</v>
      </c>
      <c r="CU86" s="18">
        <f>CT86*VLOOKUP('Données projet'!$B$13,Paramètres!$A$1:$I$89,3,0)*VLOOKUP('Données projet'!$B$13,Paramètres!$A$1:$I$89,5,0)</f>
        <v>461.47046400000096</v>
      </c>
      <c r="CV86" s="14">
        <f t="shared" si="95"/>
        <v>104.13329806929862</v>
      </c>
      <c r="CW86" s="22">
        <f t="shared" si="67"/>
        <v>985.09321893736342</v>
      </c>
      <c r="CX86" s="62">
        <f t="shared" si="68"/>
        <v>1278.4265522706967</v>
      </c>
      <c r="CY86" s="62">
        <f ca="1">AVERAGE(OFFSET($CX$3,0,0,'Données projet'!$E$13+1,1))-AVERAGE(OFFSET($H$3,0,0,'Données projet'!$E$13+1,1))</f>
        <v>467.37715054082025</v>
      </c>
      <c r="CZ86" s="62">
        <f t="shared" si="96"/>
        <v>443.35096563136415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3.5284626710978615</v>
      </c>
      <c r="DG86" s="23">
        <f>EXP(-LN(2)/25)*DG85+(1-EXP(-LN(2)/25))/(LN(2)/25)*Calculateur!DB86*Calculateur!DD86*VLOOKUP('Données projet'!$B$13,Paramètres!$A$1:$I$89,3,0)*0.475*44/12</f>
        <v>3.3658524523246123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6.8943151234224738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477.12000000000097</v>
      </c>
      <c r="DP86" s="18">
        <f>DO86*VLOOKUP('Données projet'!$B$14,Paramètres!$A$1:$I$89,3,0)*VLOOKUP('Données projet'!$B$14,Paramètres!$A$1:$I$89,5,0)</f>
        <v>513.57196800000099</v>
      </c>
      <c r="DQ86" s="14">
        <f t="shared" si="97"/>
        <v>114.45621584436451</v>
      </c>
      <c r="DR86" s="22">
        <f t="shared" si="70"/>
        <v>1093.8157535289363</v>
      </c>
      <c r="DS86" s="62">
        <f t="shared" si="71"/>
        <v>1387.1490868622695</v>
      </c>
      <c r="DT86" s="62">
        <f ca="1">AVERAGE(OFFSET($DS$3,0,0,'Données projet'!$E$14+1,1))-AVERAGE(OFFSET($H$3,0,0,'Données projet'!$E$14+1,1))</f>
        <v>524.51242549438939</v>
      </c>
      <c r="DU86" s="62">
        <f t="shared" si="98"/>
        <v>494.88778446576327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3.9268374888024562</v>
      </c>
      <c r="EB86" s="23">
        <f>EXP(-LN(2)/25)*EB85+(1-EXP(-LN(2)/25))/(LN(2)/25)*Calculateur!DW86*Calculateur!DY86*VLOOKUP('Données projet'!$B$14,Paramètres!$A$1:$I$89,3,0)*0.475*44/12</f>
        <v>3.7458680517806169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7.6727055405830731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423.0432201754565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4.4666666666666712</v>
      </c>
      <c r="N87" s="14">
        <f>IF('Données projet'!$A$36&gt;35,N86+M87-V86,IF(A87&lt;'Données projet'!$A$36,$K$205^A87,IF(A87='Données projet'!$A$36,'Données projet'!$B$36,N86+M87-V86)))</f>
        <v>296.25333333333322</v>
      </c>
      <c r="O87" s="14">
        <f>N87*VLOOKUP('Données projet'!$B$9,Paramètres!$A$1:$I$89,3,0)*VLOOKUP('Données projet'!$B$9,Paramètres!$A$1:$I$89,5,0)</f>
        <v>268.05001599999986</v>
      </c>
      <c r="P87" s="14">
        <f t="shared" si="87"/>
        <v>64.435259051885652</v>
      </c>
      <c r="Q87" s="22">
        <f t="shared" si="54"/>
        <v>579.07852071536729</v>
      </c>
      <c r="R87" s="62">
        <f t="shared" si="55"/>
        <v>872.41185404870066</v>
      </c>
      <c r="S87" s="62">
        <f ca="1">AVERAGE(OFFSET($R$3,0,0,'Données projet'!$E$9+1,1))-AVERAGE(OFFSET($H$3,0,0,'Données projet'!$E$9+1,1))</f>
        <v>299.17641394512162</v>
      </c>
      <c r="T87" s="62">
        <f t="shared" si="88"/>
        <v>180.73046320039873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3.178687321346457</v>
      </c>
      <c r="AA87" s="23">
        <f>EXP(-LN(2)/25)*AA86+(1-EXP(-LN(2)/25))/(LN(2)/25)*Calculateur!V87*Calculateur!X87*VLOOKUP('Données projet'!$B$9,Paramètres!$A$1:$I$89,3,0)*0.475*44/12</f>
        <v>2.9754024656815012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6.1540897870279583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4.45</v>
      </c>
      <c r="AI87" s="14">
        <f>IF('Données projet'!$A$62&gt;35,AI86+AH87-AQ86,IF(A87&lt;'Données projet'!$A$62,$AF$205^A87,IF(A87='Données projet'!$A$62,'Données projet'!$B$62,AI86+AH87-AQ86)))</f>
        <v>279.91999999999945</v>
      </c>
      <c r="AJ87" s="14">
        <f>AI87*VLOOKUP('Données projet'!$B$10,Paramètres!$A$1:$I$89,3,0)*VLOOKUP('Données projet'!$B$10,Paramètres!$A$1:$I$89,5,0)</f>
        <v>283.83887999999945</v>
      </c>
      <c r="AK87" s="14">
        <f t="shared" si="89"/>
        <v>67.777630518616974</v>
      </c>
      <c r="AL87" s="22">
        <f t="shared" si="58"/>
        <v>612.39875581992362</v>
      </c>
      <c r="AM87" s="62">
        <f t="shared" si="59"/>
        <v>905.73208915325699</v>
      </c>
      <c r="AN87" s="62">
        <f ca="1">AVERAGE(OFFSET($AM$3,0,0,'Données projet'!$E$10+1,1))-AVERAGE(OFFSET($H$3,0,0,'Données projet'!$E$10+1,1))</f>
        <v>384.66322295929552</v>
      </c>
      <c r="AO87" s="62">
        <f t="shared" si="90"/>
        <v>248.53970183513286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2.6364014529220161</v>
      </c>
      <c r="AV87" s="23">
        <f>EXP(-LN(2)/25)*AV86+(1-EXP(-LN(2)/25))/(LN(2)/25)*Calculateur!AQ87*Calculateur!AS87*VLOOKUP('Données projet'!$B$10,Paramètres!$A$1:$I$89,3,0)*0.475*44/12</f>
        <v>2.5615008171274254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5.1979022700494415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343.79999999999995</v>
      </c>
      <c r="BE87" s="14">
        <f>BD87*VLOOKUP('Données projet'!$B$11,Paramètres!$A$1:$I$89,3,0)*VLOOKUP('Données projet'!$B$11,Paramètres!$A$1:$I$89,5,0)</f>
        <v>205.5924</v>
      </c>
      <c r="BF87" s="14">
        <f t="shared" si="91"/>
        <v>50.971228364263673</v>
      </c>
      <c r="BG87" s="22">
        <f t="shared" si="61"/>
        <v>446.84831940109251</v>
      </c>
      <c r="BH87" s="62">
        <f t="shared" si="62"/>
        <v>740.18165273442582</v>
      </c>
      <c r="BI87" s="62">
        <f ca="1">AVERAGE(OFFSET($BH$3,0,0,'Données projet'!$E$11+1,1))-AVERAGE(OFFSET($H$3,0,0,'Données projet'!$E$11+1,1))</f>
        <v>146.25807703055079</v>
      </c>
      <c r="BJ87" s="62">
        <f t="shared" si="92"/>
        <v>177.40137940534413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3.2684639799839665</v>
      </c>
      <c r="BQ87" s="23">
        <f>EXP(-LN(2)/25)*BQ86+(1-EXP(-LN(2)/25))/(LN(2)/25)*Calculateur!BL87*Calculateur!BN87*VLOOKUP('Données projet'!$B$11,Paramètres!$A$1:$I$89,3,0)*0.475*44/12</f>
        <v>2.182963974931635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5.4514279549156015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760.1400000000001</v>
      </c>
      <c r="BZ87" s="14">
        <f>BY87*VLOOKUP('Données projet'!$B$12,Paramètres!$A$1:$I$89,3,0)*VLOOKUP('Données projet'!$B$12,Paramètres!$A$1:$I$89,5,0)</f>
        <v>355.74552000000006</v>
      </c>
      <c r="CA87" s="14">
        <f t="shared" si="93"/>
        <v>82.744450026504168</v>
      </c>
      <c r="CB87" s="22">
        <f t="shared" si="64"/>
        <v>763.70336446282818</v>
      </c>
      <c r="CC87" s="62">
        <f t="shared" si="65"/>
        <v>1057.0366977961614</v>
      </c>
      <c r="CD87" s="62">
        <f ca="1">AVERAGE(OFFSET($CC$3,0,0,'Données projet'!$E$12+1,1))-AVERAGE(OFFSET($H$3,0,0,'Données projet'!$E$12+1,1))</f>
        <v>287.12723448949828</v>
      </c>
      <c r="CE87" s="62">
        <f t="shared" si="94"/>
        <v>170.5203352323382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3.9671463447734605</v>
      </c>
      <c r="CL87" s="23">
        <f>EXP(-LN(2)/25)*CL86+(1-EXP(-LN(2)/25))/(LN(2)/25)*Calculateur!CG87*Calculateur!CI87*VLOOKUP('Données projet'!$B$12,Paramètres!$A$1:$I$89,3,0)*0.475*44/12</f>
        <v>20.643829697977729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24.61097604275119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477.12000000000097</v>
      </c>
      <c r="CU87" s="18">
        <f>CT87*VLOOKUP('Données projet'!$B$13,Paramètres!$A$1:$I$89,3,0)*VLOOKUP('Données projet'!$B$13,Paramètres!$A$1:$I$89,5,0)</f>
        <v>461.47046400000096</v>
      </c>
      <c r="CV87" s="14">
        <f t="shared" si="95"/>
        <v>104.13329806929862</v>
      </c>
      <c r="CW87" s="22">
        <f t="shared" si="67"/>
        <v>985.09321893736342</v>
      </c>
      <c r="CX87" s="62">
        <f t="shared" si="68"/>
        <v>1278.4265522706967</v>
      </c>
      <c r="CY87" s="62">
        <f ca="1">AVERAGE(OFFSET($CX$3,0,0,'Données projet'!$E$13+1,1))-AVERAGE(OFFSET($H$3,0,0,'Données projet'!$E$13+1,1))</f>
        <v>467.37715054082025</v>
      </c>
      <c r="CZ87" s="62">
        <f t="shared" si="96"/>
        <v>443.35096563136415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3.4592716702673547</v>
      </c>
      <c r="DG87" s="23">
        <f>EXP(-LN(2)/25)*DG86+(1-EXP(-LN(2)/25))/(LN(2)/25)*Calculateur!DB87*Calculateur!DD87*VLOOKUP('Données projet'!$B$13,Paramètres!$A$1:$I$89,3,0)*0.475*44/12</f>
        <v>3.2738130400133079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6.7330847102806626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477.12000000000097</v>
      </c>
      <c r="DP87" s="18">
        <f>DO87*VLOOKUP('Données projet'!$B$14,Paramètres!$A$1:$I$89,3,0)*VLOOKUP('Données projet'!$B$14,Paramètres!$A$1:$I$89,5,0)</f>
        <v>513.57196800000099</v>
      </c>
      <c r="DQ87" s="14">
        <f t="shared" si="97"/>
        <v>114.45621584436451</v>
      </c>
      <c r="DR87" s="22">
        <f t="shared" si="70"/>
        <v>1093.8157535289363</v>
      </c>
      <c r="DS87" s="62">
        <f t="shared" si="71"/>
        <v>1387.1490868622695</v>
      </c>
      <c r="DT87" s="62">
        <f ca="1">AVERAGE(OFFSET($DS$3,0,0,'Données projet'!$E$14+1,1))-AVERAGE(OFFSET($H$3,0,0,'Données projet'!$E$14+1,1))</f>
        <v>524.51242549438939</v>
      </c>
      <c r="DU87" s="62">
        <f t="shared" si="98"/>
        <v>494.88778446576327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3.8498346007814082</v>
      </c>
      <c r="EB87" s="23">
        <f>EXP(-LN(2)/25)*EB86+(1-EXP(-LN(2)/25))/(LN(2)/25)*Calculateur!DW87*Calculateur!DY87*VLOOKUP('Données projet'!$B$14,Paramètres!$A$1:$I$89,3,0)*0.475*44/12</f>
        <v>3.6434370929180364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7.4932716936994446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424.97334728094779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300.72000000000003</v>
      </c>
      <c r="L88" s="13">
        <f>VLOOKUP(A88,'Données projet'!$A$35:$I$55,9,0)</f>
        <v>4.4666666666666712</v>
      </c>
      <c r="M88" s="13">
        <f t="array" ref="M88">INDEX(L:L,MIN(IF(ISNUMBER(L88:L284),ROW(L88:L284),"")))</f>
        <v>4.4666666666666712</v>
      </c>
      <c r="N88" s="14">
        <f>IF('Données projet'!$A$36&gt;35,N87+M88-V87,IF(A88&lt;'Données projet'!$A$36,$K$205^A88,IF(A88='Données projet'!$A$36,'Données projet'!$B$36,N87+M88-V87)))</f>
        <v>300.71999999999991</v>
      </c>
      <c r="O88" s="14">
        <f>N88*VLOOKUP('Données projet'!$B$9,Paramètres!$A$1:$I$89,3,0)*VLOOKUP('Données projet'!$B$9,Paramètres!$A$1:$I$89,5,0)</f>
        <v>272.09145599999994</v>
      </c>
      <c r="P88" s="14">
        <f t="shared" si="87"/>
        <v>65.292929507256204</v>
      </c>
      <c r="Q88" s="22">
        <f t="shared" si="54"/>
        <v>587.61113809180449</v>
      </c>
      <c r="R88" s="62">
        <f t="shared" si="55"/>
        <v>880.94447142513786</v>
      </c>
      <c r="S88" s="62">
        <f ca="1">AVERAGE(OFFSET($R$3,0,0,'Données projet'!$E$9+1,1))-AVERAGE(OFFSET($H$3,0,0,'Données projet'!$E$9+1,1))</f>
        <v>299.17641394512162</v>
      </c>
      <c r="T88" s="62">
        <f t="shared" si="88"/>
        <v>180.73046320039873</v>
      </c>
      <c r="U88" s="16">
        <f>IF(ISNA(VLOOKUP(A88,'Données projet'!$A$35:$I$55,3,0)),0,VLOOKUP(A88,'Données projet'!$A$35:$I$55,3,0))</f>
        <v>6</v>
      </c>
      <c r="V88" s="16">
        <f>IF(ISNA(VLOOKUP(A88,'Données projet'!$A$35:$I$55,4,0)),0,VLOOKUP(A88,'Données projet'!$A$35:$I$55,4,0))</f>
        <v>30.07</v>
      </c>
      <c r="W88" s="17">
        <f>IF(ISNA(VLOOKUP(A88,'Données projet'!$A$35:$I$55,5,0)),0%,VLOOKUP(A88,'Données projet'!$A$35:$I$55,5,0)*VLOOKUP('Données projet'!$B$9,Paramètres!$A$1:$I$89,7,0))</f>
        <v>8.1699999999999995E-2</v>
      </c>
      <c r="X88" s="17">
        <f>IF(ISNA(VLOOKUP(A88,'Données projet'!$A$35:$I$55,6,0)),0%,VLOOKUP(A88,'Données projet'!$A$35:$I$55,6,0)*VLOOKUP('Données projet'!$B$9,Paramètres!$A$1:$I$89,7,0))</f>
        <v>7.7399999999999997E-2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5.5736382629945176</v>
      </c>
      <c r="AA88" s="23">
        <f>EXP(-LN(2)/25)*AA87+(1-EXP(-LN(2)/25))/(LN(2)/25)*Calculateur!V88*Calculateur!X88*VLOOKUP('Données projet'!$B$9,Paramètres!$A$1:$I$89,3,0)*0.475*44/12</f>
        <v>5.2128262670524981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10.786464530047017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284.37</v>
      </c>
      <c r="AG88" s="13">
        <f>VLOOKUP(A88,'Données projet'!$A$61:$I$81,9,0)</f>
        <v>4.45</v>
      </c>
      <c r="AH88" s="13">
        <f t="array" ref="AH88">INDEX(AG:AG,MIN(IF(ISNUMBER(AG88:AG284),ROW(AG88:AG284),"")))</f>
        <v>4.45</v>
      </c>
      <c r="AI88" s="14">
        <f>IF('Données projet'!$A$62&gt;35,AI87+AH88-AQ87,IF(A88&lt;'Données projet'!$A$62,$AF$205^A88,IF(A88='Données projet'!$A$62,'Données projet'!$B$62,AI87+AH88-AQ87)))</f>
        <v>284.36999999999944</v>
      </c>
      <c r="AJ88" s="14">
        <f>AI88*VLOOKUP('Données projet'!$B$10,Paramètres!$A$1:$I$89,3,0)*VLOOKUP('Données projet'!$B$10,Paramètres!$A$1:$I$89,5,0)</f>
        <v>288.35117999999949</v>
      </c>
      <c r="AK88" s="14">
        <f t="shared" si="89"/>
        <v>68.728823249143659</v>
      </c>
      <c r="AL88" s="22">
        <f t="shared" si="58"/>
        <v>621.91433899225763</v>
      </c>
      <c r="AM88" s="62">
        <f t="shared" si="59"/>
        <v>915.24767232559088</v>
      </c>
      <c r="AN88" s="62">
        <f ca="1">AVERAGE(OFFSET($AM$3,0,0,'Données projet'!$E$10+1,1))-AVERAGE(OFFSET($H$3,0,0,'Données projet'!$E$10+1,1))</f>
        <v>384.66322295929552</v>
      </c>
      <c r="AO88" s="62">
        <f t="shared" si="90"/>
        <v>248.53970183513286</v>
      </c>
      <c r="AP88" s="16">
        <f>IF(ISNA(VLOOKUP(A88,'Données projet'!$A$61:$I$81,3,0)),0,VLOOKUP(A88,'Données projet'!$A$61:$I$81,3,0))</f>
        <v>6</v>
      </c>
      <c r="AQ88" s="16">
        <f>IF(ISNA(VLOOKUP(A88,'Données projet'!$A$61:$I$81,4,0)),0,VLOOKUP(A88,'Données projet'!$A$61:$I$81,4,0))</f>
        <v>28.44</v>
      </c>
      <c r="AR88" s="17">
        <f>IF(ISNA(VLOOKUP(A88,'Données projet'!$A$61:$I$81,5,0)),0%,VLOOKUP(A88,'Données projet'!$A$61:$I$81,5,0)*VLOOKUP('Données projet'!$B$10,Paramètres!$A$1:$I$89,7,0))</f>
        <v>6.4500000000000002E-2</v>
      </c>
      <c r="AS88" s="17">
        <f>IF(ISNA(VLOOKUP(A88,'Données projet'!$A$61:$I$81,6,0)),0%,VLOOKUP(A88,'Données projet'!$A$61:$I$81,6,0)*VLOOKUP('Données projet'!$B$10,Paramètres!$A$1:$I$89,7,0))</f>
        <v>6.0200000000000004E-2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4.640945921851281</v>
      </c>
      <c r="AV88" s="23">
        <f>EXP(-LN(2)/25)*AV87+(1-EXP(-LN(2)/25))/(LN(2)/25)*Calculateur!AQ88*Calculateur!AS88*VLOOKUP('Données projet'!$B$10,Paramètres!$A$1:$I$89,3,0)*0.475*44/12</f>
        <v>4.4030598261541041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9.0440057480053859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343.79999999999995</v>
      </c>
      <c r="BE88" s="14">
        <f>BD88*VLOOKUP('Données projet'!$B$11,Paramètres!$A$1:$I$89,3,0)*VLOOKUP('Données projet'!$B$11,Paramètres!$A$1:$I$89,5,0)</f>
        <v>205.5924</v>
      </c>
      <c r="BF88" s="14">
        <f t="shared" si="91"/>
        <v>50.971228364263673</v>
      </c>
      <c r="BG88" s="22">
        <f t="shared" si="61"/>
        <v>446.84831940109251</v>
      </c>
      <c r="BH88" s="62">
        <f t="shared" si="62"/>
        <v>740.18165273442582</v>
      </c>
      <c r="BI88" s="62">
        <f ca="1">AVERAGE(OFFSET($BH$3,0,0,'Données projet'!$E$11+1,1))-AVERAGE(OFFSET($H$3,0,0,'Données projet'!$E$11+1,1))</f>
        <v>146.25807703055079</v>
      </c>
      <c r="BJ88" s="62">
        <f t="shared" si="92"/>
        <v>177.40137940534413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3.2043713949026604</v>
      </c>
      <c r="BQ88" s="23">
        <f>EXP(-LN(2)/25)*BQ87+(1-EXP(-LN(2)/25))/(LN(2)/25)*Calculateur!BL88*Calculateur!BN88*VLOOKUP('Données projet'!$B$11,Paramètres!$A$1:$I$89,3,0)*0.475*44/12</f>
        <v>2.123270710240043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5.3276421051427034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760.1400000000001</v>
      </c>
      <c r="BZ88" s="14">
        <f>BY88*VLOOKUP('Données projet'!$B$12,Paramètres!$A$1:$I$89,3,0)*VLOOKUP('Données projet'!$B$12,Paramètres!$A$1:$I$89,5,0)</f>
        <v>355.74552000000006</v>
      </c>
      <c r="CA88" s="14">
        <f t="shared" si="93"/>
        <v>82.744450026504168</v>
      </c>
      <c r="CB88" s="22">
        <f t="shared" si="64"/>
        <v>763.70336446282818</v>
      </c>
      <c r="CC88" s="62">
        <f t="shared" si="65"/>
        <v>1057.0366977961614</v>
      </c>
      <c r="CD88" s="62">
        <f ca="1">AVERAGE(OFFSET($CC$3,0,0,'Données projet'!$E$12+1,1))-AVERAGE(OFFSET($H$3,0,0,'Données projet'!$E$12+1,1))</f>
        <v>287.12723448949828</v>
      </c>
      <c r="CE88" s="62">
        <f t="shared" si="94"/>
        <v>170.5203352323382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3.8893530246727956</v>
      </c>
      <c r="CL88" s="23">
        <f>EXP(-LN(2)/25)*CL87+(1-EXP(-LN(2)/25))/(LN(2)/25)*Calculateur!CG88*Calculateur!CI88*VLOOKUP('Données projet'!$B$12,Paramètres!$A$1:$I$89,3,0)*0.475*44/12</f>
        <v>20.079323089274705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23.968676113947502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477.12000000000097</v>
      </c>
      <c r="CU88" s="18">
        <f>CT88*VLOOKUP('Données projet'!$B$13,Paramètres!$A$1:$I$89,3,0)*VLOOKUP('Données projet'!$B$13,Paramètres!$A$1:$I$89,5,0)</f>
        <v>461.47046400000096</v>
      </c>
      <c r="CV88" s="14">
        <f t="shared" si="95"/>
        <v>104.13329806929862</v>
      </c>
      <c r="CW88" s="22">
        <f t="shared" si="67"/>
        <v>985.09321893736342</v>
      </c>
      <c r="CX88" s="62">
        <f t="shared" si="68"/>
        <v>1278.4265522706967</v>
      </c>
      <c r="CY88" s="62">
        <f ca="1">AVERAGE(OFFSET($CX$3,0,0,'Données projet'!$E$13+1,1))-AVERAGE(OFFSET($H$3,0,0,'Données projet'!$E$13+1,1))</f>
        <v>467.37715054082025</v>
      </c>
      <c r="CZ88" s="62">
        <f t="shared" si="96"/>
        <v>443.35096563136415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3.3914374627607908</v>
      </c>
      <c r="DG88" s="23">
        <f>EXP(-LN(2)/25)*DG87+(1-EXP(-LN(2)/25))/(LN(2)/25)*Calculateur!DB88*Calculateur!DD88*VLOOKUP('Données projet'!$B$13,Paramètres!$A$1:$I$89,3,0)*0.475*44/12</f>
        <v>3.1842904502717988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6.5757279130325896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477.12000000000097</v>
      </c>
      <c r="DP88" s="18">
        <f>DO88*VLOOKUP('Données projet'!$B$14,Paramètres!$A$1:$I$89,3,0)*VLOOKUP('Données projet'!$B$14,Paramètres!$A$1:$I$89,5,0)</f>
        <v>513.57196800000099</v>
      </c>
      <c r="DQ88" s="14">
        <f t="shared" si="97"/>
        <v>114.45621584436451</v>
      </c>
      <c r="DR88" s="22">
        <f t="shared" si="70"/>
        <v>1093.8157535289363</v>
      </c>
      <c r="DS88" s="62">
        <f t="shared" si="71"/>
        <v>1387.1490868622695</v>
      </c>
      <c r="DT88" s="62">
        <f ca="1">AVERAGE(OFFSET($DS$3,0,0,'Données projet'!$E$14+1,1))-AVERAGE(OFFSET($H$3,0,0,'Données projet'!$E$14+1,1))</f>
        <v>524.51242549438939</v>
      </c>
      <c r="DU88" s="62">
        <f t="shared" si="98"/>
        <v>494.88778446576327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3.774341692427329</v>
      </c>
      <c r="EB88" s="23">
        <f>EXP(-LN(2)/25)*EB87+(1-EXP(-LN(2)/25))/(LN(2)/25)*Calculateur!DW88*Calculateur!DY88*VLOOKUP('Données projet'!$B$14,Paramètres!$A$1:$I$89,3,0)*0.475*44/12</f>
        <v>3.543807114012163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7.3181488064394919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426.9029523867344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3.8333333333333286</v>
      </c>
      <c r="N89" s="14">
        <f>IF('Données projet'!$A$36&gt;35,N88+M89-V88,IF(A89&lt;'Données projet'!$A$36,$K$205^A89,IF(A89='Données projet'!$A$36,'Données projet'!$B$36,N88+M89-V88)))</f>
        <v>274.48333333333323</v>
      </c>
      <c r="O89" s="14">
        <f>N89*VLOOKUP('Données projet'!$B$9,Paramètres!$A$1:$I$89,3,0)*VLOOKUP('Données projet'!$B$9,Paramètres!$A$1:$I$89,5,0)</f>
        <v>248.35251999999991</v>
      </c>
      <c r="P89" s="14">
        <f t="shared" si="87"/>
        <v>60.233022168958783</v>
      </c>
      <c r="Q89" s="22">
        <f t="shared" si="54"/>
        <v>537.4531526109364</v>
      </c>
      <c r="R89" s="62">
        <f t="shared" si="55"/>
        <v>830.78648594426977</v>
      </c>
      <c r="S89" s="62">
        <f ca="1">AVERAGE(OFFSET($R$3,0,0,'Données projet'!$E$9+1,1))-AVERAGE(OFFSET($H$3,0,0,'Données projet'!$E$9+1,1))</f>
        <v>299.17641394512162</v>
      </c>
      <c r="T89" s="62">
        <f t="shared" si="88"/>
        <v>180.73046320039873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5.4643426162408542</v>
      </c>
      <c r="AA89" s="23">
        <f>EXP(-LN(2)/25)*AA88+(1-EXP(-LN(2)/25))/(LN(2)/25)*Calculateur!V89*Calculateur!X89*VLOOKUP('Données projet'!$B$9,Paramètres!$A$1:$I$89,3,0)*0.475*44/12</f>
        <v>5.0702812586493282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10.534623874890183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4.4499999999999984</v>
      </c>
      <c r="AI89" s="14">
        <f>IF('Données projet'!$A$62&gt;35,AI88+AH89-AQ88,IF(A89&lt;'Données projet'!$A$62,$AF$205^A89,IF(A89='Données projet'!$A$62,'Données projet'!$B$62,AI88+AH89-AQ88)))</f>
        <v>260.37999999999943</v>
      </c>
      <c r="AJ89" s="14">
        <f>AI89*VLOOKUP('Données projet'!$B$10,Paramètres!$A$1:$I$89,3,0)*VLOOKUP('Données projet'!$B$10,Paramètres!$A$1:$I$89,5,0)</f>
        <v>264.02531999999945</v>
      </c>
      <c r="AK89" s="14">
        <f t="shared" si="89"/>
        <v>63.579644796475783</v>
      </c>
      <c r="AL89" s="22">
        <f t="shared" si="58"/>
        <v>570.57864702052768</v>
      </c>
      <c r="AM89" s="62">
        <f t="shared" si="59"/>
        <v>863.91198035386105</v>
      </c>
      <c r="AN89" s="62">
        <f ca="1">AVERAGE(OFFSET($AM$3,0,0,'Données projet'!$E$10+1,1))-AVERAGE(OFFSET($H$3,0,0,'Données projet'!$E$10+1,1))</f>
        <v>384.66322295929552</v>
      </c>
      <c r="AO89" s="62">
        <f t="shared" si="90"/>
        <v>248.53970183513286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4.5499398030212816</v>
      </c>
      <c r="AV89" s="23">
        <f>EXP(-LN(2)/25)*AV88+(1-EXP(-LN(2)/25))/(LN(2)/25)*Calculateur!AQ89*Calculateur!AS89*VLOOKUP('Données projet'!$B$10,Paramètres!$A$1:$I$89,3,0)*0.475*44/12</f>
        <v>4.2826579236610671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8.8325977266823479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343.79999999999995</v>
      </c>
      <c r="BE89" s="14">
        <f>BD89*VLOOKUP('Données projet'!$B$11,Paramètres!$A$1:$I$89,3,0)*VLOOKUP('Données projet'!$B$11,Paramètres!$A$1:$I$89,5,0)</f>
        <v>205.5924</v>
      </c>
      <c r="BF89" s="14">
        <f t="shared" si="91"/>
        <v>50.971228364263673</v>
      </c>
      <c r="BG89" s="22">
        <f t="shared" si="61"/>
        <v>446.84831940109251</v>
      </c>
      <c r="BH89" s="62">
        <f t="shared" si="62"/>
        <v>740.18165273442582</v>
      </c>
      <c r="BI89" s="62">
        <f ca="1">AVERAGE(OFFSET($BH$3,0,0,'Données projet'!$E$11+1,1))-AVERAGE(OFFSET($H$3,0,0,'Données projet'!$E$11+1,1))</f>
        <v>146.25807703055079</v>
      </c>
      <c r="BJ89" s="62">
        <f t="shared" si="92"/>
        <v>177.40137940534413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3.1415356263221819</v>
      </c>
      <c r="BQ89" s="23">
        <f>EXP(-LN(2)/25)*BQ88+(1-EXP(-LN(2)/25))/(LN(2)/25)*Calculateur!BL89*Calculateur!BN89*VLOOKUP('Données projet'!$B$11,Paramètres!$A$1:$I$89,3,0)*0.475*44/12</f>
        <v>2.0652097610105753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5.2067453873327576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760.1400000000001</v>
      </c>
      <c r="BZ89" s="14">
        <f>BY89*VLOOKUP('Données projet'!$B$12,Paramètres!$A$1:$I$89,3,0)*VLOOKUP('Données projet'!$B$12,Paramètres!$A$1:$I$89,5,0)</f>
        <v>355.74552000000006</v>
      </c>
      <c r="CA89" s="14">
        <f t="shared" si="93"/>
        <v>82.744450026504168</v>
      </c>
      <c r="CB89" s="22">
        <f t="shared" si="64"/>
        <v>763.70336446282818</v>
      </c>
      <c r="CC89" s="62">
        <f t="shared" si="65"/>
        <v>1057.0366977961614</v>
      </c>
      <c r="CD89" s="62">
        <f ca="1">AVERAGE(OFFSET($CC$3,0,0,'Données projet'!$E$12+1,1))-AVERAGE(OFFSET($H$3,0,0,'Données projet'!$E$12+1,1))</f>
        <v>287.12723448949828</v>
      </c>
      <c r="CE89" s="62">
        <f t="shared" si="94"/>
        <v>170.5203352323382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3.813085184130065</v>
      </c>
      <c r="CL89" s="23">
        <f>EXP(-LN(2)/25)*CL88+(1-EXP(-LN(2)/25))/(LN(2)/25)*Calculateur!CG89*Calculateur!CI89*VLOOKUP('Données projet'!$B$12,Paramètres!$A$1:$I$89,3,0)*0.475*44/12</f>
        <v>19.530252943472778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23.343338127602841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477.12000000000097</v>
      </c>
      <c r="CU89" s="18">
        <f>CT89*VLOOKUP('Données projet'!$B$13,Paramètres!$A$1:$I$89,3,0)*VLOOKUP('Données projet'!$B$13,Paramètres!$A$1:$I$89,5,0)</f>
        <v>461.47046400000096</v>
      </c>
      <c r="CV89" s="14">
        <f t="shared" si="95"/>
        <v>104.13329806929862</v>
      </c>
      <c r="CW89" s="22">
        <f t="shared" si="67"/>
        <v>985.09321893736342</v>
      </c>
      <c r="CX89" s="62">
        <f t="shared" si="68"/>
        <v>1278.4265522706967</v>
      </c>
      <c r="CY89" s="62">
        <f ca="1">AVERAGE(OFFSET($CX$3,0,0,'Données projet'!$E$13+1,1))-AVERAGE(OFFSET($H$3,0,0,'Données projet'!$E$13+1,1))</f>
        <v>467.37715054082025</v>
      </c>
      <c r="CZ89" s="62">
        <f t="shared" si="96"/>
        <v>443.35096563136415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3.3249334426886494</v>
      </c>
      <c r="DG89" s="23">
        <f>EXP(-LN(2)/25)*DG88+(1-EXP(-LN(2)/25))/(LN(2)/25)*Calculateur!DB89*Calculateur!DD89*VLOOKUP('Données projet'!$B$13,Paramètres!$A$1:$I$89,3,0)*0.475*44/12</f>
        <v>3.0972158604545594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6.4221493031432093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477.12000000000097</v>
      </c>
      <c r="DP89" s="18">
        <f>DO89*VLOOKUP('Données projet'!$B$14,Paramètres!$A$1:$I$89,3,0)*VLOOKUP('Données projet'!$B$14,Paramètres!$A$1:$I$89,5,0)</f>
        <v>513.57196800000099</v>
      </c>
      <c r="DQ89" s="14">
        <f t="shared" si="97"/>
        <v>114.45621584436451</v>
      </c>
      <c r="DR89" s="22">
        <f t="shared" si="70"/>
        <v>1093.8157535289363</v>
      </c>
      <c r="DS89" s="62">
        <f t="shared" si="71"/>
        <v>1387.1490868622695</v>
      </c>
      <c r="DT89" s="62">
        <f ca="1">AVERAGE(OFFSET($DS$3,0,0,'Données projet'!$E$14+1,1))-AVERAGE(OFFSET($H$3,0,0,'Données projet'!$E$14+1,1))</f>
        <v>524.51242549438939</v>
      </c>
      <c r="DU89" s="62">
        <f t="shared" si="98"/>
        <v>494.88778446576327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3.7003291539599457</v>
      </c>
      <c r="EB89" s="23">
        <f>EXP(-LN(2)/25)*EB88+(1-EXP(-LN(2)/25))/(LN(2)/25)*Calculateur!DW89*Calculateur!DY89*VLOOKUP('Données projet'!$B$14,Paramètres!$A$1:$I$89,3,0)*0.475*44/12</f>
        <v>3.4469015221187838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7.1472306760787294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428.83204226482388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3.8333333333333286</v>
      </c>
      <c r="N90" s="14">
        <f>IF('Données projet'!$A$36&gt;35,N89+M90-V89,IF(A90&lt;'Données projet'!$A$36,$K$205^A90,IF(A90='Données projet'!$A$36,'Données projet'!$B$36,N89+M90-V89)))</f>
        <v>278.31666666666655</v>
      </c>
      <c r="O90" s="14">
        <f>N90*VLOOKUP('Données projet'!$B$9,Paramètres!$A$1:$I$89,3,0)*VLOOKUP('Données projet'!$B$9,Paramètres!$A$1:$I$89,5,0)</f>
        <v>251.82091999999986</v>
      </c>
      <c r="P90" s="14">
        <f t="shared" si="87"/>
        <v>60.975698618455048</v>
      </c>
      <c r="Q90" s="22">
        <f t="shared" si="54"/>
        <v>544.78744409380886</v>
      </c>
      <c r="R90" s="62">
        <f t="shared" si="55"/>
        <v>838.12077742714223</v>
      </c>
      <c r="S90" s="62">
        <f ca="1">AVERAGE(OFFSET($R$3,0,0,'Données projet'!$E$9+1,1))-AVERAGE(OFFSET($H$3,0,0,'Données projet'!$E$9+1,1))</f>
        <v>299.17641394512162</v>
      </c>
      <c r="T90" s="62">
        <f t="shared" si="88"/>
        <v>180.73046320039873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5.3571901904562687</v>
      </c>
      <c r="AA90" s="23">
        <f>EXP(-LN(2)/25)*AA89+(1-EXP(-LN(2)/25))/(LN(2)/25)*Calculateur!V90*Calculateur!X90*VLOOKUP('Données projet'!$B$9,Paramètres!$A$1:$I$89,3,0)*0.475*44/12</f>
        <v>4.9316341509970592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10.288824341453328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4.4499999999999984</v>
      </c>
      <c r="AI90" s="14">
        <f>IF('Données projet'!$A$62&gt;35,AI89+AH90-AQ89,IF(A90&lt;'Données projet'!$A$62,$AF$205^A90,IF(A90='Données projet'!$A$62,'Données projet'!$B$62,AI89+AH90-AQ89)))</f>
        <v>264.82999999999942</v>
      </c>
      <c r="AJ90" s="14">
        <f>AI90*VLOOKUP('Données projet'!$B$10,Paramètres!$A$1:$I$89,3,0)*VLOOKUP('Données projet'!$B$10,Paramètres!$A$1:$I$89,5,0)</f>
        <v>268.53761999999944</v>
      </c>
      <c r="AK90" s="14">
        <f t="shared" si="89"/>
        <v>64.538817315040006</v>
      </c>
      <c r="AL90" s="22">
        <f t="shared" si="58"/>
        <v>580.10812832369368</v>
      </c>
      <c r="AM90" s="62">
        <f t="shared" si="59"/>
        <v>873.44146165702705</v>
      </c>
      <c r="AN90" s="62">
        <f ca="1">AVERAGE(OFFSET($AM$3,0,0,'Données projet'!$E$10+1,1))-AVERAGE(OFFSET($H$3,0,0,'Données projet'!$E$10+1,1))</f>
        <v>384.66322295929552</v>
      </c>
      <c r="AO90" s="62">
        <f t="shared" si="90"/>
        <v>248.53970183513286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4.4607182586732872</v>
      </c>
      <c r="AV90" s="23">
        <f>EXP(-LN(2)/25)*AV89+(1-EXP(-LN(2)/25))/(LN(2)/25)*Calculateur!AQ90*Calculateur!AS90*VLOOKUP('Données projet'!$B$10,Paramètres!$A$1:$I$89,3,0)*0.475*44/12</f>
        <v>4.1655484175233628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8.62626667619665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343.79999999999995</v>
      </c>
      <c r="BE90" s="14">
        <f>BD90*VLOOKUP('Données projet'!$B$11,Paramètres!$A$1:$I$89,3,0)*VLOOKUP('Données projet'!$B$11,Paramètres!$A$1:$I$89,5,0)</f>
        <v>205.5924</v>
      </c>
      <c r="BF90" s="14">
        <f t="shared" si="91"/>
        <v>50.971228364263673</v>
      </c>
      <c r="BG90" s="22">
        <f t="shared" si="61"/>
        <v>446.84831940109251</v>
      </c>
      <c r="BH90" s="62">
        <f t="shared" si="62"/>
        <v>740.18165273442582</v>
      </c>
      <c r="BI90" s="62">
        <f ca="1">AVERAGE(OFFSET($BH$3,0,0,'Données projet'!$E$11+1,1))-AVERAGE(OFFSET($H$3,0,0,'Données projet'!$E$11+1,1))</f>
        <v>146.25807703055079</v>
      </c>
      <c r="BJ90" s="62">
        <f t="shared" si="92"/>
        <v>177.40137940534413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3.0799320288375323</v>
      </c>
      <c r="BQ90" s="23">
        <f>EXP(-LN(2)/25)*BQ89+(1-EXP(-LN(2)/25))/(LN(2)/25)*Calculateur!BL90*Calculateur!BN90*VLOOKUP('Données projet'!$B$11,Paramètres!$A$1:$I$89,3,0)*0.475*44/12</f>
        <v>2.0087364914910797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5.0886685203286124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760.1400000000001</v>
      </c>
      <c r="BZ90" s="14">
        <f>BY90*VLOOKUP('Données projet'!$B$12,Paramètres!$A$1:$I$89,3,0)*VLOOKUP('Données projet'!$B$12,Paramètres!$A$1:$I$89,5,0)</f>
        <v>355.74552000000006</v>
      </c>
      <c r="CA90" s="14">
        <f t="shared" si="93"/>
        <v>82.744450026504168</v>
      </c>
      <c r="CB90" s="22">
        <f t="shared" si="64"/>
        <v>763.70336446282818</v>
      </c>
      <c r="CC90" s="62">
        <f t="shared" si="65"/>
        <v>1057.0366977961614</v>
      </c>
      <c r="CD90" s="62">
        <f ca="1">AVERAGE(OFFSET($CC$3,0,0,'Données projet'!$E$12+1,1))-AVERAGE(OFFSET($H$3,0,0,'Données projet'!$E$12+1,1))</f>
        <v>287.12723448949828</v>
      </c>
      <c r="CE90" s="62">
        <f t="shared" si="94"/>
        <v>170.5203352323382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3.7383129094215879</v>
      </c>
      <c r="CL90" s="23">
        <f>EXP(-LN(2)/25)*CL89+(1-EXP(-LN(2)/25))/(LN(2)/25)*Calculateur!CG90*Calculateur!CI90*VLOOKUP('Données projet'!$B$12,Paramètres!$A$1:$I$89,3,0)*0.475*44/12</f>
        <v>18.99619714968215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22.734510059103737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477.12000000000097</v>
      </c>
      <c r="CU90" s="18">
        <f>CT90*VLOOKUP('Données projet'!$B$13,Paramètres!$A$1:$I$89,3,0)*VLOOKUP('Données projet'!$B$13,Paramètres!$A$1:$I$89,5,0)</f>
        <v>461.47046400000096</v>
      </c>
      <c r="CV90" s="14">
        <f t="shared" si="95"/>
        <v>104.13329806929862</v>
      </c>
      <c r="CW90" s="22">
        <f t="shared" si="67"/>
        <v>985.09321893736342</v>
      </c>
      <c r="CX90" s="62">
        <f t="shared" si="68"/>
        <v>1278.4265522706967</v>
      </c>
      <c r="CY90" s="62">
        <f ca="1">AVERAGE(OFFSET($CX$3,0,0,'Données projet'!$E$13+1,1))-AVERAGE(OFFSET($H$3,0,0,'Données projet'!$E$13+1,1))</f>
        <v>467.37715054082025</v>
      </c>
      <c r="CZ90" s="62">
        <f t="shared" si="96"/>
        <v>443.35096563136415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3.2597335258866758</v>
      </c>
      <c r="DG90" s="23">
        <f>EXP(-LN(2)/25)*DG89+(1-EXP(-LN(2)/25))/(LN(2)/25)*Calculateur!DB90*Calculateur!DD90*VLOOKUP('Données projet'!$B$13,Paramètres!$A$1:$I$89,3,0)*0.475*44/12</f>
        <v>3.0125223298749262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6.2722558557616015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477.12000000000097</v>
      </c>
      <c r="DP90" s="18">
        <f>DO90*VLOOKUP('Données projet'!$B$14,Paramètres!$A$1:$I$89,3,0)*VLOOKUP('Données projet'!$B$14,Paramètres!$A$1:$I$89,5,0)</f>
        <v>513.57196800000099</v>
      </c>
      <c r="DQ90" s="14">
        <f t="shared" si="97"/>
        <v>114.45621584436451</v>
      </c>
      <c r="DR90" s="22">
        <f t="shared" si="70"/>
        <v>1093.8157535289363</v>
      </c>
      <c r="DS90" s="62">
        <f t="shared" si="71"/>
        <v>1387.1490868622695</v>
      </c>
      <c r="DT90" s="62">
        <f ca="1">AVERAGE(OFFSET($DS$3,0,0,'Données projet'!$E$14+1,1))-AVERAGE(OFFSET($H$3,0,0,'Données projet'!$E$14+1,1))</f>
        <v>524.51242549438939</v>
      </c>
      <c r="DU90" s="62">
        <f t="shared" si="98"/>
        <v>494.88778446576327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3.6277679562287171</v>
      </c>
      <c r="EB90" s="23">
        <f>EXP(-LN(2)/25)*EB89+(1-EXP(-LN(2)/25))/(LN(2)/25)*Calculateur!DW90*Calculateur!DY90*VLOOKUP('Données projet'!$B$14,Paramètres!$A$1:$I$89,3,0)*0.475*44/12</f>
        <v>3.3526458187317725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6.9804137749604891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430.76062352258458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3.8333333333333286</v>
      </c>
      <c r="N91" s="14">
        <f>IF('Données projet'!$A$36&gt;35,N90+M91-V90,IF(A91&lt;'Données projet'!$A$36,$K$205^A91,IF(A91='Données projet'!$A$36,'Données projet'!$B$36,N90+M91-V90)))</f>
        <v>282.14999999999986</v>
      </c>
      <c r="O91" s="14">
        <f>N91*VLOOKUP('Données projet'!$B$9,Paramètres!$A$1:$I$89,3,0)*VLOOKUP('Données projet'!$B$9,Paramètres!$A$1:$I$89,5,0)</f>
        <v>255.28931999999986</v>
      </c>
      <c r="P91" s="14">
        <f t="shared" si="87"/>
        <v>61.717185315967299</v>
      </c>
      <c r="Q91" s="22">
        <f t="shared" si="54"/>
        <v>552.11966342530957</v>
      </c>
      <c r="R91" s="62">
        <f t="shared" si="55"/>
        <v>845.45299675864294</v>
      </c>
      <c r="S91" s="62">
        <f ca="1">AVERAGE(OFFSET($R$3,0,0,'Données projet'!$E$9+1,1))-AVERAGE(OFFSET($H$3,0,0,'Données projet'!$E$9+1,1))</f>
        <v>299.17641394512162</v>
      </c>
      <c r="T91" s="62">
        <f t="shared" si="88"/>
        <v>180.73046320039873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5.2521389583847924</v>
      </c>
      <c r="AA91" s="23">
        <f>EXP(-LN(2)/25)*AA90+(1-EXP(-LN(2)/25))/(LN(2)/25)*Calculateur!V91*Calculateur!X91*VLOOKUP('Données projet'!$B$9,Paramètres!$A$1:$I$89,3,0)*0.475*44/12</f>
        <v>4.7967783557946762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10.048917314179469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4.4499999999999984</v>
      </c>
      <c r="AI91" s="14">
        <f>IF('Données projet'!$A$62&gt;35,AI90+AH91-AQ90,IF(A91&lt;'Données projet'!$A$62,$AF$205^A91,IF(A91='Données projet'!$A$62,'Données projet'!$B$62,AI90+AH91-AQ90)))</f>
        <v>269.2799999999994</v>
      </c>
      <c r="AJ91" s="14">
        <f>AI91*VLOOKUP('Données projet'!$B$10,Paramètres!$A$1:$I$89,3,0)*VLOOKUP('Données projet'!$B$10,Paramètres!$A$1:$I$89,5,0)</f>
        <v>273.04991999999942</v>
      </c>
      <c r="AK91" s="14">
        <f t="shared" si="89"/>
        <v>65.496115531912665</v>
      </c>
      <c r="AL91" s="22">
        <f t="shared" si="58"/>
        <v>589.63434521808017</v>
      </c>
      <c r="AM91" s="62">
        <f t="shared" si="59"/>
        <v>882.96767855141343</v>
      </c>
      <c r="AN91" s="62">
        <f ca="1">AVERAGE(OFFSET($AM$3,0,0,'Données projet'!$E$10+1,1))-AVERAGE(OFFSET($H$3,0,0,'Données projet'!$E$10+1,1))</f>
        <v>384.66322295929552</v>
      </c>
      <c r="AO91" s="62">
        <f t="shared" si="90"/>
        <v>248.53970183513286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4.3732462943901877</v>
      </c>
      <c r="AV91" s="23">
        <f>EXP(-LN(2)/25)*AV90+(1-EXP(-LN(2)/25))/(LN(2)/25)*Calculateur!AQ91*Calculateur!AS91*VLOOKUP('Données projet'!$B$10,Paramètres!$A$1:$I$89,3,0)*0.475*44/12</f>
        <v>4.0516412769895158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8.4248875713797027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343.79999999999995</v>
      </c>
      <c r="BE91" s="14">
        <f>BD91*VLOOKUP('Données projet'!$B$11,Paramètres!$A$1:$I$89,3,0)*VLOOKUP('Données projet'!$B$11,Paramètres!$A$1:$I$89,5,0)</f>
        <v>205.5924</v>
      </c>
      <c r="BF91" s="14">
        <f t="shared" si="91"/>
        <v>50.971228364263673</v>
      </c>
      <c r="BG91" s="22">
        <f t="shared" si="61"/>
        <v>446.84831940109251</v>
      </c>
      <c r="BH91" s="62">
        <f t="shared" si="62"/>
        <v>740.18165273442582</v>
      </c>
      <c r="BI91" s="62">
        <f ca="1">AVERAGE(OFFSET($BH$3,0,0,'Données projet'!$E$11+1,1))-AVERAGE(OFFSET($H$3,0,0,'Données projet'!$E$11+1,1))</f>
        <v>146.25807703055079</v>
      </c>
      <c r="BJ91" s="62">
        <f t="shared" si="92"/>
        <v>177.40137940534413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3.019536440325072</v>
      </c>
      <c r="BQ91" s="23">
        <f>EXP(-LN(2)/25)*BQ90+(1-EXP(-LN(2)/25))/(LN(2)/25)*Calculateur!BL91*Calculateur!BN91*VLOOKUP('Données projet'!$B$11,Paramètres!$A$1:$I$89,3,0)*0.475*44/12</f>
        <v>1.953807486496395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4.9733439268214674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760.1400000000001</v>
      </c>
      <c r="BZ91" s="14">
        <f>BY91*VLOOKUP('Données projet'!$B$12,Paramètres!$A$1:$I$89,3,0)*VLOOKUP('Données projet'!$B$12,Paramètres!$A$1:$I$89,5,0)</f>
        <v>355.74552000000006</v>
      </c>
      <c r="CA91" s="14">
        <f t="shared" si="93"/>
        <v>82.744450026504168</v>
      </c>
      <c r="CB91" s="22">
        <f t="shared" si="64"/>
        <v>763.70336446282818</v>
      </c>
      <c r="CC91" s="62">
        <f t="shared" si="65"/>
        <v>1057.0366977961614</v>
      </c>
      <c r="CD91" s="62">
        <f ca="1">AVERAGE(OFFSET($CC$3,0,0,'Données projet'!$E$12+1,1))-AVERAGE(OFFSET($H$3,0,0,'Données projet'!$E$12+1,1))</f>
        <v>287.12723448949828</v>
      </c>
      <c r="CE91" s="62">
        <f t="shared" si="94"/>
        <v>170.5203352323382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3.6650068734135597</v>
      </c>
      <c r="CL91" s="23">
        <f>EXP(-LN(2)/25)*CL90+(1-EXP(-LN(2)/25))/(LN(2)/25)*Calculateur!CG91*Calculateur!CI91*VLOOKUP('Données projet'!$B$12,Paramètres!$A$1:$I$89,3,0)*0.475*44/12</f>
        <v>18.476745139657499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22.141752013071059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477.12000000000097</v>
      </c>
      <c r="CU91" s="18">
        <f>CT91*VLOOKUP('Données projet'!$B$13,Paramètres!$A$1:$I$89,3,0)*VLOOKUP('Données projet'!$B$13,Paramètres!$A$1:$I$89,5,0)</f>
        <v>461.47046400000096</v>
      </c>
      <c r="CV91" s="14">
        <f t="shared" si="95"/>
        <v>104.13329806929862</v>
      </c>
      <c r="CW91" s="22">
        <f t="shared" si="67"/>
        <v>985.09321893736342</v>
      </c>
      <c r="CX91" s="62">
        <f t="shared" si="68"/>
        <v>1278.4265522706967</v>
      </c>
      <c r="CY91" s="62">
        <f ca="1">AVERAGE(OFFSET($CX$3,0,0,'Données projet'!$E$13+1,1))-AVERAGE(OFFSET($H$3,0,0,'Données projet'!$E$13+1,1))</f>
        <v>467.37715054082025</v>
      </c>
      <c r="CZ91" s="62">
        <f t="shared" si="96"/>
        <v>443.35096563136415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3.1958121396851662</v>
      </c>
      <c r="DG91" s="23">
        <f>EXP(-LN(2)/25)*DG90+(1-EXP(-LN(2)/25))/(LN(2)/25)*Calculateur!DB91*Calculateur!DD91*VLOOKUP('Données projet'!$B$13,Paramètres!$A$1:$I$89,3,0)*0.475*44/12</f>
        <v>2.930144748342832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6.1259568880279982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477.12000000000097</v>
      </c>
      <c r="DP91" s="18">
        <f>DO91*VLOOKUP('Données projet'!$B$14,Paramètres!$A$1:$I$89,3,0)*VLOOKUP('Données projet'!$B$14,Paramètres!$A$1:$I$89,5,0)</f>
        <v>513.57196800000099</v>
      </c>
      <c r="DQ91" s="14">
        <f t="shared" si="97"/>
        <v>114.45621584436451</v>
      </c>
      <c r="DR91" s="22">
        <f t="shared" si="70"/>
        <v>1093.8157535289363</v>
      </c>
      <c r="DS91" s="62">
        <f t="shared" si="71"/>
        <v>1387.1490868622695</v>
      </c>
      <c r="DT91" s="62">
        <f ca="1">AVERAGE(OFFSET($DS$3,0,0,'Données projet'!$E$14+1,1))-AVERAGE(OFFSET($H$3,0,0,'Données projet'!$E$14+1,1))</f>
        <v>524.51242549438939</v>
      </c>
      <c r="DU91" s="62">
        <f t="shared" si="98"/>
        <v>494.88778446576327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3.5566296393270371</v>
      </c>
      <c r="EB91" s="23">
        <f>EXP(-LN(2)/25)*EB90+(1-EXP(-LN(2)/25))/(LN(2)/25)*Calculateur!DW91*Calculateur!DY91*VLOOKUP('Données projet'!$B$14,Paramètres!$A$1:$I$89,3,0)*0.475*44/12</f>
        <v>3.2609675425105711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6.8175971818376082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432.68870260857216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3.8333333333333286</v>
      </c>
      <c r="N92" s="14">
        <f>IF('Données projet'!$A$36&gt;35,N91+M92-V91,IF(A92&lt;'Données projet'!$A$36,$K$205^A92,IF(A92='Données projet'!$A$36,'Données projet'!$B$36,N91+M92-V91)))</f>
        <v>285.98333333333318</v>
      </c>
      <c r="O92" s="14">
        <f>N92*VLOOKUP('Données projet'!$B$9,Paramètres!$A$1:$I$89,3,0)*VLOOKUP('Données projet'!$B$9,Paramètres!$A$1:$I$89,5,0)</f>
        <v>258.75771999999984</v>
      </c>
      <c r="P92" s="14">
        <f t="shared" si="87"/>
        <v>62.457500294011609</v>
      </c>
      <c r="Q92" s="22">
        <f t="shared" si="54"/>
        <v>559.44984201206989</v>
      </c>
      <c r="R92" s="62">
        <f t="shared" si="55"/>
        <v>852.78317534540315</v>
      </c>
      <c r="S92" s="62">
        <f ca="1">AVERAGE(OFFSET($R$3,0,0,'Données projet'!$E$9+1,1))-AVERAGE(OFFSET($H$3,0,0,'Données projet'!$E$9+1,1))</f>
        <v>299.17641394512162</v>
      </c>
      <c r="T92" s="62">
        <f t="shared" si="88"/>
        <v>180.73046320039873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5.1491477168993134</v>
      </c>
      <c r="AA92" s="23">
        <f>EXP(-LN(2)/25)*AA91+(1-EXP(-LN(2)/25))/(LN(2)/25)*Calculateur!V92*Calculateur!X92*VLOOKUP('Données projet'!$B$9,Paramètres!$A$1:$I$89,3,0)*0.475*44/12</f>
        <v>4.6656101994038606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9.814757916303174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4.4499999999999984</v>
      </c>
      <c r="AI92" s="14">
        <f>IF('Données projet'!$A$62&gt;35,AI91+AH92-AQ91,IF(A92&lt;'Données projet'!$A$62,$AF$205^A92,IF(A92='Données projet'!$A$62,'Données projet'!$B$62,AI91+AH92-AQ91)))</f>
        <v>273.72999999999939</v>
      </c>
      <c r="AJ92" s="14">
        <f>AI92*VLOOKUP('Données projet'!$B$10,Paramètres!$A$1:$I$89,3,0)*VLOOKUP('Données projet'!$B$10,Paramètres!$A$1:$I$89,5,0)</f>
        <v>277.5622199999994</v>
      </c>
      <c r="AK92" s="14">
        <f t="shared" si="89"/>
        <v>66.451573996249451</v>
      </c>
      <c r="AL92" s="22">
        <f t="shared" si="58"/>
        <v>599.15735787680012</v>
      </c>
      <c r="AM92" s="62">
        <f t="shared" si="59"/>
        <v>892.49069121013349</v>
      </c>
      <c r="AN92" s="62">
        <f ca="1">AVERAGE(OFFSET($AM$3,0,0,'Données projet'!$E$10+1,1))-AVERAGE(OFFSET($H$3,0,0,'Données projet'!$E$10+1,1))</f>
        <v>384.66322295929552</v>
      </c>
      <c r="AO92" s="62">
        <f t="shared" si="90"/>
        <v>248.53970183513286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4.28748960197405</v>
      </c>
      <c r="AV92" s="23">
        <f>EXP(-LN(2)/25)*AV91+(1-EXP(-LN(2)/25))/(LN(2)/25)*Calculateur!AQ92*Calculateur!AS92*VLOOKUP('Données projet'!$B$10,Paramètres!$A$1:$I$89,3,0)*0.475*44/12</f>
        <v>3.9408489332036827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8.2283385351777323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343.79999999999995</v>
      </c>
      <c r="BE92" s="14">
        <f>BD92*VLOOKUP('Données projet'!$B$11,Paramètres!$A$1:$I$89,3,0)*VLOOKUP('Données projet'!$B$11,Paramètres!$A$1:$I$89,5,0)</f>
        <v>205.5924</v>
      </c>
      <c r="BF92" s="14">
        <f t="shared" si="91"/>
        <v>50.971228364263673</v>
      </c>
      <c r="BG92" s="22">
        <f t="shared" si="61"/>
        <v>446.84831940109251</v>
      </c>
      <c r="BH92" s="62">
        <f t="shared" si="62"/>
        <v>740.18165273442582</v>
      </c>
      <c r="BI92" s="62">
        <f ca="1">AVERAGE(OFFSET($BH$3,0,0,'Données projet'!$E$11+1,1))-AVERAGE(OFFSET($H$3,0,0,'Données projet'!$E$11+1,1))</f>
        <v>146.25807703055079</v>
      </c>
      <c r="BJ92" s="62">
        <f t="shared" si="92"/>
        <v>177.40137940534413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2.9603251724656698</v>
      </c>
      <c r="BQ92" s="23">
        <f>EXP(-LN(2)/25)*BQ91+(1-EXP(-LN(2)/25))/(LN(2)/25)*Calculateur!BL92*Calculateur!BN92*VLOOKUP('Données projet'!$B$11,Paramètres!$A$1:$I$89,3,0)*0.475*44/12</f>
        <v>1.9003805180318809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4.860705690497551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760.1400000000001</v>
      </c>
      <c r="BZ92" s="14">
        <f>BY92*VLOOKUP('Données projet'!$B$12,Paramètres!$A$1:$I$89,3,0)*VLOOKUP('Données projet'!$B$12,Paramètres!$A$1:$I$89,5,0)</f>
        <v>355.74552000000006</v>
      </c>
      <c r="CA92" s="14">
        <f t="shared" si="93"/>
        <v>82.744450026504168</v>
      </c>
      <c r="CB92" s="22">
        <f t="shared" si="64"/>
        <v>763.70336446282818</v>
      </c>
      <c r="CC92" s="62">
        <f t="shared" si="65"/>
        <v>1057.0366977961614</v>
      </c>
      <c r="CD92" s="62">
        <f ca="1">AVERAGE(OFFSET($CC$3,0,0,'Données projet'!$E$12+1,1))-AVERAGE(OFFSET($H$3,0,0,'Données projet'!$E$12+1,1))</f>
        <v>287.12723448949828</v>
      </c>
      <c r="CE92" s="62">
        <f t="shared" si="94"/>
        <v>170.5203352323382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3.5931383240593817</v>
      </c>
      <c r="CL92" s="23">
        <f>EXP(-LN(2)/25)*CL91+(1-EXP(-LN(2)/25))/(LN(2)/25)*Calculateur!CG92*Calculateur!CI92*VLOOKUP('Données projet'!$B$12,Paramètres!$A$1:$I$89,3,0)*0.475*44/12</f>
        <v>17.971497572163766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21.564635896223148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477.12000000000097</v>
      </c>
      <c r="CU92" s="18">
        <f>CT92*VLOOKUP('Données projet'!$B$13,Paramètres!$A$1:$I$89,3,0)*VLOOKUP('Données projet'!$B$13,Paramètres!$A$1:$I$89,5,0)</f>
        <v>461.47046400000096</v>
      </c>
      <c r="CV92" s="14">
        <f t="shared" si="95"/>
        <v>104.13329806929862</v>
      </c>
      <c r="CW92" s="22">
        <f t="shared" si="67"/>
        <v>985.09321893736342</v>
      </c>
      <c r="CX92" s="62">
        <f t="shared" si="68"/>
        <v>1278.4265522706967</v>
      </c>
      <c r="CY92" s="62">
        <f ca="1">AVERAGE(OFFSET($CX$3,0,0,'Données projet'!$E$13+1,1))-AVERAGE(OFFSET($H$3,0,0,'Données projet'!$E$13+1,1))</f>
        <v>467.37715054082025</v>
      </c>
      <c r="CZ92" s="62">
        <f t="shared" si="96"/>
        <v>443.35096563136415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3.1331442128788725</v>
      </c>
      <c r="DG92" s="23">
        <f>EXP(-LN(2)/25)*DG91+(1-EXP(-LN(2)/25))/(LN(2)/25)*Calculateur!DB92*Calculateur!DD92*VLOOKUP('Données projet'!$B$13,Paramètres!$A$1:$I$89,3,0)*0.475*44/12</f>
        <v>2.8500197861097818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5.9831639989886547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477.12000000000097</v>
      </c>
      <c r="DP92" s="18">
        <f>DO92*VLOOKUP('Données projet'!$B$14,Paramètres!$A$1:$I$89,3,0)*VLOOKUP('Données projet'!$B$14,Paramètres!$A$1:$I$89,5,0)</f>
        <v>513.57196800000099</v>
      </c>
      <c r="DQ92" s="14">
        <f t="shared" si="97"/>
        <v>114.45621584436451</v>
      </c>
      <c r="DR92" s="22">
        <f t="shared" si="70"/>
        <v>1093.8157535289363</v>
      </c>
      <c r="DS92" s="62">
        <f t="shared" si="71"/>
        <v>1387.1490868622695</v>
      </c>
      <c r="DT92" s="62">
        <f ca="1">AVERAGE(OFFSET($DS$3,0,0,'Données projet'!$E$14+1,1))-AVERAGE(OFFSET($H$3,0,0,'Données projet'!$E$14+1,1))</f>
        <v>524.51242549438939</v>
      </c>
      <c r="DU92" s="62">
        <f t="shared" si="98"/>
        <v>494.88778446576327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3.4868863014297102</v>
      </c>
      <c r="EB92" s="23">
        <f>EXP(-LN(2)/25)*EB91+(1-EXP(-LN(2)/25))/(LN(2)/25)*Calculateur!DW92*Calculateur!DY92*VLOOKUP('Données projet'!$B$14,Paramètres!$A$1:$I$89,3,0)*0.475*44/12</f>
        <v>3.1717962135737894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6.6586825150035001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434.61628581808787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3.8333333333333286</v>
      </c>
      <c r="N93" s="14">
        <f>IF('Données projet'!$A$36&gt;35,N92+M93-V92,IF(A93&lt;'Données projet'!$A$36,$K$205^A93,IF(A93='Données projet'!$A$36,'Données projet'!$B$36,N92+M93-V92)))</f>
        <v>289.81666666666649</v>
      </c>
      <c r="O93" s="14">
        <f>N93*VLOOKUP('Données projet'!$B$9,Paramètres!$A$1:$I$89,3,0)*VLOOKUP('Données projet'!$B$9,Paramètres!$A$1:$I$89,5,0)</f>
        <v>262.22611999999987</v>
      </c>
      <c r="P93" s="14">
        <f t="shared" si="87"/>
        <v>63.19666107390487</v>
      </c>
      <c r="Q93" s="22">
        <f t="shared" si="54"/>
        <v>566.77801037038398</v>
      </c>
      <c r="R93" s="62">
        <f t="shared" si="55"/>
        <v>860.11134370371724</v>
      </c>
      <c r="S93" s="62">
        <f ca="1">AVERAGE(OFFSET($R$3,0,0,'Données projet'!$E$9+1,1))-AVERAGE(OFFSET($H$3,0,0,'Données projet'!$E$9+1,1))</f>
        <v>299.17641394512162</v>
      </c>
      <c r="T93" s="62">
        <f t="shared" si="88"/>
        <v>180.73046320039873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5.0481760708409098</v>
      </c>
      <c r="AA93" s="23">
        <f>EXP(-LN(2)/25)*AA92+(1-EXP(-LN(2)/25))/(LN(2)/25)*Calculateur!V93*Calculateur!X93*VLOOKUP('Données projet'!$B$9,Paramètres!$A$1:$I$89,3,0)*0.475*44/12</f>
        <v>4.5380288431473854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9.5862049139882952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4.4499999999999984</v>
      </c>
      <c r="AI93" s="14">
        <f>IF('Données projet'!$A$62&gt;35,AI92+AH93-AQ92,IF(A93&lt;'Données projet'!$A$62,$AF$205^A93,IF(A93='Données projet'!$A$62,'Données projet'!$B$62,AI92+AH93-AQ92)))</f>
        <v>278.17999999999938</v>
      </c>
      <c r="AJ93" s="14">
        <f>AI93*VLOOKUP('Données projet'!$B$10,Paramètres!$A$1:$I$89,3,0)*VLOOKUP('Données projet'!$B$10,Paramètres!$A$1:$I$89,5,0)</f>
        <v>282.07451999999938</v>
      </c>
      <c r="AK93" s="14">
        <f t="shared" si="89"/>
        <v>67.405226069472221</v>
      </c>
      <c r="AL93" s="22">
        <f t="shared" si="58"/>
        <v>608.67722440432965</v>
      </c>
      <c r="AM93" s="62">
        <f t="shared" si="59"/>
        <v>902.01055773766302</v>
      </c>
      <c r="AN93" s="62">
        <f ca="1">AVERAGE(OFFSET($AM$3,0,0,'Données projet'!$E$10+1,1))-AVERAGE(OFFSET($H$3,0,0,'Données projet'!$E$10+1,1))</f>
        <v>384.66322295929552</v>
      </c>
      <c r="AO93" s="62">
        <f t="shared" si="90"/>
        <v>248.53970183513286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4.2034145459897756</v>
      </c>
      <c r="AV93" s="23">
        <f>EXP(-LN(2)/25)*AV92+(1-EXP(-LN(2)/25))/(LN(2)/25)*Calculateur!AQ93*Calculateur!AS93*VLOOKUP('Données projet'!$B$10,Paramètres!$A$1:$I$89,3,0)*0.475*44/12</f>
        <v>3.8330862118849893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8.0365007578747658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343.79999999999995</v>
      </c>
      <c r="BE93" s="14">
        <f>BD93*VLOOKUP('Données projet'!$B$11,Paramètres!$A$1:$I$89,3,0)*VLOOKUP('Données projet'!$B$11,Paramètres!$A$1:$I$89,5,0)</f>
        <v>205.5924</v>
      </c>
      <c r="BF93" s="14">
        <f t="shared" si="91"/>
        <v>50.971228364263673</v>
      </c>
      <c r="BG93" s="22">
        <f t="shared" si="61"/>
        <v>446.84831940109251</v>
      </c>
      <c r="BH93" s="62">
        <f t="shared" si="62"/>
        <v>740.18165273442582</v>
      </c>
      <c r="BI93" s="62">
        <f ca="1">AVERAGE(OFFSET($BH$3,0,0,'Données projet'!$E$11+1,1))-AVERAGE(OFFSET($H$3,0,0,'Données projet'!$E$11+1,1))</f>
        <v>146.25807703055079</v>
      </c>
      <c r="BJ93" s="62">
        <f t="shared" si="92"/>
        <v>177.40137940534413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2.9022750014536829</v>
      </c>
      <c r="BQ93" s="23">
        <f>EXP(-LN(2)/25)*BQ92+(1-EXP(-LN(2)/25))/(LN(2)/25)*Calculateur!BL93*Calculateur!BN93*VLOOKUP('Données projet'!$B$11,Paramètres!$A$1:$I$89,3,0)*0.475*44/12</f>
        <v>1.848414512829631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4.7506895142833141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760.1400000000001</v>
      </c>
      <c r="BZ93" s="14">
        <f>BY93*VLOOKUP('Données projet'!$B$12,Paramètres!$A$1:$I$89,3,0)*VLOOKUP('Données projet'!$B$12,Paramètres!$A$1:$I$89,5,0)</f>
        <v>355.74552000000006</v>
      </c>
      <c r="CA93" s="14">
        <f t="shared" si="93"/>
        <v>82.744450026504168</v>
      </c>
      <c r="CB93" s="22">
        <f t="shared" si="64"/>
        <v>763.70336446282818</v>
      </c>
      <c r="CC93" s="62">
        <f t="shared" si="65"/>
        <v>1057.0366977961614</v>
      </c>
      <c r="CD93" s="62">
        <f ca="1">AVERAGE(OFFSET($CC$3,0,0,'Données projet'!$E$12+1,1))-AVERAGE(OFFSET($H$3,0,0,'Données projet'!$E$12+1,1))</f>
        <v>287.12723448949828</v>
      </c>
      <c r="CE93" s="62">
        <f t="shared" si="94"/>
        <v>170.5203352323382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3.5226790731225526</v>
      </c>
      <c r="CL93" s="23">
        <f>EXP(-LN(2)/25)*CL92+(1-EXP(-LN(2)/25))/(LN(2)/25)*Calculateur!CG93*Calculateur!CI93*VLOOKUP('Données projet'!$B$12,Paramètres!$A$1:$I$89,3,0)*0.475*44/12</f>
        <v>17.480066025972967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21.00274509909552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477.12000000000097</v>
      </c>
      <c r="CU93" s="18">
        <f>CT93*VLOOKUP('Données projet'!$B$13,Paramètres!$A$1:$I$89,3,0)*VLOOKUP('Données projet'!$B$13,Paramètres!$A$1:$I$89,5,0)</f>
        <v>461.47046400000096</v>
      </c>
      <c r="CV93" s="14">
        <f t="shared" si="95"/>
        <v>104.13329806929862</v>
      </c>
      <c r="CW93" s="22">
        <f t="shared" si="67"/>
        <v>985.09321893736342</v>
      </c>
      <c r="CX93" s="62">
        <f t="shared" si="68"/>
        <v>1278.4265522706967</v>
      </c>
      <c r="CY93" s="62">
        <f ca="1">AVERAGE(OFFSET($CX$3,0,0,'Données projet'!$E$13+1,1))-AVERAGE(OFFSET($H$3,0,0,'Données projet'!$E$13+1,1))</f>
        <v>467.37715054082025</v>
      </c>
      <c r="CZ93" s="62">
        <f t="shared" si="96"/>
        <v>443.35096563136415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3.0717051658935892</v>
      </c>
      <c r="DG93" s="23">
        <f>EXP(-LN(2)/25)*DG92+(1-EXP(-LN(2)/25))/(LN(2)/25)*Calculateur!DB93*Calculateur!DD93*VLOOKUP('Données projet'!$B$13,Paramètres!$A$1:$I$89,3,0)*0.475*44/12</f>
        <v>2.7720858451825832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5.8437910110761724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477.12000000000097</v>
      </c>
      <c r="DP93" s="18">
        <f>DO93*VLOOKUP('Données projet'!$B$14,Paramètres!$A$1:$I$89,3,0)*VLOOKUP('Données projet'!$B$14,Paramètres!$A$1:$I$89,5,0)</f>
        <v>513.57196800000099</v>
      </c>
      <c r="DQ93" s="14">
        <f t="shared" si="97"/>
        <v>114.45621584436451</v>
      </c>
      <c r="DR93" s="22">
        <f t="shared" si="70"/>
        <v>1093.8157535289363</v>
      </c>
      <c r="DS93" s="62">
        <f t="shared" si="71"/>
        <v>1387.1490868622695</v>
      </c>
      <c r="DT93" s="62">
        <f ca="1">AVERAGE(OFFSET($DS$3,0,0,'Données projet'!$E$14+1,1))-AVERAGE(OFFSET($H$3,0,0,'Données projet'!$E$14+1,1))</f>
        <v>524.51242549438939</v>
      </c>
      <c r="DU93" s="62">
        <f t="shared" si="98"/>
        <v>494.88778446576327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3.4185105878493145</v>
      </c>
      <c r="EB93" s="23">
        <f>EXP(-LN(2)/25)*EB92+(1-EXP(-LN(2)/25))/(LN(2)/25)*Calculateur!DW93*Calculateur!DY93*VLOOKUP('Données projet'!$B$14,Paramètres!$A$1:$I$89,3,0)*0.475*44/12</f>
        <v>3.0850632793161004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6.5035738671654144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436.54337929848225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3.8333333333333286</v>
      </c>
      <c r="N94" s="14">
        <f>IF('Données projet'!$A$36&gt;35,N93+M94-V93,IF(A94&lt;'Données projet'!$A$36,$K$205^A94,IF(A94='Données projet'!$A$36,'Données projet'!$B$36,N93+M94-V93)))</f>
        <v>293.64999999999981</v>
      </c>
      <c r="O94" s="14">
        <f>N94*VLOOKUP('Données projet'!$B$9,Paramètres!$A$1:$I$89,3,0)*VLOOKUP('Données projet'!$B$9,Paramètres!$A$1:$I$89,5,0)</f>
        <v>265.69451999999978</v>
      </c>
      <c r="P94" s="14">
        <f t="shared" si="87"/>
        <v>63.934684686822997</v>
      </c>
      <c r="Q94" s="22">
        <f t="shared" si="54"/>
        <v>574.10419816288299</v>
      </c>
      <c r="R94" s="62">
        <f t="shared" si="55"/>
        <v>867.43753149621625</v>
      </c>
      <c r="S94" s="62">
        <f ca="1">AVERAGE(OFFSET($R$3,0,0,'Données projet'!$E$9+1,1))-AVERAGE(OFFSET($H$3,0,0,'Données projet'!$E$9+1,1))</f>
        <v>299.17641394512162</v>
      </c>
      <c r="T94" s="62">
        <f t="shared" si="88"/>
        <v>180.73046320039873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4.9491844171750889</v>
      </c>
      <c r="AA94" s="23">
        <f>EXP(-LN(2)/25)*AA93+(1-EXP(-LN(2)/25))/(LN(2)/25)*Calculateur!V94*Calculateur!X94*VLOOKUP('Données projet'!$B$9,Paramètres!$A$1:$I$89,3,0)*0.475*44/12</f>
        <v>4.4139362057869551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9.3631206229620432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4.4499999999999984</v>
      </c>
      <c r="AI94" s="14">
        <f>IF('Données projet'!$A$62&gt;35,AI93+AH94-AQ93,IF(A94&lt;'Données projet'!$A$62,$AF$205^A94,IF(A94='Données projet'!$A$62,'Données projet'!$B$62,AI93+AH94-AQ93)))</f>
        <v>282.62999999999937</v>
      </c>
      <c r="AJ94" s="14">
        <f>AI94*VLOOKUP('Données projet'!$B$10,Paramètres!$A$1:$I$89,3,0)*VLOOKUP('Données projet'!$B$10,Paramètres!$A$1:$I$89,5,0)</f>
        <v>286.58681999999936</v>
      </c>
      <c r="AK94" s="14">
        <f t="shared" si="89"/>
        <v>68.357103984435298</v>
      </c>
      <c r="AL94" s="22">
        <f t="shared" si="58"/>
        <v>618.19400093955699</v>
      </c>
      <c r="AM94" s="62">
        <f t="shared" si="59"/>
        <v>911.52733427289036</v>
      </c>
      <c r="AN94" s="62">
        <f ca="1">AVERAGE(OFFSET($AM$3,0,0,'Données projet'!$E$10+1,1))-AVERAGE(OFFSET($H$3,0,0,'Données projet'!$E$10+1,1))</f>
        <v>384.66322295929552</v>
      </c>
      <c r="AO94" s="62">
        <f t="shared" si="90"/>
        <v>248.53970183513286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4.1209881505726322</v>
      </c>
      <c r="AV94" s="23">
        <f>EXP(-LN(2)/25)*AV93+(1-EXP(-LN(2)/25))/(LN(2)/25)*Calculateur!AQ94*Calculateur!AS94*VLOOKUP('Données projet'!$B$10,Paramètres!$A$1:$I$89,3,0)*0.475*44/12</f>
        <v>3.7282702678477508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7.8492584184203835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343.79999999999995</v>
      </c>
      <c r="BE94" s="14">
        <f>BD94*VLOOKUP('Données projet'!$B$11,Paramètres!$A$1:$I$89,3,0)*VLOOKUP('Données projet'!$B$11,Paramètres!$A$1:$I$89,5,0)</f>
        <v>205.5924</v>
      </c>
      <c r="BF94" s="14">
        <f t="shared" si="91"/>
        <v>50.971228364263673</v>
      </c>
      <c r="BG94" s="22">
        <f t="shared" si="61"/>
        <v>446.84831940109251</v>
      </c>
      <c r="BH94" s="62">
        <f t="shared" si="62"/>
        <v>740.18165273442582</v>
      </c>
      <c r="BI94" s="62">
        <f ca="1">AVERAGE(OFFSET($BH$3,0,0,'Données projet'!$E$11+1,1))-AVERAGE(OFFSET($H$3,0,0,'Données projet'!$E$11+1,1))</f>
        <v>146.25807703055079</v>
      </c>
      <c r="BJ94" s="62">
        <f t="shared" si="92"/>
        <v>177.40137940534413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2.8453631588881332</v>
      </c>
      <c r="BQ94" s="23">
        <f>EXP(-LN(2)/25)*BQ93+(1-EXP(-LN(2)/25))/(LN(2)/25)*Calculateur!BL94*Calculateur!BN94*VLOOKUP('Données projet'!$B$11,Paramètres!$A$1:$I$89,3,0)*0.475*44/12</f>
        <v>1.79786952077241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4.6432326796605432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760.1400000000001</v>
      </c>
      <c r="BZ94" s="14">
        <f>BY94*VLOOKUP('Données projet'!$B$12,Paramètres!$A$1:$I$89,3,0)*VLOOKUP('Données projet'!$B$12,Paramètres!$A$1:$I$89,5,0)</f>
        <v>355.74552000000006</v>
      </c>
      <c r="CA94" s="14">
        <f t="shared" si="93"/>
        <v>82.744450026504168</v>
      </c>
      <c r="CB94" s="22">
        <f t="shared" si="64"/>
        <v>763.70336446282818</v>
      </c>
      <c r="CC94" s="62">
        <f t="shared" si="65"/>
        <v>1057.0366977961614</v>
      </c>
      <c r="CD94" s="62">
        <f ca="1">AVERAGE(OFFSET($CC$3,0,0,'Données projet'!$E$12+1,1))-AVERAGE(OFFSET($H$3,0,0,'Données projet'!$E$12+1,1))</f>
        <v>287.12723448949828</v>
      </c>
      <c r="CE94" s="62">
        <f t="shared" si="94"/>
        <v>170.5203352323382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3.4536014851206951</v>
      </c>
      <c r="CL94" s="23">
        <f>EXP(-LN(2)/25)*CL93+(1-EXP(-LN(2)/25))/(LN(2)/25)*Calculateur!CG94*Calculateur!CI94*VLOOKUP('Données projet'!$B$12,Paramètres!$A$1:$I$89,3,0)*0.475*44/12</f>
        <v>17.002072701256015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20.455674186376712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477.12000000000097</v>
      </c>
      <c r="CU94" s="18">
        <f>CT94*VLOOKUP('Données projet'!$B$13,Paramètres!$A$1:$I$89,3,0)*VLOOKUP('Données projet'!$B$13,Paramètres!$A$1:$I$89,5,0)</f>
        <v>461.47046400000096</v>
      </c>
      <c r="CV94" s="14">
        <f t="shared" si="95"/>
        <v>104.13329806929862</v>
      </c>
      <c r="CW94" s="22">
        <f t="shared" si="67"/>
        <v>985.09321893736342</v>
      </c>
      <c r="CX94" s="62">
        <f t="shared" si="68"/>
        <v>1278.4265522706967</v>
      </c>
      <c r="CY94" s="62">
        <f ca="1">AVERAGE(OFFSET($CX$3,0,0,'Données projet'!$E$13+1,1))-AVERAGE(OFFSET($H$3,0,0,'Données projet'!$E$13+1,1))</f>
        <v>467.37715054082025</v>
      </c>
      <c r="CZ94" s="62">
        <f t="shared" si="96"/>
        <v>443.35096563136415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3.0114709011455689</v>
      </c>
      <c r="DG94" s="23">
        <f>EXP(-LN(2)/25)*DG93+(1-EXP(-LN(2)/25))/(LN(2)/25)*Calculateur!DB94*Calculateur!DD94*VLOOKUP('Données projet'!$B$13,Paramètres!$A$1:$I$89,3,0)*0.475*44/12</f>
        <v>2.6962830119684065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5.7077539131139758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477.12000000000097</v>
      </c>
      <c r="DP94" s="18">
        <f>DO94*VLOOKUP('Données projet'!$B$14,Paramètres!$A$1:$I$89,3,0)*VLOOKUP('Données projet'!$B$14,Paramètres!$A$1:$I$89,5,0)</f>
        <v>513.57196800000099</v>
      </c>
      <c r="DQ94" s="14">
        <f t="shared" si="97"/>
        <v>114.45621584436451</v>
      </c>
      <c r="DR94" s="22">
        <f t="shared" si="70"/>
        <v>1093.8157535289363</v>
      </c>
      <c r="DS94" s="62">
        <f t="shared" si="71"/>
        <v>1387.1490868622695</v>
      </c>
      <c r="DT94" s="62">
        <f ca="1">AVERAGE(OFFSET($DS$3,0,0,'Données projet'!$E$14+1,1))-AVERAGE(OFFSET($H$3,0,0,'Données projet'!$E$14+1,1))</f>
        <v>524.51242549438939</v>
      </c>
      <c r="DU94" s="62">
        <f t="shared" si="98"/>
        <v>494.88778446576327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3.3514756803071628</v>
      </c>
      <c r="EB94" s="23">
        <f>EXP(-LN(2)/25)*EB93+(1-EXP(-LN(2)/25))/(LN(2)/25)*Calculateur!DW94*Calculateur!DY94*VLOOKUP('Données projet'!$B$14,Paramètres!$A$1:$I$89,3,0)*0.475*44/12</f>
        <v>3.0007020617067748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6.3521777420139376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438.46998905421867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3.8333333333333286</v>
      </c>
      <c r="N95" s="14">
        <f>IF('Données projet'!$A$36&gt;35,N94+M95-V94,IF(A95&lt;'Données projet'!$A$36,$K$205^A95,IF(A95='Données projet'!$A$36,'Données projet'!$B$36,N94+M95-V94)))</f>
        <v>297.48333333333312</v>
      </c>
      <c r="O95" s="14">
        <f>N95*VLOOKUP('Données projet'!$B$9,Paramètres!$A$1:$I$89,3,0)*VLOOKUP('Données projet'!$B$9,Paramètres!$A$1:$I$89,5,0)</f>
        <v>269.16291999999981</v>
      </c>
      <c r="P95" s="14">
        <f t="shared" si="87"/>
        <v>64.67158769372756</v>
      </c>
      <c r="Q95" s="22">
        <f t="shared" si="54"/>
        <v>581.42843423324177</v>
      </c>
      <c r="R95" s="62">
        <f t="shared" si="55"/>
        <v>874.76176756657514</v>
      </c>
      <c r="S95" s="62">
        <f ca="1">AVERAGE(OFFSET($R$3,0,0,'Données projet'!$E$9+1,1))-AVERAGE(OFFSET($H$3,0,0,'Données projet'!$E$9+1,1))</f>
        <v>299.17641394512162</v>
      </c>
      <c r="T95" s="62">
        <f t="shared" si="88"/>
        <v>180.73046320039873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4.8521339294587076</v>
      </c>
      <c r="AA95" s="23">
        <f>EXP(-LN(2)/25)*AA94+(1-EXP(-LN(2)/25))/(LN(2)/25)*Calculateur!V95*Calculateur!X95*VLOOKUP('Données projet'!$B$9,Paramètres!$A$1:$I$89,3,0)*0.475*44/12</f>
        <v>4.2932368881208935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9.1453708175796002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4.4499999999999984</v>
      </c>
      <c r="AI95" s="14">
        <f>IF('Données projet'!$A$62&gt;35,AI94+AH95-AQ94,IF(A95&lt;'Données projet'!$A$62,$AF$205^A95,IF(A95='Données projet'!$A$62,'Données projet'!$B$62,AI94+AH95-AQ94)))</f>
        <v>287.07999999999936</v>
      </c>
      <c r="AJ95" s="14">
        <f>AI95*VLOOKUP('Données projet'!$B$10,Paramètres!$A$1:$I$89,3,0)*VLOOKUP('Données projet'!$B$10,Paramètres!$A$1:$I$89,5,0)</f>
        <v>291.09911999999935</v>
      </c>
      <c r="AK95" s="14">
        <f t="shared" si="89"/>
        <v>69.307238900760353</v>
      </c>
      <c r="AL95" s="22">
        <f t="shared" si="58"/>
        <v>627.70774175215638</v>
      </c>
      <c r="AM95" s="62">
        <f t="shared" si="59"/>
        <v>921.04107508548964</v>
      </c>
      <c r="AN95" s="62">
        <f ca="1">AVERAGE(OFFSET($AM$3,0,0,'Données projet'!$E$10+1,1))-AVERAGE(OFFSET($H$3,0,0,'Données projet'!$E$10+1,1))</f>
        <v>384.66322295929552</v>
      </c>
      <c r="AO95" s="62">
        <f t="shared" si="90"/>
        <v>248.53970183513286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4.0401780864944818</v>
      </c>
      <c r="AV95" s="23">
        <f>EXP(-LN(2)/25)*AV94+(1-EXP(-LN(2)/25))/(LN(2)/25)*Calculateur!AQ95*Calculateur!AS95*VLOOKUP('Données projet'!$B$10,Paramètres!$A$1:$I$89,3,0)*0.475*44/12</f>
        <v>3.6263205213122416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7.666498607806723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343.79999999999995</v>
      </c>
      <c r="BE95" s="14">
        <f>BD95*VLOOKUP('Données projet'!$B$11,Paramètres!$A$1:$I$89,3,0)*VLOOKUP('Données projet'!$B$11,Paramètres!$A$1:$I$89,5,0)</f>
        <v>205.5924</v>
      </c>
      <c r="BF95" s="14">
        <f t="shared" si="91"/>
        <v>50.971228364263673</v>
      </c>
      <c r="BG95" s="22">
        <f t="shared" si="61"/>
        <v>446.84831940109251</v>
      </c>
      <c r="BH95" s="62">
        <f t="shared" si="62"/>
        <v>740.18165273442582</v>
      </c>
      <c r="BI95" s="62">
        <f ca="1">AVERAGE(OFFSET($BH$3,0,0,'Données projet'!$E$11+1,1))-AVERAGE(OFFSET($H$3,0,0,'Données projet'!$E$11+1,1))</f>
        <v>146.25807703055079</v>
      </c>
      <c r="BJ95" s="62">
        <f t="shared" si="92"/>
        <v>177.40137940534413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2.7895673228424975</v>
      </c>
      <c r="BQ95" s="23">
        <f>EXP(-LN(2)/25)*BQ94+(1-EXP(-LN(2)/25))/(LN(2)/25)*Calculateur!BL95*Calculateur!BN95*VLOOKUP('Données projet'!$B$11,Paramètres!$A$1:$I$89,3,0)*0.475*44/12</f>
        <v>1.7487066841810395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4.5382740070235368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760.1400000000001</v>
      </c>
      <c r="BZ95" s="14">
        <f>BY95*VLOOKUP('Données projet'!$B$12,Paramètres!$A$1:$I$89,3,0)*VLOOKUP('Données projet'!$B$12,Paramètres!$A$1:$I$89,5,0)</f>
        <v>355.74552000000006</v>
      </c>
      <c r="CA95" s="14">
        <f t="shared" si="93"/>
        <v>82.744450026504168</v>
      </c>
      <c r="CB95" s="22">
        <f t="shared" si="64"/>
        <v>763.70336446282818</v>
      </c>
      <c r="CC95" s="62">
        <f t="shared" si="65"/>
        <v>1057.0366977961614</v>
      </c>
      <c r="CD95" s="62">
        <f ca="1">AVERAGE(OFFSET($CC$3,0,0,'Données projet'!$E$12+1,1))-AVERAGE(OFFSET($H$3,0,0,'Données projet'!$E$12+1,1))</f>
        <v>287.12723448949828</v>
      </c>
      <c r="CE95" s="62">
        <f t="shared" si="94"/>
        <v>170.5203352323382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3.3858784664863855</v>
      </c>
      <c r="CL95" s="23">
        <f>EXP(-LN(2)/25)*CL94+(1-EXP(-LN(2)/25))/(LN(2)/25)*Calculateur!CG95*Calculateur!CI95*VLOOKUP('Données projet'!$B$12,Paramètres!$A$1:$I$89,3,0)*0.475*44/12</f>
        <v>16.537150129140024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19.923028595626409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477.12000000000097</v>
      </c>
      <c r="CU95" s="18">
        <f>CT95*VLOOKUP('Données projet'!$B$13,Paramètres!$A$1:$I$89,3,0)*VLOOKUP('Données projet'!$B$13,Paramètres!$A$1:$I$89,5,0)</f>
        <v>461.47046400000096</v>
      </c>
      <c r="CV95" s="14">
        <f t="shared" si="95"/>
        <v>104.13329806929862</v>
      </c>
      <c r="CW95" s="22">
        <f t="shared" si="67"/>
        <v>985.09321893736342</v>
      </c>
      <c r="CX95" s="62">
        <f t="shared" si="68"/>
        <v>1278.4265522706967</v>
      </c>
      <c r="CY95" s="62">
        <f ca="1">AVERAGE(OFFSET($CX$3,0,0,'Données projet'!$E$13+1,1))-AVERAGE(OFFSET($H$3,0,0,'Données projet'!$E$13+1,1))</f>
        <v>467.37715054082025</v>
      </c>
      <c r="CZ95" s="62">
        <f t="shared" si="96"/>
        <v>443.35096563136415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2.9524177935899836</v>
      </c>
      <c r="DG95" s="23">
        <f>EXP(-LN(2)/25)*DG94+(1-EXP(-LN(2)/25))/(LN(2)/25)*Calculateur!DB95*Calculateur!DD95*VLOOKUP('Données projet'!$B$13,Paramètres!$A$1:$I$89,3,0)*0.475*44/12</f>
        <v>2.622553011214769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5.574970804804753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477.12000000000097</v>
      </c>
      <c r="DP95" s="18">
        <f>DO95*VLOOKUP('Données projet'!$B$14,Paramètres!$A$1:$I$89,3,0)*VLOOKUP('Données projet'!$B$14,Paramètres!$A$1:$I$89,5,0)</f>
        <v>513.57196800000099</v>
      </c>
      <c r="DQ95" s="14">
        <f t="shared" si="97"/>
        <v>114.45621584436451</v>
      </c>
      <c r="DR95" s="22">
        <f t="shared" si="70"/>
        <v>1093.8157535289363</v>
      </c>
      <c r="DS95" s="62">
        <f t="shared" si="71"/>
        <v>1387.1490868622695</v>
      </c>
      <c r="DT95" s="62">
        <f ca="1">AVERAGE(OFFSET($DS$3,0,0,'Données projet'!$E$14+1,1))-AVERAGE(OFFSET($H$3,0,0,'Données projet'!$E$14+1,1))</f>
        <v>524.51242549438939</v>
      </c>
      <c r="DU95" s="62">
        <f t="shared" si="98"/>
        <v>494.88778446576327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3.2857552864146564</v>
      </c>
      <c r="EB95" s="23">
        <f>EXP(-LN(2)/25)*EB94+(1-EXP(-LN(2)/25))/(LN(2)/25)*Calculateur!DW95*Calculateur!DY95*VLOOKUP('Données projet'!$B$14,Paramètres!$A$1:$I$89,3,0)*0.475*44/12</f>
        <v>2.9186477060293399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6.2044029924439963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440.39612095171111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3.8333333333333286</v>
      </c>
      <c r="N96" s="14">
        <f>IF('Données projet'!$A$36&gt;35,N95+M96-V95,IF(A96&lt;'Données projet'!$A$36,$K$205^A96,IF(A96='Données projet'!$A$36,'Données projet'!$B$36,N95+M96-V95)))</f>
        <v>301.31666666666644</v>
      </c>
      <c r="O96" s="14">
        <f>N96*VLOOKUP('Données projet'!$B$9,Paramètres!$A$1:$I$89,3,0)*VLOOKUP('Données projet'!$B$9,Paramètres!$A$1:$I$89,5,0)</f>
        <v>272.63131999999979</v>
      </c>
      <c r="P96" s="14">
        <f t="shared" si="87"/>
        <v>65.407386204236303</v>
      </c>
      <c r="Q96" s="22">
        <f t="shared" si="54"/>
        <v>588.75074663904445</v>
      </c>
      <c r="R96" s="62">
        <f t="shared" si="55"/>
        <v>882.08407997237782</v>
      </c>
      <c r="S96" s="62">
        <f ca="1">AVERAGE(OFFSET($R$3,0,0,'Données projet'!$E$9+1,1))-AVERAGE(OFFSET($H$3,0,0,'Données projet'!$E$9+1,1))</f>
        <v>299.17641394512162</v>
      </c>
      <c r="T96" s="62">
        <f t="shared" si="88"/>
        <v>180.73046320039873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4.7569865426114921</v>
      </c>
      <c r="AA96" s="23">
        <f>EXP(-LN(2)/25)*AA95+(1-EXP(-LN(2)/25))/(LN(2)/25)*Calculateur!V96*Calculateur!X96*VLOOKUP('Données projet'!$B$9,Paramètres!$A$1:$I$89,3,0)*0.475*44/12</f>
        <v>4.1758380996437117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8.9328246422552038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4.4499999999999984</v>
      </c>
      <c r="AI96" s="14">
        <f>IF('Données projet'!$A$62&gt;35,AI95+AH96-AQ95,IF(A96&lt;'Données projet'!$A$62,$AF$205^A96,IF(A96='Données projet'!$A$62,'Données projet'!$B$62,AI95+AH96-AQ95)))</f>
        <v>291.52999999999935</v>
      </c>
      <c r="AJ96" s="14">
        <f>AI96*VLOOKUP('Données projet'!$B$10,Paramètres!$A$1:$I$89,3,0)*VLOOKUP('Données projet'!$B$10,Paramètres!$A$1:$I$89,5,0)</f>
        <v>295.61141999999938</v>
      </c>
      <c r="AK96" s="14">
        <f t="shared" si="89"/>
        <v>70.255660956642316</v>
      </c>
      <c r="AL96" s="22">
        <f t="shared" si="58"/>
        <v>637.2184993328176</v>
      </c>
      <c r="AM96" s="62">
        <f t="shared" si="59"/>
        <v>930.55183266615086</v>
      </c>
      <c r="AN96" s="62">
        <f ca="1">AVERAGE(OFFSET($AM$3,0,0,'Données projet'!$E$10+1,1))-AVERAGE(OFFSET($H$3,0,0,'Données projet'!$E$10+1,1))</f>
        <v>384.66322295929552</v>
      </c>
      <c r="AO96" s="62">
        <f t="shared" si="90"/>
        <v>248.53970183513286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3.9609526584836319</v>
      </c>
      <c r="AV96" s="23">
        <f>EXP(-LN(2)/25)*AV95+(1-EXP(-LN(2)/25))/(LN(2)/25)*Calculateur!AQ96*Calculateur!AS96*VLOOKUP('Données projet'!$B$10,Paramètres!$A$1:$I$89,3,0)*0.475*44/12</f>
        <v>3.5271585959570504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7.4881112544406818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343.79999999999995</v>
      </c>
      <c r="BE96" s="14">
        <f>BD96*VLOOKUP('Données projet'!$B$11,Paramètres!$A$1:$I$89,3,0)*VLOOKUP('Données projet'!$B$11,Paramètres!$A$1:$I$89,5,0)</f>
        <v>205.5924</v>
      </c>
      <c r="BF96" s="14">
        <f t="shared" si="91"/>
        <v>50.971228364263673</v>
      </c>
      <c r="BG96" s="22">
        <f t="shared" si="61"/>
        <v>446.84831940109251</v>
      </c>
      <c r="BH96" s="62">
        <f t="shared" si="62"/>
        <v>740.18165273442582</v>
      </c>
      <c r="BI96" s="62">
        <f ca="1">AVERAGE(OFFSET($BH$3,0,0,'Données projet'!$E$11+1,1))-AVERAGE(OFFSET($H$3,0,0,'Données projet'!$E$11+1,1))</f>
        <v>146.25807703055079</v>
      </c>
      <c r="BJ96" s="62">
        <f t="shared" si="92"/>
        <v>177.40137940534413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2.7348656091096171</v>
      </c>
      <c r="BQ96" s="23">
        <f>EXP(-LN(2)/25)*BQ95+(1-EXP(-LN(2)/25))/(LN(2)/25)*Calculateur!BL96*Calculateur!BN96*VLOOKUP('Données projet'!$B$11,Paramètres!$A$1:$I$89,3,0)*0.475*44/12</f>
        <v>1.7008882079416212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4.4357538170512383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760.1400000000001</v>
      </c>
      <c r="BZ96" s="14">
        <f>BY96*VLOOKUP('Données projet'!$B$12,Paramètres!$A$1:$I$89,3,0)*VLOOKUP('Données projet'!$B$12,Paramètres!$A$1:$I$89,5,0)</f>
        <v>355.74552000000006</v>
      </c>
      <c r="CA96" s="14">
        <f t="shared" si="93"/>
        <v>82.744450026504168</v>
      </c>
      <c r="CB96" s="22">
        <f t="shared" si="64"/>
        <v>763.70336446282818</v>
      </c>
      <c r="CC96" s="62">
        <f t="shared" si="65"/>
        <v>1057.0366977961614</v>
      </c>
      <c r="CD96" s="62">
        <f ca="1">AVERAGE(OFFSET($CC$3,0,0,'Données projet'!$E$12+1,1))-AVERAGE(OFFSET($H$3,0,0,'Données projet'!$E$12+1,1))</f>
        <v>287.12723448949828</v>
      </c>
      <c r="CE96" s="62">
        <f t="shared" si="94"/>
        <v>170.5203352323382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3.3194834549405323</v>
      </c>
      <c r="CL96" s="23">
        <f>EXP(-LN(2)/25)*CL95+(1-EXP(-LN(2)/25))/(LN(2)/25)*Calculateur!CG96*Calculateur!CI96*VLOOKUP('Données projet'!$B$12,Paramètres!$A$1:$I$89,3,0)*0.475*44/12</f>
        <v>16.084940889207761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19.404424344148293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477.12000000000097</v>
      </c>
      <c r="CU96" s="18">
        <f>CT96*VLOOKUP('Données projet'!$B$13,Paramètres!$A$1:$I$89,3,0)*VLOOKUP('Données projet'!$B$13,Paramètres!$A$1:$I$89,5,0)</f>
        <v>461.47046400000096</v>
      </c>
      <c r="CV96" s="14">
        <f t="shared" si="95"/>
        <v>104.13329806929862</v>
      </c>
      <c r="CW96" s="22">
        <f t="shared" si="67"/>
        <v>985.09321893736342</v>
      </c>
      <c r="CX96" s="62">
        <f t="shared" si="68"/>
        <v>1278.4265522706967</v>
      </c>
      <c r="CY96" s="62">
        <f ca="1">AVERAGE(OFFSET($CX$3,0,0,'Données projet'!$E$13+1,1))-AVERAGE(OFFSET($H$3,0,0,'Données projet'!$E$13+1,1))</f>
        <v>467.37715054082025</v>
      </c>
      <c r="CZ96" s="62">
        <f t="shared" si="96"/>
        <v>443.35096563136415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2.894522681454724</v>
      </c>
      <c r="DG96" s="23">
        <f>EXP(-LN(2)/25)*DG95+(1-EXP(-LN(2)/25))/(LN(2)/25)*Calculateur!DB96*Calculateur!DD96*VLOOKUP('Données projet'!$B$13,Paramètres!$A$1:$I$89,3,0)*0.475*44/12</f>
        <v>2.5508391612090322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5.4453618426637558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477.12000000000097</v>
      </c>
      <c r="DP96" s="18">
        <f>DO96*VLOOKUP('Données projet'!$B$14,Paramètres!$A$1:$I$89,3,0)*VLOOKUP('Données projet'!$B$14,Paramètres!$A$1:$I$89,5,0)</f>
        <v>513.57196800000099</v>
      </c>
      <c r="DQ96" s="14">
        <f t="shared" si="97"/>
        <v>114.45621584436451</v>
      </c>
      <c r="DR96" s="22">
        <f t="shared" si="70"/>
        <v>1093.8157535289363</v>
      </c>
      <c r="DS96" s="62">
        <f t="shared" si="71"/>
        <v>1387.1490868622695</v>
      </c>
      <c r="DT96" s="62">
        <f ca="1">AVERAGE(OFFSET($DS$3,0,0,'Données projet'!$E$14+1,1))-AVERAGE(OFFSET($H$3,0,0,'Données projet'!$E$14+1,1))</f>
        <v>524.51242549438939</v>
      </c>
      <c r="DU96" s="62">
        <f t="shared" si="98"/>
        <v>494.88778446576327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3.2213236293609002</v>
      </c>
      <c r="EB96" s="23">
        <f>EXP(-LN(2)/25)*EB95+(1-EXP(-LN(2)/25))/(LN(2)/25)*Calculateur!DW96*Calculateur!DY96*VLOOKUP('Données projet'!$B$14,Paramètres!$A$1:$I$89,3,0)*0.475*44/12</f>
        <v>2.8388371310229554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6.0601607603838552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442.32178072394748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3.8333333333333286</v>
      </c>
      <c r="N97" s="14">
        <f>IF('Données projet'!$A$36&gt;35,N96+M97-V96,IF(A97&lt;'Données projet'!$A$36,$K$205^A97,IF(A97='Données projet'!$A$36,'Données projet'!$B$36,N96+M97-V96)))</f>
        <v>305.14999999999975</v>
      </c>
      <c r="O97" s="14">
        <f>N97*VLOOKUP('Données projet'!$B$9,Paramètres!$A$1:$I$89,3,0)*VLOOKUP('Données projet'!$B$9,Paramètres!$A$1:$I$89,5,0)</f>
        <v>276.09971999999976</v>
      </c>
      <c r="P97" s="14">
        <f t="shared" si="87"/>
        <v>66.142095894506525</v>
      </c>
      <c r="Q97" s="22">
        <f t="shared" si="54"/>
        <v>596.07116268293191</v>
      </c>
      <c r="R97" s="62">
        <f t="shared" si="55"/>
        <v>889.40449601626528</v>
      </c>
      <c r="S97" s="62">
        <f ca="1">AVERAGE(OFFSET($R$3,0,0,'Données projet'!$E$9+1,1))-AVERAGE(OFFSET($H$3,0,0,'Données projet'!$E$9+1,1))</f>
        <v>299.17641394512162</v>
      </c>
      <c r="T97" s="62">
        <f t="shared" si="88"/>
        <v>180.73046320039873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4.663704937986175</v>
      </c>
      <c r="AA97" s="23">
        <f>EXP(-LN(2)/25)*AA96+(1-EXP(-LN(2)/25))/(LN(2)/25)*Calculateur!V97*Calculateur!X97*VLOOKUP('Données projet'!$B$9,Paramètres!$A$1:$I$89,3,0)*0.475*44/12</f>
        <v>4.0616495872111731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8.7253545251973481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4.4499999999999984</v>
      </c>
      <c r="AI97" s="14">
        <f>IF('Données projet'!$A$62&gt;35,AI96+AH97-AQ96,IF(A97&lt;'Données projet'!$A$62,$AF$205^A97,IF(A97='Données projet'!$A$62,'Données projet'!$B$62,AI96+AH97-AQ96)))</f>
        <v>295.97999999999934</v>
      </c>
      <c r="AJ97" s="14">
        <f>AI97*VLOOKUP('Données projet'!$B$10,Paramètres!$A$1:$I$89,3,0)*VLOOKUP('Données projet'!$B$10,Paramètres!$A$1:$I$89,5,0)</f>
        <v>300.12371999999937</v>
      </c>
      <c r="AK97" s="14">
        <f t="shared" si="89"/>
        <v>71.202399317402566</v>
      </c>
      <c r="AL97" s="22">
        <f t="shared" si="58"/>
        <v>646.72632447780836</v>
      </c>
      <c r="AM97" s="62">
        <f t="shared" si="59"/>
        <v>940.05965781114173</v>
      </c>
      <c r="AN97" s="62">
        <f ca="1">AVERAGE(OFFSET($AM$3,0,0,'Données projet'!$E$10+1,1))-AVERAGE(OFFSET($H$3,0,0,'Données projet'!$E$10+1,1))</f>
        <v>384.66322295929552</v>
      </c>
      <c r="AO97" s="62">
        <f t="shared" si="90"/>
        <v>248.53970183513286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3.883280792793335</v>
      </c>
      <c r="AV97" s="23">
        <f>EXP(-LN(2)/25)*AV96+(1-EXP(-LN(2)/25))/(LN(2)/25)*Calculateur!AQ97*Calculateur!AS97*VLOOKUP('Données projet'!$B$10,Paramètres!$A$1:$I$89,3,0)*0.475*44/12</f>
        <v>3.4307082586653959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7.3139890514587309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343.79999999999995</v>
      </c>
      <c r="BE97" s="14">
        <f>BD97*VLOOKUP('Données projet'!$B$11,Paramètres!$A$1:$I$89,3,0)*VLOOKUP('Données projet'!$B$11,Paramètres!$A$1:$I$89,5,0)</f>
        <v>205.5924</v>
      </c>
      <c r="BF97" s="14">
        <f t="shared" si="91"/>
        <v>50.971228364263673</v>
      </c>
      <c r="BG97" s="22">
        <f t="shared" si="61"/>
        <v>446.84831940109251</v>
      </c>
      <c r="BH97" s="62">
        <f t="shared" si="62"/>
        <v>740.18165273442582</v>
      </c>
      <c r="BI97" s="62">
        <f ca="1">AVERAGE(OFFSET($BH$3,0,0,'Données projet'!$E$11+1,1))-AVERAGE(OFFSET($H$3,0,0,'Données projet'!$E$11+1,1))</f>
        <v>146.25807703055079</v>
      </c>
      <c r="BJ97" s="62">
        <f t="shared" si="92"/>
        <v>177.40137940534413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2.6812365626182877</v>
      </c>
      <c r="BQ97" s="23">
        <f>EXP(-LN(2)/25)*BQ96+(1-EXP(-LN(2)/25))/(LN(2)/25)*Calculateur!BL97*Calculateur!BN97*VLOOKUP('Données projet'!$B$11,Paramètres!$A$1:$I$89,3,0)*0.475*44/12</f>
        <v>1.6543773304496341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4.3356138930679222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760.1400000000001</v>
      </c>
      <c r="BZ97" s="14">
        <f>BY97*VLOOKUP('Données projet'!$B$12,Paramètres!$A$1:$I$89,3,0)*VLOOKUP('Données projet'!$B$12,Paramètres!$A$1:$I$89,5,0)</f>
        <v>355.74552000000006</v>
      </c>
      <c r="CA97" s="14">
        <f t="shared" si="93"/>
        <v>82.744450026504168</v>
      </c>
      <c r="CB97" s="22">
        <f t="shared" si="64"/>
        <v>763.70336446282818</v>
      </c>
      <c r="CC97" s="62">
        <f t="shared" si="65"/>
        <v>1057.0366977961614</v>
      </c>
      <c r="CD97" s="62">
        <f ca="1">AVERAGE(OFFSET($CC$3,0,0,'Données projet'!$E$12+1,1))-AVERAGE(OFFSET($H$3,0,0,'Données projet'!$E$12+1,1))</f>
        <v>287.12723448949828</v>
      </c>
      <c r="CE97" s="62">
        <f t="shared" si="94"/>
        <v>170.5203352323382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3.2543904090741349</v>
      </c>
      <c r="CL97" s="23">
        <f>EXP(-LN(2)/25)*CL96+(1-EXP(-LN(2)/25))/(LN(2)/25)*Calculateur!CG97*Calculateur!CI97*VLOOKUP('Données projet'!$B$12,Paramètres!$A$1:$I$89,3,0)*0.475*44/12</f>
        <v>15.645097334722097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18.899487743796232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477.12000000000097</v>
      </c>
      <c r="CU97" s="18">
        <f>CT97*VLOOKUP('Données projet'!$B$13,Paramètres!$A$1:$I$89,3,0)*VLOOKUP('Données projet'!$B$13,Paramètres!$A$1:$I$89,5,0)</f>
        <v>461.47046400000096</v>
      </c>
      <c r="CV97" s="14">
        <f t="shared" si="95"/>
        <v>104.13329806929862</v>
      </c>
      <c r="CW97" s="22">
        <f t="shared" si="67"/>
        <v>985.09321893736342</v>
      </c>
      <c r="CX97" s="62">
        <f t="shared" si="68"/>
        <v>1278.4265522706967</v>
      </c>
      <c r="CY97" s="62">
        <f ca="1">AVERAGE(OFFSET($CX$3,0,0,'Données projet'!$E$13+1,1))-AVERAGE(OFFSET($H$3,0,0,'Données projet'!$E$13+1,1))</f>
        <v>467.37715054082025</v>
      </c>
      <c r="CZ97" s="62">
        <f t="shared" si="96"/>
        <v>443.35096563136415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2.8377628571559055</v>
      </c>
      <c r="DG97" s="23">
        <f>EXP(-LN(2)/25)*DG96+(1-EXP(-LN(2)/25))/(LN(2)/25)*Calculateur!DB97*Calculateur!DD97*VLOOKUP('Données projet'!$B$13,Paramètres!$A$1:$I$89,3,0)*0.475*44/12</f>
        <v>2.4810863302029698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5.3188491873588752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477.12000000000097</v>
      </c>
      <c r="DP97" s="18">
        <f>DO97*VLOOKUP('Données projet'!$B$14,Paramètres!$A$1:$I$89,3,0)*VLOOKUP('Données projet'!$B$14,Paramètres!$A$1:$I$89,5,0)</f>
        <v>513.57196800000099</v>
      </c>
      <c r="DQ97" s="14">
        <f t="shared" si="97"/>
        <v>114.45621584436451</v>
      </c>
      <c r="DR97" s="22">
        <f t="shared" si="70"/>
        <v>1093.8157535289363</v>
      </c>
      <c r="DS97" s="62">
        <f t="shared" si="71"/>
        <v>1387.1490868622695</v>
      </c>
      <c r="DT97" s="62">
        <f ca="1">AVERAGE(OFFSET($DS$3,0,0,'Données projet'!$E$14+1,1))-AVERAGE(OFFSET($H$3,0,0,'Données projet'!$E$14+1,1))</f>
        <v>524.51242549438939</v>
      </c>
      <c r="DU97" s="62">
        <f t="shared" si="98"/>
        <v>494.88778446576327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3.1581554378025376</v>
      </c>
      <c r="EB97" s="23">
        <f>EXP(-LN(2)/25)*EB96+(1-EXP(-LN(2)/25))/(LN(2)/25)*Calculateur!DW97*Calculateur!DY97*VLOOKUP('Données projet'!$B$14,Paramètres!$A$1:$I$89,3,0)*0.475*44/12</f>
        <v>2.7612089803871762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5.9193644181897138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444.24697397491065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3.8333333333333286</v>
      </c>
      <c r="N98" s="14">
        <f>IF('Données projet'!$A$36&gt;35,N97+M98-V97,IF(A98&lt;'Données projet'!$A$36,$K$205^A98,IF(A98='Données projet'!$A$36,'Données projet'!$B$36,N97+M98-V97)))</f>
        <v>308.98333333333306</v>
      </c>
      <c r="O98" s="14">
        <f>N98*VLOOKUP('Données projet'!$B$9,Paramètres!$A$1:$I$89,3,0)*VLOOKUP('Données projet'!$B$9,Paramètres!$A$1:$I$89,5,0)</f>
        <v>279.56811999999974</v>
      </c>
      <c r="P98" s="14">
        <f t="shared" si="87"/>
        <v>66.875732024193184</v>
      </c>
      <c r="Q98" s="22">
        <f t="shared" si="54"/>
        <v>603.38970894213583</v>
      </c>
      <c r="R98" s="62">
        <f t="shared" si="55"/>
        <v>896.7230422754692</v>
      </c>
      <c r="S98" s="62">
        <f ca="1">AVERAGE(OFFSET($R$3,0,0,'Données projet'!$E$9+1,1))-AVERAGE(OFFSET($H$3,0,0,'Données projet'!$E$9+1,1))</f>
        <v>299.17641394512162</v>
      </c>
      <c r="T98" s="62">
        <f t="shared" si="88"/>
        <v>180.73046320039873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4.5722525287313998</v>
      </c>
      <c r="AA98" s="23">
        <f>EXP(-LN(2)/25)*AA97+(1-EXP(-LN(2)/25))/(LN(2)/25)*Calculateur!V98*Calculateur!X98*VLOOKUP('Données projet'!$B$9,Paramètres!$A$1:$I$89,3,0)*0.475*44/12</f>
        <v>3.9505835656560149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8.5228360943874151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4.4499999999999984</v>
      </c>
      <c r="AI98" s="14">
        <f>IF('Données projet'!$A$62&gt;35,AI97+AH98-AQ97,IF(A98&lt;'Données projet'!$A$62,$AF$205^A98,IF(A98='Données projet'!$A$62,'Données projet'!$B$62,AI97+AH98-AQ97)))</f>
        <v>300.42999999999932</v>
      </c>
      <c r="AJ98" s="14">
        <f>AI98*VLOOKUP('Données projet'!$B$10,Paramètres!$A$1:$I$89,3,0)*VLOOKUP('Données projet'!$B$10,Paramètres!$A$1:$I$89,5,0)</f>
        <v>304.63601999999935</v>
      </c>
      <c r="AK98" s="14">
        <f t="shared" si="89"/>
        <v>72.147482221039724</v>
      </c>
      <c r="AL98" s="22">
        <f t="shared" si="58"/>
        <v>656.23126636830955</v>
      </c>
      <c r="AM98" s="62">
        <f t="shared" si="59"/>
        <v>949.56459970164292</v>
      </c>
      <c r="AN98" s="62">
        <f ca="1">AVERAGE(OFFSET($AM$3,0,0,'Données projet'!$E$10+1,1))-AVERAGE(OFFSET($H$3,0,0,'Données projet'!$E$10+1,1))</f>
        <v>384.66322295929552</v>
      </c>
      <c r="AO98" s="62">
        <f t="shared" si="90"/>
        <v>248.53970183513286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3.8071320250140648</v>
      </c>
      <c r="AV98" s="23">
        <f>EXP(-LN(2)/25)*AV97+(1-EXP(-LN(2)/25))/(LN(2)/25)*Calculateur!AQ98*Calculateur!AS98*VLOOKUP('Données projet'!$B$10,Paramètres!$A$1:$I$89,3,0)*0.475*44/12</f>
        <v>3.3368953609190841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7.1440273859331489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343.79999999999995</v>
      </c>
      <c r="BE98" s="14">
        <f>BD98*VLOOKUP('Données projet'!$B$11,Paramètres!$A$1:$I$89,3,0)*VLOOKUP('Données projet'!$B$11,Paramètres!$A$1:$I$89,5,0)</f>
        <v>205.5924</v>
      </c>
      <c r="BF98" s="14">
        <f t="shared" si="91"/>
        <v>50.971228364263673</v>
      </c>
      <c r="BG98" s="22">
        <f t="shared" si="61"/>
        <v>446.84831940109251</v>
      </c>
      <c r="BH98" s="62">
        <f t="shared" si="62"/>
        <v>740.18165273442582</v>
      </c>
      <c r="BI98" s="62">
        <f ca="1">AVERAGE(OFFSET($BH$3,0,0,'Données projet'!$E$11+1,1))-AVERAGE(OFFSET($H$3,0,0,'Données projet'!$E$11+1,1))</f>
        <v>146.25807703055079</v>
      </c>
      <c r="BJ98" s="62">
        <f t="shared" si="92"/>
        <v>177.40137940534413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2.6286591490181648</v>
      </c>
      <c r="BQ98" s="23">
        <f>EXP(-LN(2)/25)*BQ97+(1-EXP(-LN(2)/25))/(LN(2)/25)*Calculateur!BL98*Calculateur!BN98*VLOOKUP('Données projet'!$B$11,Paramètres!$A$1:$I$89,3,0)*0.475*44/12</f>
        <v>1.6091382953485662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4.2377974443667306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760.1400000000001</v>
      </c>
      <c r="BZ98" s="14">
        <f>BY98*VLOOKUP('Données projet'!$B$12,Paramètres!$A$1:$I$89,3,0)*VLOOKUP('Données projet'!$B$12,Paramètres!$A$1:$I$89,5,0)</f>
        <v>355.74552000000006</v>
      </c>
      <c r="CA98" s="14">
        <f t="shared" si="93"/>
        <v>82.744450026504168</v>
      </c>
      <c r="CB98" s="22">
        <f t="shared" si="64"/>
        <v>763.70336446282818</v>
      </c>
      <c r="CC98" s="62">
        <f t="shared" si="65"/>
        <v>1057.0366977961614</v>
      </c>
      <c r="CD98" s="62">
        <f ca="1">AVERAGE(OFFSET($CC$3,0,0,'Données projet'!$E$12+1,1))-AVERAGE(OFFSET($H$3,0,0,'Données projet'!$E$12+1,1))</f>
        <v>287.12723448949828</v>
      </c>
      <c r="CE98" s="62">
        <f t="shared" si="94"/>
        <v>170.5203352323382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3.1905737981343401</v>
      </c>
      <c r="CL98" s="23">
        <f>EXP(-LN(2)/25)*CL97+(1-EXP(-LN(2)/25))/(LN(2)/25)*Calculateur!CG98*Calculateur!CI98*VLOOKUP('Données projet'!$B$12,Paramètres!$A$1:$I$89,3,0)*0.475*44/12</f>
        <v>15.21728132536421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18.40785512349855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477.12000000000097</v>
      </c>
      <c r="CU98" s="18">
        <f>CT98*VLOOKUP('Données projet'!$B$13,Paramètres!$A$1:$I$89,3,0)*VLOOKUP('Données projet'!$B$13,Paramètres!$A$1:$I$89,5,0)</f>
        <v>461.47046400000096</v>
      </c>
      <c r="CV98" s="14">
        <f t="shared" si="95"/>
        <v>104.13329806929862</v>
      </c>
      <c r="CW98" s="22">
        <f t="shared" si="67"/>
        <v>985.09321893736342</v>
      </c>
      <c r="CX98" s="62">
        <f t="shared" si="68"/>
        <v>1278.4265522706967</v>
      </c>
      <c r="CY98" s="62">
        <f ca="1">AVERAGE(OFFSET($CX$3,0,0,'Données projet'!$E$13+1,1))-AVERAGE(OFFSET($H$3,0,0,'Données projet'!$E$13+1,1))</f>
        <v>467.37715054082025</v>
      </c>
      <c r="CZ98" s="62">
        <f t="shared" si="96"/>
        <v>443.35096563136415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2.7821160583915123</v>
      </c>
      <c r="DG98" s="23">
        <f>EXP(-LN(2)/25)*DG97+(1-EXP(-LN(2)/25))/(LN(2)/25)*Calculateur!DB98*Calculateur!DD98*VLOOKUP('Données projet'!$B$13,Paramètres!$A$1:$I$89,3,0)*0.475*44/12</f>
        <v>2.4132408940289101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5.1953569524204219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477.12000000000097</v>
      </c>
      <c r="DP98" s="18">
        <f>DO98*VLOOKUP('Données projet'!$B$14,Paramètres!$A$1:$I$89,3,0)*VLOOKUP('Données projet'!$B$14,Paramètres!$A$1:$I$89,5,0)</f>
        <v>513.57196800000099</v>
      </c>
      <c r="DQ98" s="14">
        <f t="shared" si="97"/>
        <v>114.45621584436451</v>
      </c>
      <c r="DR98" s="22">
        <f t="shared" si="70"/>
        <v>1093.8157535289363</v>
      </c>
      <c r="DS98" s="62">
        <f t="shared" si="71"/>
        <v>1387.1490868622695</v>
      </c>
      <c r="DT98" s="62">
        <f ca="1">AVERAGE(OFFSET($DS$3,0,0,'Données projet'!$E$14+1,1))-AVERAGE(OFFSET($H$3,0,0,'Données projet'!$E$14+1,1))</f>
        <v>524.51242549438939</v>
      </c>
      <c r="DU98" s="62">
        <f t="shared" si="98"/>
        <v>494.88778446576327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3.0962259359518423</v>
      </c>
      <c r="EB98" s="23">
        <f>EXP(-LN(2)/25)*EB97+(1-EXP(-LN(2)/25))/(LN(2)/25)*Calculateur!DW98*Calculateur!DY98*VLOOKUP('Données projet'!$B$14,Paramètres!$A$1:$I$89,3,0)*0.475*44/12</f>
        <v>2.6857035756128194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5.7819295115646616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446.17170618380828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3.8333333333333286</v>
      </c>
      <c r="N99" s="14">
        <f>IF('Données projet'!$A$36&gt;35,N98+M99-V98,IF(A99&lt;'Données projet'!$A$36,$K$205^A99,IF(A99='Données projet'!$A$36,'Données projet'!$B$36,N98+M99-V98)))</f>
        <v>312.81666666666638</v>
      </c>
      <c r="O99" s="14">
        <f>N99*VLOOKUP('Données projet'!$B$9,Paramètres!$A$1:$I$89,3,0)*VLOOKUP('Données projet'!$B$9,Paramètres!$A$1:$I$89,5,0)</f>
        <v>283.03651999999971</v>
      </c>
      <c r="P99" s="14">
        <f t="shared" si="87"/>
        <v>67.608309452542642</v>
      </c>
      <c r="Q99" s="22">
        <f t="shared" ref="Q99:Q130" si="107">(O99+P99)*0.475*44/12</f>
        <v>610.70641129651131</v>
      </c>
      <c r="R99" s="62">
        <f t="shared" si="55"/>
        <v>904.03974462984456</v>
      </c>
      <c r="S99" s="62">
        <f ca="1">AVERAGE(OFFSET($R$3,0,0,'Données projet'!$E$9+1,1))-AVERAGE(OFFSET($H$3,0,0,'Données projet'!$E$9+1,1))</f>
        <v>299.17641394512162</v>
      </c>
      <c r="T99" s="62">
        <f t="shared" si="88"/>
        <v>180.73046320039873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4.4825934454416485</v>
      </c>
      <c r="AA99" s="23">
        <f>EXP(-LN(2)/25)*AA98+(1-EXP(-LN(2)/25))/(LN(2)/25)*Calculateur!V99*Calculateur!X99*VLOOKUP('Données projet'!$B$9,Paramètres!$A$1:$I$89,3,0)*0.475*44/12</f>
        <v>3.8425546503009906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8.3251480957426391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4.4499999999999984</v>
      </c>
      <c r="AI99" s="14">
        <f>IF('Données projet'!$A$62&gt;35,AI98+AH99-AQ98,IF(A99&lt;'Données projet'!$A$62,$AF$205^A99,IF(A99='Données projet'!$A$62,'Données projet'!$B$62,AI98+AH99-AQ98)))</f>
        <v>304.87999999999931</v>
      </c>
      <c r="AJ99" s="14">
        <f>AI99*VLOOKUP('Données projet'!$B$10,Paramètres!$A$1:$I$89,3,0)*VLOOKUP('Données projet'!$B$10,Paramètres!$A$1:$I$89,5,0)</f>
        <v>309.14831999999933</v>
      </c>
      <c r="AK99" s="14">
        <f t="shared" si="89"/>
        <v>73.090937021004052</v>
      </c>
      <c r="AL99" s="22">
        <f t="shared" si="58"/>
        <v>665.7333726449142</v>
      </c>
      <c r="AM99" s="62">
        <f t="shared" si="59"/>
        <v>959.06670597824746</v>
      </c>
      <c r="AN99" s="62">
        <f ca="1">AVERAGE(OFFSET($AM$3,0,0,'Données projet'!$E$10+1,1))-AVERAGE(OFFSET($H$3,0,0,'Données projet'!$E$10+1,1))</f>
        <v>384.66322295929552</v>
      </c>
      <c r="AO99" s="62">
        <f t="shared" si="90"/>
        <v>248.53970183513286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3.7324764881247838</v>
      </c>
      <c r="AV99" s="23">
        <f>EXP(-LN(2)/25)*AV98+(1-EXP(-LN(2)/25))/(LN(2)/25)*Calculateur!AQ99*Calculateur!AS99*VLOOKUP('Données projet'!$B$10,Paramètres!$A$1:$I$89,3,0)*0.475*44/12</f>
        <v>3.2456477817950513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6.9781242699198351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343.79999999999995</v>
      </c>
      <c r="BE99" s="14">
        <f>BD99*VLOOKUP('Données projet'!$B$11,Paramètres!$A$1:$I$89,3,0)*VLOOKUP('Données projet'!$B$11,Paramètres!$A$1:$I$89,5,0)</f>
        <v>205.5924</v>
      </c>
      <c r="BF99" s="14">
        <f t="shared" si="91"/>
        <v>50.971228364263673</v>
      </c>
      <c r="BG99" s="22">
        <f t="shared" si="61"/>
        <v>446.84831940109251</v>
      </c>
      <c r="BH99" s="62">
        <f t="shared" si="62"/>
        <v>740.18165273442582</v>
      </c>
      <c r="BI99" s="62">
        <f ca="1">AVERAGE(OFFSET($BH$3,0,0,'Données projet'!$E$11+1,1))-AVERAGE(OFFSET($H$3,0,0,'Données projet'!$E$11+1,1))</f>
        <v>146.25807703055079</v>
      </c>
      <c r="BJ99" s="62">
        <f t="shared" si="92"/>
        <v>177.40137940534413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2.5771127464296844</v>
      </c>
      <c r="BQ99" s="23">
        <f>EXP(-LN(2)/25)*BQ98+(1-EXP(-LN(2)/25))/(LN(2)/25)*Calculateur!BL99*Calculateur!BN99*VLOOKUP('Données projet'!$B$11,Paramètres!$A$1:$I$89,3,0)*0.475*44/12</f>
        <v>1.5651363240413545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4.1422490704710384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760.1400000000001</v>
      </c>
      <c r="BZ99" s="14">
        <f>BY99*VLOOKUP('Données projet'!$B$12,Paramètres!$A$1:$I$89,3,0)*VLOOKUP('Données projet'!$B$12,Paramètres!$A$1:$I$89,5,0)</f>
        <v>355.74552000000006</v>
      </c>
      <c r="CA99" s="14">
        <f t="shared" si="93"/>
        <v>82.744450026504168</v>
      </c>
      <c r="CB99" s="22">
        <f t="shared" si="64"/>
        <v>763.70336446282818</v>
      </c>
      <c r="CC99" s="62">
        <f t="shared" si="65"/>
        <v>1057.0366977961614</v>
      </c>
      <c r="CD99" s="62">
        <f ca="1">AVERAGE(OFFSET($CC$3,0,0,'Données projet'!$E$12+1,1))-AVERAGE(OFFSET($H$3,0,0,'Données projet'!$E$12+1,1))</f>
        <v>287.12723448949828</v>
      </c>
      <c r="CE99" s="62">
        <f t="shared" si="94"/>
        <v>170.5203352323382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3.1280085920107852</v>
      </c>
      <c r="CL99" s="23">
        <f>EXP(-LN(2)/25)*CL98+(1-EXP(-LN(2)/25))/(LN(2)/25)*Calculateur!CG99*Calculateur!CI99*VLOOKUP('Données projet'!$B$12,Paramètres!$A$1:$I$89,3,0)*0.475*44/12</f>
        <v>14.801163967280081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17.929172559290866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477.12000000000097</v>
      </c>
      <c r="CU99" s="18">
        <f>CT99*VLOOKUP('Données projet'!$B$13,Paramètres!$A$1:$I$89,3,0)*VLOOKUP('Données projet'!$B$13,Paramètres!$A$1:$I$89,5,0)</f>
        <v>461.47046400000096</v>
      </c>
      <c r="CV99" s="14">
        <f t="shared" si="95"/>
        <v>104.13329806929862</v>
      </c>
      <c r="CW99" s="22">
        <f t="shared" si="67"/>
        <v>985.09321893736342</v>
      </c>
      <c r="CX99" s="62">
        <f t="shared" si="68"/>
        <v>1278.4265522706967</v>
      </c>
      <c r="CY99" s="62">
        <f ca="1">AVERAGE(OFFSET($CX$3,0,0,'Données projet'!$E$13+1,1))-AVERAGE(OFFSET($H$3,0,0,'Données projet'!$E$13+1,1))</f>
        <v>467.37715054082025</v>
      </c>
      <c r="CZ99" s="62">
        <f t="shared" si="96"/>
        <v>443.35096563136415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2.7275604594096929</v>
      </c>
      <c r="DG99" s="23">
        <f>EXP(-LN(2)/25)*DG98+(1-EXP(-LN(2)/25))/(LN(2)/25)*Calculateur!DB99*Calculateur!DD99*VLOOKUP('Données projet'!$B$13,Paramètres!$A$1:$I$89,3,0)*0.475*44/12</f>
        <v>2.3472506948748664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5.0748111542845589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477.12000000000097</v>
      </c>
      <c r="DP99" s="18">
        <f>DO99*VLOOKUP('Données projet'!$B$14,Paramètres!$A$1:$I$89,3,0)*VLOOKUP('Données projet'!$B$14,Paramètres!$A$1:$I$89,5,0)</f>
        <v>513.57196800000099</v>
      </c>
      <c r="DQ99" s="14">
        <f t="shared" si="97"/>
        <v>114.45621584436451</v>
      </c>
      <c r="DR99" s="22">
        <f t="shared" si="70"/>
        <v>1093.8157535289363</v>
      </c>
      <c r="DS99" s="62">
        <f t="shared" si="71"/>
        <v>1387.1490868622695</v>
      </c>
      <c r="DT99" s="62">
        <f ca="1">AVERAGE(OFFSET($DS$3,0,0,'Données projet'!$E$14+1,1))-AVERAGE(OFFSET($H$3,0,0,'Données projet'!$E$14+1,1))</f>
        <v>524.51242549438939</v>
      </c>
      <c r="DU99" s="62">
        <f t="shared" si="98"/>
        <v>494.88778446576327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3.0355108338591728</v>
      </c>
      <c r="EB99" s="23">
        <f>EXP(-LN(2)/25)*EB98+(1-EXP(-LN(2)/25))/(LN(2)/25)*Calculateur!DW99*Calculateur!DY99*VLOOKUP('Données projet'!$B$14,Paramètres!$A$1:$I$89,3,0)*0.475*44/12</f>
        <v>2.6122628701026742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5.647773703961847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448.09598270912102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>
        <f>VLOOKUP(A100,'Données projet'!$A$35:$I$55,2,0)</f>
        <v>316.64999999999998</v>
      </c>
      <c r="L100" s="13">
        <f>VLOOKUP(A100,'Données projet'!$A$35:$I$55,9,0)</f>
        <v>3.8333333333333286</v>
      </c>
      <c r="M100" s="13">
        <f t="array" ref="M100">INDEX(L:L,MIN(IF(ISNUMBER(L100:L296),ROW(L100:L296),"")))</f>
        <v>3.8333333333333286</v>
      </c>
      <c r="N100" s="14">
        <f>IF('Données projet'!$A$36&gt;35,N99+M100-V99,IF(A100&lt;'Données projet'!$A$36,$K$205^A100,IF(A100='Données projet'!$A$36,'Données projet'!$B$36,N99+M100-V99)))</f>
        <v>316.64999999999969</v>
      </c>
      <c r="O100" s="14">
        <f>N100*VLOOKUP('Données projet'!$B$9,Paramètres!$A$1:$I$89,3,0)*VLOOKUP('Données projet'!$B$9,Paramètres!$A$1:$I$89,5,0)</f>
        <v>286.50491999999974</v>
      </c>
      <c r="P100" s="14">
        <f t="shared" si="87"/>
        <v>68.339842653674282</v>
      </c>
      <c r="Q100" s="22">
        <f t="shared" si="107"/>
        <v>618.02129495514885</v>
      </c>
      <c r="R100" s="62">
        <f t="shared" si="55"/>
        <v>911.35462828848222</v>
      </c>
      <c r="S100" s="62">
        <f ca="1">AVERAGE(OFFSET($R$3,0,0,'Données projet'!$E$9+1,1))-AVERAGE(OFFSET($H$3,0,0,'Données projet'!$E$9+1,1))</f>
        <v>299.17641394512162</v>
      </c>
      <c r="T100" s="62">
        <f t="shared" si="88"/>
        <v>180.73046320039873</v>
      </c>
      <c r="U100" s="16">
        <f>IF(ISNA(VLOOKUP(A100,'Données projet'!$A$35:$I$55,3,0)),0,VLOOKUP(A100,'Données projet'!$A$35:$I$55,3,0))</f>
        <v>7</v>
      </c>
      <c r="V100" s="16">
        <f>IF(ISNA(VLOOKUP(A100,'Données projet'!$A$35:$I$55,4,0)),0,VLOOKUP(A100,'Données projet'!$A$35:$I$55,4,0))</f>
        <v>31.66</v>
      </c>
      <c r="W100" s="17">
        <f>IF(ISNA(VLOOKUP(A100,'Données projet'!$A$35:$I$55,5,0)),0%,VLOOKUP(A100,'Données projet'!$A$35:$I$55,5,0)*VLOOKUP('Données projet'!$B$9,Paramètres!$A$1:$I$89,7,0))</f>
        <v>8.6000000000000007E-2</v>
      </c>
      <c r="X100" s="17">
        <f>IF(ISNA(VLOOKUP(A100,'Données projet'!$A$35:$I$55,6,0)),0%,VLOOKUP(A100,'Données projet'!$A$35:$I$55,6,0)*VLOOKUP('Données projet'!$B$9,Paramètres!$A$1:$I$89,7,0))</f>
        <v>7.7399999999999997E-2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7.1180776661547593</v>
      </c>
      <c r="AA100" s="23">
        <f>EXP(-LN(2)/25)*AA99+(1-EXP(-LN(2)/25))/(LN(2)/25)*Calculateur!V100*Calculateur!X100*VLOOKUP('Données projet'!$B$9,Paramètres!$A$1:$I$89,3,0)*0.475*44/12</f>
        <v>6.1788757164739625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13.296953382628722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>
        <f>VLOOKUP(A100,'Données projet'!$A$61:$I$81,2,0)</f>
        <v>309.33</v>
      </c>
      <c r="AG100" s="13">
        <f>VLOOKUP(A100,'Données projet'!$A$61:$I$81,9,0)</f>
        <v>4.4499999999999984</v>
      </c>
      <c r="AH100" s="13">
        <f t="array" ref="AH100">INDEX(AG:AG,MIN(IF(ISNUMBER(AG100:AG296),ROW(AG100:AG296),"")))</f>
        <v>4.4499999999999984</v>
      </c>
      <c r="AI100" s="14">
        <f>IF('Données projet'!$A$62&gt;35,AI99+AH100-AQ99,IF(A100&lt;'Données projet'!$A$62,$AF$205^A100,IF(A100='Données projet'!$A$62,'Données projet'!$B$62,AI99+AH100-AQ99)))</f>
        <v>309.3299999999993</v>
      </c>
      <c r="AJ100" s="14">
        <f>AI100*VLOOKUP('Données projet'!$B$10,Paramètres!$A$1:$I$89,3,0)*VLOOKUP('Données projet'!$B$10,Paramètres!$A$1:$I$89,5,0)</f>
        <v>313.66061999999931</v>
      </c>
      <c r="AK100" s="14">
        <f t="shared" si="89"/>
        <v>74.032790226404629</v>
      </c>
      <c r="AL100" s="22">
        <f t="shared" si="58"/>
        <v>675.23268947765348</v>
      </c>
      <c r="AM100" s="62">
        <f t="shared" si="59"/>
        <v>968.56602281098685</v>
      </c>
      <c r="AN100" s="62">
        <f ca="1">AVERAGE(OFFSET($AM$3,0,0,'Données projet'!$E$10+1,1))-AVERAGE(OFFSET($H$3,0,0,'Données projet'!$E$10+1,1))</f>
        <v>384.66322295929552</v>
      </c>
      <c r="AO100" s="62">
        <f t="shared" si="90"/>
        <v>248.53970183513286</v>
      </c>
      <c r="AP100" s="16">
        <f>IF(ISNA(VLOOKUP(A100,'Données projet'!$A$61:$I$81,3,0)),0,VLOOKUP(A100,'Données projet'!$A$61:$I$81,3,0))</f>
        <v>7</v>
      </c>
      <c r="AQ100" s="16">
        <f>IF(ISNA(VLOOKUP(A100,'Données projet'!$A$61:$I$81,4,0)),0,VLOOKUP(A100,'Données projet'!$A$61:$I$81,4,0))</f>
        <v>30.93</v>
      </c>
      <c r="AR100" s="17">
        <f>IF(ISNA(VLOOKUP(A100,'Données projet'!$A$61:$I$81,5,0)),0%,VLOOKUP(A100,'Données projet'!$A$61:$I$81,5,0)*VLOOKUP('Données projet'!$B$10,Paramètres!$A$1:$I$89,7,0))</f>
        <v>6.88E-2</v>
      </c>
      <c r="AS100" s="17">
        <f>IF(ISNA(VLOOKUP(A100,'Données projet'!$A$61:$I$81,6,0)),0%,VLOOKUP(A100,'Données projet'!$A$61:$I$81,6,0)*VLOOKUP('Données projet'!$B$10,Paramètres!$A$1:$I$89,7,0))</f>
        <v>6.0200000000000004E-2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6.0446421068202465</v>
      </c>
      <c r="AV100" s="23">
        <f>EXP(-LN(2)/25)*AV99+(1-EXP(-LN(2)/25))/(LN(2)/25)*Calculateur!AQ100*Calculateur!AS100*VLOOKUP('Données projet'!$B$10,Paramètres!$A$1:$I$89,3,0)*0.475*44/12</f>
        <v>5.2358648751212069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11.280506981941453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343.79999999999995</v>
      </c>
      <c r="BE100" s="14">
        <f>BD100*VLOOKUP('Données projet'!$B$11,Paramètres!$A$1:$I$89,3,0)*VLOOKUP('Données projet'!$B$11,Paramètres!$A$1:$I$89,5,0)</f>
        <v>205.5924</v>
      </c>
      <c r="BF100" s="14">
        <f t="shared" si="91"/>
        <v>50.971228364263673</v>
      </c>
      <c r="BG100" s="22">
        <f t="shared" si="61"/>
        <v>446.84831940109251</v>
      </c>
      <c r="BH100" s="62">
        <f t="shared" si="62"/>
        <v>740.18165273442582</v>
      </c>
      <c r="BI100" s="62">
        <f ca="1">AVERAGE(OFFSET($BH$3,0,0,'Données projet'!$E$11+1,1))-AVERAGE(OFFSET($H$3,0,0,'Données projet'!$E$11+1,1))</f>
        <v>146.25807703055079</v>
      </c>
      <c r="BJ100" s="62">
        <f t="shared" si="92"/>
        <v>177.40137940534413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2.5265771373557628</v>
      </c>
      <c r="BQ100" s="23">
        <f>EXP(-LN(2)/25)*BQ99+(1-EXP(-LN(2)/25))/(LN(2)/25)*Calculateur!BL100*Calculateur!BN100*VLOOKUP('Données projet'!$B$11,Paramètres!$A$1:$I$89,3,0)*0.475*44/12</f>
        <v>1.5223375889535016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4.0489147263092642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760.1400000000001</v>
      </c>
      <c r="BZ100" s="14">
        <f>BY100*VLOOKUP('Données projet'!$B$12,Paramètres!$A$1:$I$89,3,0)*VLOOKUP('Données projet'!$B$12,Paramètres!$A$1:$I$89,5,0)</f>
        <v>355.74552000000006</v>
      </c>
      <c r="CA100" s="14">
        <f t="shared" si="93"/>
        <v>82.744450026504168</v>
      </c>
      <c r="CB100" s="22">
        <f t="shared" si="64"/>
        <v>763.70336446282818</v>
      </c>
      <c r="CC100" s="62">
        <f t="shared" si="65"/>
        <v>1057.0366977961614</v>
      </c>
      <c r="CD100" s="62">
        <f ca="1">AVERAGE(OFFSET($CC$3,0,0,'Données projet'!$E$12+1,1))-AVERAGE(OFFSET($H$3,0,0,'Données projet'!$E$12+1,1))</f>
        <v>287.12723448949828</v>
      </c>
      <c r="CE100" s="62">
        <f t="shared" si="94"/>
        <v>170.5203352323382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3.0666702514183055</v>
      </c>
      <c r="CL100" s="23">
        <f>EXP(-LN(2)/25)*CL99+(1-EXP(-LN(2)/25))/(LN(2)/25)*Calculateur!CG100*Calculateur!CI100*VLOOKUP('Données projet'!$B$12,Paramètres!$A$1:$I$89,3,0)*0.475*44/12</f>
        <v>14.396425360235423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17.463095611653728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477.12000000000097</v>
      </c>
      <c r="CU100" s="18">
        <f>CT100*VLOOKUP('Données projet'!$B$13,Paramètres!$A$1:$I$89,3,0)*VLOOKUP('Données projet'!$B$13,Paramètres!$A$1:$I$89,5,0)</f>
        <v>461.47046400000096</v>
      </c>
      <c r="CV100" s="14">
        <f t="shared" si="95"/>
        <v>104.13329806929862</v>
      </c>
      <c r="CW100" s="22">
        <f t="shared" si="67"/>
        <v>985.09321893736342</v>
      </c>
      <c r="CX100" s="62">
        <f t="shared" si="68"/>
        <v>1278.4265522706967</v>
      </c>
      <c r="CY100" s="62">
        <f ca="1">AVERAGE(OFFSET($CX$3,0,0,'Données projet'!$E$13+1,1))-AVERAGE(OFFSET($H$3,0,0,'Données projet'!$E$13+1,1))</f>
        <v>467.37715054082025</v>
      </c>
      <c r="CZ100" s="62">
        <f t="shared" si="96"/>
        <v>443.35096563136415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2.6740746624482776</v>
      </c>
      <c r="DG100" s="23">
        <f>EXP(-LN(2)/25)*DG99+(1-EXP(-LN(2)/25))/(LN(2)/25)*Calculateur!DB100*Calculateur!DD100*VLOOKUP('Données projet'!$B$13,Paramètres!$A$1:$I$89,3,0)*0.475*44/12</f>
        <v>2.283065001186964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4.9571396636352416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477.12000000000097</v>
      </c>
      <c r="DP100" s="18">
        <f>DO100*VLOOKUP('Données projet'!$B$14,Paramètres!$A$1:$I$89,3,0)*VLOOKUP('Données projet'!$B$14,Paramètres!$A$1:$I$89,5,0)</f>
        <v>513.57196800000099</v>
      </c>
      <c r="DQ100" s="14">
        <f t="shared" si="97"/>
        <v>114.45621584436451</v>
      </c>
      <c r="DR100" s="22">
        <f t="shared" si="70"/>
        <v>1093.8157535289363</v>
      </c>
      <c r="DS100" s="62">
        <f t="shared" si="71"/>
        <v>1387.1490868622695</v>
      </c>
      <c r="DT100" s="62">
        <f ca="1">AVERAGE(OFFSET($DS$3,0,0,'Données projet'!$E$14+1,1))-AVERAGE(OFFSET($H$3,0,0,'Données projet'!$E$14+1,1))</f>
        <v>524.51242549438939</v>
      </c>
      <c r="DU100" s="62">
        <f t="shared" si="98"/>
        <v>494.88778446576327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2.9759863178859849</v>
      </c>
      <c r="EB100" s="23">
        <f>EXP(-LN(2)/25)*EB99+(1-EXP(-LN(2)/25))/(LN(2)/25)*Calculateur!DW100*Calculateur!DY100*VLOOKUP('Données projet'!$B$14,Paramètres!$A$1:$I$89,3,0)*0.475*44/12</f>
        <v>2.5408304045467824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5.5168167224327673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450.01980879247901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3.1741666666666695</v>
      </c>
      <c r="N101" s="14">
        <f>IF('Données projet'!$A$36&gt;35,N100+M101-V100,IF(A101&lt;'Données projet'!$A$36,$K$205^A101,IF(A101='Données projet'!$A$36,'Données projet'!$B$36,N100+M101-V100)))</f>
        <v>288.16416666666635</v>
      </c>
      <c r="O101" s="14">
        <f>N101*VLOOKUP('Données projet'!$B$9,Paramètres!$A$1:$I$89,3,0)*VLOOKUP('Données projet'!$B$9,Paramètres!$A$1:$I$89,5,0)</f>
        <v>260.7309379999997</v>
      </c>
      <c r="P101" s="14">
        <f t="shared" si="87"/>
        <v>62.878158933833696</v>
      </c>
      <c r="Q101" s="22">
        <f t="shared" si="107"/>
        <v>563.61917715975972</v>
      </c>
      <c r="R101" s="62">
        <f t="shared" si="55"/>
        <v>856.95251049309309</v>
      </c>
      <c r="S101" s="62">
        <f ca="1">AVERAGE(OFFSET($R$3,0,0,'Données projet'!$E$9+1,1))-AVERAGE(OFFSET($H$3,0,0,'Données projet'!$E$9+1,1))</f>
        <v>299.17641394512162</v>
      </c>
      <c r="T101" s="62">
        <f t="shared" si="88"/>
        <v>180.73046320039873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6.9784965047201437</v>
      </c>
      <c r="AA101" s="23">
        <f>EXP(-LN(2)/25)*AA100+(1-EXP(-LN(2)/25))/(LN(2)/25)*Calculateur!V101*Calculateur!X101*VLOOKUP('Données projet'!$B$9,Paramètres!$A$1:$I$89,3,0)*0.475*44/12</f>
        <v>6.0099140350740301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12.988410539794174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4.4500000000000028</v>
      </c>
      <c r="AI101" s="14">
        <f>IF('Données projet'!$A$62&gt;35,AI100+AH101-AQ100,IF(A101&lt;'Données projet'!$A$62,$AF$205^A101,IF(A101='Données projet'!$A$62,'Données projet'!$B$62,AI100+AH101-AQ100)))</f>
        <v>282.84999999999928</v>
      </c>
      <c r="AJ101" s="14">
        <f>AI101*VLOOKUP('Données projet'!$B$10,Paramètres!$A$1:$I$89,3,0)*VLOOKUP('Données projet'!$B$10,Paramètres!$A$1:$I$89,5,0)</f>
        <v>286.80989999999929</v>
      </c>
      <c r="AK101" s="14">
        <f t="shared" si="89"/>
        <v>68.404117650153026</v>
      </c>
      <c r="AL101" s="22">
        <f t="shared" si="58"/>
        <v>618.66441407401521</v>
      </c>
      <c r="AM101" s="62">
        <f t="shared" si="59"/>
        <v>911.99774740734847</v>
      </c>
      <c r="AN101" s="62">
        <f ca="1">AVERAGE(OFFSET($AM$3,0,0,'Données projet'!$E$10+1,1))-AVERAGE(OFFSET($H$3,0,0,'Données projet'!$E$10+1,1))</f>
        <v>384.66322295929552</v>
      </c>
      <c r="AO101" s="62">
        <f t="shared" si="90"/>
        <v>248.53970183513286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5.926110361973139</v>
      </c>
      <c r="AV101" s="23">
        <f>EXP(-LN(2)/25)*AV100+(1-EXP(-LN(2)/25))/(LN(2)/25)*Calculateur!AQ101*Calculateur!AS101*VLOOKUP('Données projet'!$B$10,Paramètres!$A$1:$I$89,3,0)*0.475*44/12</f>
        <v>5.0926898747688503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11.018800236741988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343.79999999999995</v>
      </c>
      <c r="BE101" s="14">
        <f>BD101*VLOOKUP('Données projet'!$B$11,Paramètres!$A$1:$I$89,3,0)*VLOOKUP('Données projet'!$B$11,Paramètres!$A$1:$I$89,5,0)</f>
        <v>205.5924</v>
      </c>
      <c r="BF101" s="14">
        <f t="shared" si="91"/>
        <v>50.971228364263673</v>
      </c>
      <c r="BG101" s="22">
        <f t="shared" si="61"/>
        <v>446.84831940109251</v>
      </c>
      <c r="BH101" s="62">
        <f t="shared" si="62"/>
        <v>740.18165273442582</v>
      </c>
      <c r="BI101" s="62">
        <f ca="1">AVERAGE(OFFSET($BH$3,0,0,'Données projet'!$E$11+1,1))-AVERAGE(OFFSET($H$3,0,0,'Données projet'!$E$11+1,1))</f>
        <v>146.25807703055079</v>
      </c>
      <c r="BJ101" s="62">
        <f t="shared" si="92"/>
        <v>177.40137940534413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2.4770325007521032</v>
      </c>
      <c r="BQ101" s="23">
        <f>EXP(-LN(2)/25)*BQ100+(1-EXP(-LN(2)/25))/(LN(2)/25)*Calculateur!BL101*Calculateur!BN101*VLOOKUP('Données projet'!$B$11,Paramètres!$A$1:$I$89,3,0)*0.475*44/12</f>
        <v>1.4807091875273137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3.957741688279417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760.1400000000001</v>
      </c>
      <c r="BZ101" s="14">
        <f>BY101*VLOOKUP('Données projet'!$B$12,Paramètres!$A$1:$I$89,3,0)*VLOOKUP('Données projet'!$B$12,Paramètres!$A$1:$I$89,5,0)</f>
        <v>355.74552000000006</v>
      </c>
      <c r="CA101" s="14">
        <f t="shared" si="93"/>
        <v>82.744450026504168</v>
      </c>
      <c r="CB101" s="22">
        <f t="shared" si="64"/>
        <v>763.70336446282818</v>
      </c>
      <c r="CC101" s="62">
        <f t="shared" si="65"/>
        <v>1057.0366977961614</v>
      </c>
      <c r="CD101" s="62">
        <f ca="1">AVERAGE(OFFSET($CC$3,0,0,'Données projet'!$E$12+1,1))-AVERAGE(OFFSET($H$3,0,0,'Données projet'!$E$12+1,1))</f>
        <v>287.12723448949828</v>
      </c>
      <c r="CE101" s="62">
        <f t="shared" si="94"/>
        <v>170.5203352323382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3.0065347182721509</v>
      </c>
      <c r="CL101" s="23">
        <f>EXP(-LN(2)/25)*CL100+(1-EXP(-LN(2)/25))/(LN(2)/25)*Calculateur!CG101*Calculateur!CI101*VLOOKUP('Données projet'!$B$12,Paramètres!$A$1:$I$89,3,0)*0.475*44/12</f>
        <v>14.002754351684679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17.009289069956829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477.12000000000097</v>
      </c>
      <c r="CU101" s="18">
        <f>CT101*VLOOKUP('Données projet'!$B$13,Paramètres!$A$1:$I$89,3,0)*VLOOKUP('Données projet'!$B$13,Paramètres!$A$1:$I$89,5,0)</f>
        <v>461.47046400000096</v>
      </c>
      <c r="CV101" s="14">
        <f t="shared" si="95"/>
        <v>104.13329806929862</v>
      </c>
      <c r="CW101" s="22">
        <f t="shared" si="67"/>
        <v>985.09321893736342</v>
      </c>
      <c r="CX101" s="62">
        <f t="shared" si="68"/>
        <v>1278.4265522706967</v>
      </c>
      <c r="CY101" s="62">
        <f ca="1">AVERAGE(OFFSET($CX$3,0,0,'Données projet'!$E$13+1,1))-AVERAGE(OFFSET($H$3,0,0,'Données projet'!$E$13+1,1))</f>
        <v>467.37715054082025</v>
      </c>
      <c r="CZ101" s="62">
        <f t="shared" si="96"/>
        <v>443.35096563136415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2.6216376893421609</v>
      </c>
      <c r="DG101" s="23">
        <f>EXP(-LN(2)/25)*DG100+(1-EXP(-LN(2)/25))/(LN(2)/25)*Calculateur!DB101*Calculateur!DD101*VLOOKUP('Données projet'!$B$13,Paramètres!$A$1:$I$89,3,0)*0.475*44/12</f>
        <v>2.2206344686683361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4.8422721580104966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477.12000000000097</v>
      </c>
      <c r="DP101" s="18">
        <f>DO101*VLOOKUP('Données projet'!$B$14,Paramètres!$A$1:$I$89,3,0)*VLOOKUP('Données projet'!$B$14,Paramètres!$A$1:$I$89,5,0)</f>
        <v>513.57196800000099</v>
      </c>
      <c r="DQ101" s="14">
        <f t="shared" si="97"/>
        <v>114.45621584436451</v>
      </c>
      <c r="DR101" s="22">
        <f t="shared" si="70"/>
        <v>1093.8157535289363</v>
      </c>
      <c r="DS101" s="62">
        <f t="shared" si="71"/>
        <v>1387.1490868622695</v>
      </c>
      <c r="DT101" s="62">
        <f ca="1">AVERAGE(OFFSET($DS$3,0,0,'Données projet'!$E$14+1,1))-AVERAGE(OFFSET($H$3,0,0,'Données projet'!$E$14+1,1))</f>
        <v>524.51242549438939</v>
      </c>
      <c r="DU101" s="62">
        <f t="shared" si="98"/>
        <v>494.88778446576327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2.9176290413646613</v>
      </c>
      <c r="EB101" s="23">
        <f>EXP(-LN(2)/25)*EB100+(1-EXP(-LN(2)/25))/(LN(2)/25)*Calculateur!DW101*Calculateur!DY101*VLOOKUP('Données projet'!$B$14,Paramètres!$A$1:$I$89,3,0)*0.475*44/12</f>
        <v>2.4713512635179868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5.3889803048826481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451.94318956237618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3.1741666666666695</v>
      </c>
      <c r="N102" s="14">
        <f>IF('Données projet'!$A$36&gt;35,N101+M102-V101,IF(A102&lt;'Données projet'!$A$36,$K$205^A102,IF(A102='Données projet'!$A$36,'Données projet'!$B$36,N101+M102-V101)))</f>
        <v>291.33833333333303</v>
      </c>
      <c r="O102" s="14">
        <f>N102*VLOOKUP('Données projet'!$B$9,Paramètres!$A$1:$I$89,3,0)*VLOOKUP('Données projet'!$B$9,Paramètres!$A$1:$I$89,5,0)</f>
        <v>263.60292399999969</v>
      </c>
      <c r="P102" s="14">
        <f t="shared" si="87"/>
        <v>63.489759535615285</v>
      </c>
      <c r="Q102" s="22">
        <f t="shared" si="107"/>
        <v>569.68642382452936</v>
      </c>
      <c r="R102" s="62">
        <f t="shared" si="55"/>
        <v>863.01975715786261</v>
      </c>
      <c r="S102" s="62">
        <f ca="1">AVERAGE(OFFSET($R$3,0,0,'Données projet'!$E$9+1,1))-AVERAGE(OFFSET($H$3,0,0,'Données projet'!$E$9+1,1))</f>
        <v>299.17641394512162</v>
      </c>
      <c r="T102" s="62">
        <f t="shared" si="88"/>
        <v>180.73046320039873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6.8416524447251588</v>
      </c>
      <c r="AA102" s="23">
        <f>EXP(-LN(2)/25)*AA101+(1-EXP(-LN(2)/25))/(LN(2)/25)*Calculateur!V102*Calculateur!X102*VLOOKUP('Données projet'!$B$9,Paramètres!$A$1:$I$89,3,0)*0.475*44/12</f>
        <v>5.8455726197372879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12.687225064462446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4.4500000000000028</v>
      </c>
      <c r="AI102" s="14">
        <f>IF('Données projet'!$A$62&gt;35,AI101+AH102-AQ101,IF(A102&lt;'Données projet'!$A$62,$AF$205^A102,IF(A102='Données projet'!$A$62,'Données projet'!$B$62,AI101+AH102-AQ101)))</f>
        <v>287.29999999999927</v>
      </c>
      <c r="AJ102" s="14">
        <f>AI102*VLOOKUP('Données projet'!$B$10,Paramètres!$A$1:$I$89,3,0)*VLOOKUP('Données projet'!$B$10,Paramètres!$A$1:$I$89,5,0)</f>
        <v>291.32219999999927</v>
      </c>
      <c r="AK102" s="14">
        <f t="shared" si="89"/>
        <v>69.354167185765021</v>
      </c>
      <c r="AL102" s="22">
        <f t="shared" si="58"/>
        <v>628.17800618187289</v>
      </c>
      <c r="AM102" s="62">
        <f t="shared" si="59"/>
        <v>921.51133951520615</v>
      </c>
      <c r="AN102" s="62">
        <f ca="1">AVERAGE(OFFSET($AM$3,0,0,'Données projet'!$E$10+1,1))-AVERAGE(OFFSET($H$3,0,0,'Données projet'!$E$10+1,1))</f>
        <v>384.66322295929552</v>
      </c>
      <c r="AO102" s="62">
        <f t="shared" si="90"/>
        <v>248.53970183513286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5.809902952345257</v>
      </c>
      <c r="AV102" s="23">
        <f>EXP(-LN(2)/25)*AV101+(1-EXP(-LN(2)/25))/(LN(2)/25)*Calculateur!AQ102*Calculateur!AS102*VLOOKUP('Données projet'!$B$10,Paramètres!$A$1:$I$89,3,0)*0.475*44/12</f>
        <v>4.953430002330375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10.763332954675633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343.79999999999995</v>
      </c>
      <c r="BE102" s="14">
        <f>BD102*VLOOKUP('Données projet'!$B$11,Paramètres!$A$1:$I$89,3,0)*VLOOKUP('Données projet'!$B$11,Paramètres!$A$1:$I$89,5,0)</f>
        <v>205.5924</v>
      </c>
      <c r="BF102" s="14">
        <f t="shared" si="91"/>
        <v>50.971228364263673</v>
      </c>
      <c r="BG102" s="22">
        <f t="shared" si="61"/>
        <v>446.84831940109251</v>
      </c>
      <c r="BH102" s="62">
        <f t="shared" si="62"/>
        <v>740.18165273442582</v>
      </c>
      <c r="BI102" s="62">
        <f ca="1">AVERAGE(OFFSET($BH$3,0,0,'Données projet'!$E$11+1,1))-AVERAGE(OFFSET($H$3,0,0,'Données projet'!$E$11+1,1))</f>
        <v>146.25807703055079</v>
      </c>
      <c r="BJ102" s="62">
        <f t="shared" si="92"/>
        <v>177.40137940534413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2.428459404252997</v>
      </c>
      <c r="BQ102" s="23">
        <f>EXP(-LN(2)/25)*BQ101+(1-EXP(-LN(2)/25))/(LN(2)/25)*Calculateur!BL102*Calculateur!BN102*VLOOKUP('Données projet'!$B$11,Paramètres!$A$1:$I$89,3,0)*0.475*44/12</f>
        <v>1.4402191169272673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3.8686785211802643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760.1400000000001</v>
      </c>
      <c r="BZ102" s="14">
        <f>BY102*VLOOKUP('Données projet'!$B$12,Paramètres!$A$1:$I$89,3,0)*VLOOKUP('Données projet'!$B$12,Paramètres!$A$1:$I$89,5,0)</f>
        <v>355.74552000000006</v>
      </c>
      <c r="CA102" s="14">
        <f t="shared" si="93"/>
        <v>82.744450026504168</v>
      </c>
      <c r="CB102" s="22">
        <f t="shared" si="64"/>
        <v>763.70336446282818</v>
      </c>
      <c r="CC102" s="62">
        <f t="shared" si="65"/>
        <v>1057.0366977961614</v>
      </c>
      <c r="CD102" s="62">
        <f ca="1">AVERAGE(OFFSET($CC$3,0,0,'Données projet'!$E$12+1,1))-AVERAGE(OFFSET($H$3,0,0,'Données projet'!$E$12+1,1))</f>
        <v>287.12723448949828</v>
      </c>
      <c r="CE102" s="62">
        <f t="shared" si="94"/>
        <v>170.5203352323382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2.9475784062519388</v>
      </c>
      <c r="CL102" s="23">
        <f>EXP(-LN(2)/25)*CL101+(1-EXP(-LN(2)/25))/(LN(2)/25)*Calculateur!CG102*Calculateur!CI102*VLOOKUP('Données projet'!$B$12,Paramètres!$A$1:$I$89,3,0)*0.475*44/12</f>
        <v>13.619848297565014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16.567426703816952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477.12000000000097</v>
      </c>
      <c r="CU102" s="18">
        <f>CT102*VLOOKUP('Données projet'!$B$13,Paramètres!$A$1:$I$89,3,0)*VLOOKUP('Données projet'!$B$13,Paramètres!$A$1:$I$89,5,0)</f>
        <v>461.47046400000096</v>
      </c>
      <c r="CV102" s="14">
        <f t="shared" si="95"/>
        <v>104.13329806929862</v>
      </c>
      <c r="CW102" s="22">
        <f t="shared" si="67"/>
        <v>985.09321893736342</v>
      </c>
      <c r="CX102" s="62">
        <f t="shared" si="68"/>
        <v>1278.4265522706967</v>
      </c>
      <c r="CY102" s="62">
        <f ca="1">AVERAGE(OFFSET($CX$3,0,0,'Données projet'!$E$13+1,1))-AVERAGE(OFFSET($H$3,0,0,'Données projet'!$E$13+1,1))</f>
        <v>467.37715054082025</v>
      </c>
      <c r="CZ102" s="62">
        <f t="shared" si="96"/>
        <v>443.35096563136415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2.5702289732952592</v>
      </c>
      <c r="DG102" s="23">
        <f>EXP(-LN(2)/25)*DG101+(1-EXP(-LN(2)/25))/(LN(2)/25)*Calculateur!DB102*Calculateur!DD102*VLOOKUP('Données projet'!$B$13,Paramètres!$A$1:$I$89,3,0)*0.475*44/12</f>
        <v>2.159911102344509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4.7301400756397687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477.12000000000097</v>
      </c>
      <c r="DP102" s="18">
        <f>DO102*VLOOKUP('Données projet'!$B$14,Paramètres!$A$1:$I$89,3,0)*VLOOKUP('Données projet'!$B$14,Paramètres!$A$1:$I$89,5,0)</f>
        <v>513.57196800000099</v>
      </c>
      <c r="DQ102" s="14">
        <f t="shared" si="97"/>
        <v>114.45621584436451</v>
      </c>
      <c r="DR102" s="22">
        <f t="shared" si="70"/>
        <v>1093.8157535289363</v>
      </c>
      <c r="DS102" s="62">
        <f t="shared" si="71"/>
        <v>1387.1490868622695</v>
      </c>
      <c r="DT102" s="62">
        <f ca="1">AVERAGE(OFFSET($DS$3,0,0,'Données projet'!$E$14+1,1))-AVERAGE(OFFSET($H$3,0,0,'Données projet'!$E$14+1,1))</f>
        <v>524.51242549438939</v>
      </c>
      <c r="DU102" s="62">
        <f t="shared" si="98"/>
        <v>494.88778446576327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2.8604161154414967</v>
      </c>
      <c r="EB102" s="23">
        <f>EXP(-LN(2)/25)*EB101+(1-EXP(-LN(2)/25))/(LN(2)/25)*Calculateur!DW102*Calculateur!DY102*VLOOKUP('Données projet'!$B$14,Paramètres!$A$1:$I$89,3,0)*0.475*44/12</f>
        <v>2.4037720332543731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5.2641881486958697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453.86613003772942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3.1741666666666695</v>
      </c>
      <c r="N103" s="14">
        <f>IF('Données projet'!$A$36&gt;35,N102+M103-V102,IF(A103&lt;'Données projet'!$A$36,$K$205^A103,IF(A103='Données projet'!$A$36,'Données projet'!$B$36,N102+M103-V102)))</f>
        <v>294.5124999999997</v>
      </c>
      <c r="O103" s="14">
        <f>N103*VLOOKUP('Données projet'!$B$9,Paramètres!$A$1:$I$89,3,0)*VLOOKUP('Données projet'!$B$9,Paramètres!$A$1:$I$89,5,0)</f>
        <v>266.47490999999974</v>
      </c>
      <c r="P103" s="14">
        <f t="shared" si="87"/>
        <v>64.100584985684137</v>
      </c>
      <c r="Q103" s="22">
        <f t="shared" si="107"/>
        <v>575.7523204333994</v>
      </c>
      <c r="R103" s="62">
        <f t="shared" si="55"/>
        <v>869.08565376673278</v>
      </c>
      <c r="S103" s="62">
        <f ca="1">AVERAGE(OFFSET($R$3,0,0,'Données projet'!$E$9+1,1))-AVERAGE(OFFSET($H$3,0,0,'Données projet'!$E$9+1,1))</f>
        <v>299.17641394512162</v>
      </c>
      <c r="T103" s="62">
        <f t="shared" si="88"/>
        <v>180.73046320039873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6.7074918132800407</v>
      </c>
      <c r="AA103" s="23">
        <f>EXP(-LN(2)/25)*AA102+(1-EXP(-LN(2)/25))/(LN(2)/25)*Calculateur!V103*Calculateur!X103*VLOOKUP('Données projet'!$B$9,Paramètres!$A$1:$I$89,3,0)*0.475*44/12</f>
        <v>5.6857251290452684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12.39321694232531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4.4500000000000028</v>
      </c>
      <c r="AI103" s="14">
        <f>IF('Données projet'!$A$62&gt;35,AI102+AH103-AQ102,IF(A103&lt;'Données projet'!$A$62,$AF$205^A103,IF(A103='Données projet'!$A$62,'Données projet'!$B$62,AI102+AH103-AQ102)))</f>
        <v>291.74999999999926</v>
      </c>
      <c r="AJ103" s="14">
        <f>AI103*VLOOKUP('Données projet'!$B$10,Paramètres!$A$1:$I$89,3,0)*VLOOKUP('Données projet'!$B$10,Paramètres!$A$1:$I$89,5,0)</f>
        <v>295.83449999999931</v>
      </c>
      <c r="AK103" s="14">
        <f t="shared" si="89"/>
        <v>70.302505325288479</v>
      </c>
      <c r="AL103" s="22">
        <f t="shared" si="58"/>
        <v>637.68861760820948</v>
      </c>
      <c r="AM103" s="62">
        <f t="shared" si="59"/>
        <v>931.02195094154285</v>
      </c>
      <c r="AN103" s="62">
        <f ca="1">AVERAGE(OFFSET($AM$3,0,0,'Données projet'!$E$10+1,1))-AVERAGE(OFFSET($H$3,0,0,'Données projet'!$E$10+1,1))</f>
        <v>384.66322295929552</v>
      </c>
      <c r="AO103" s="62">
        <f t="shared" si="90"/>
        <v>248.53970183513286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5.6959742991406568</v>
      </c>
      <c r="AV103" s="23">
        <f>EXP(-LN(2)/25)*AV102+(1-EXP(-LN(2)/25))/(LN(2)/25)*Calculateur!AQ103*Calculateur!AS103*VLOOKUP('Données projet'!$B$10,Paramètres!$A$1:$I$89,3,0)*0.475*44/12</f>
        <v>4.8179781984270882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10.513952497567745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343.79999999999995</v>
      </c>
      <c r="BE103" s="14">
        <f>BD103*VLOOKUP('Données projet'!$B$11,Paramètres!$A$1:$I$89,3,0)*VLOOKUP('Données projet'!$B$11,Paramètres!$A$1:$I$89,5,0)</f>
        <v>205.5924</v>
      </c>
      <c r="BF103" s="14">
        <f t="shared" si="91"/>
        <v>50.971228364263673</v>
      </c>
      <c r="BG103" s="22">
        <f t="shared" si="61"/>
        <v>446.84831940109251</v>
      </c>
      <c r="BH103" s="62">
        <f t="shared" si="62"/>
        <v>740.18165273442582</v>
      </c>
      <c r="BI103" s="62">
        <f ca="1">AVERAGE(OFFSET($BH$3,0,0,'Données projet'!$E$11+1,1))-AVERAGE(OFFSET($H$3,0,0,'Données projet'!$E$11+1,1))</f>
        <v>146.25807703055079</v>
      </c>
      <c r="BJ103" s="62">
        <f t="shared" si="92"/>
        <v>177.40137940534413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2.3808387965495745</v>
      </c>
      <c r="BQ103" s="23">
        <f>EXP(-LN(2)/25)*BQ102+(1-EXP(-LN(2)/25))/(LN(2)/25)*Calculateur!BL103*Calculateur!BN103*VLOOKUP('Données projet'!$B$11,Paramètres!$A$1:$I$89,3,0)*0.475*44/12</f>
        <v>1.4008362494370594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3.781675045986634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760.1400000000001</v>
      </c>
      <c r="BZ103" s="14">
        <f>BY103*VLOOKUP('Données projet'!$B$12,Paramètres!$A$1:$I$89,3,0)*VLOOKUP('Données projet'!$B$12,Paramètres!$A$1:$I$89,5,0)</f>
        <v>355.74552000000006</v>
      </c>
      <c r="CA103" s="14">
        <f t="shared" si="93"/>
        <v>82.744450026504168</v>
      </c>
      <c r="CB103" s="22">
        <f t="shared" si="64"/>
        <v>763.70336446282818</v>
      </c>
      <c r="CC103" s="62">
        <f t="shared" si="65"/>
        <v>1057.0366977961614</v>
      </c>
      <c r="CD103" s="62">
        <f ca="1">AVERAGE(OFFSET($CC$3,0,0,'Données projet'!$E$12+1,1))-AVERAGE(OFFSET($H$3,0,0,'Données projet'!$E$12+1,1))</f>
        <v>287.12723448949828</v>
      </c>
      <c r="CE103" s="62">
        <f t="shared" si="94"/>
        <v>170.5203352323382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2.8897781915506435</v>
      </c>
      <c r="CL103" s="23">
        <f>EXP(-LN(2)/25)*CL102+(1-EXP(-LN(2)/25))/(LN(2)/25)*Calculateur!CG103*Calculateur!CI103*VLOOKUP('Données projet'!$B$12,Paramètres!$A$1:$I$89,3,0)*0.475*44/12</f>
        <v>13.247412829631404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16.137191021182048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477.12000000000097</v>
      </c>
      <c r="CU103" s="18">
        <f>CT103*VLOOKUP('Données projet'!$B$13,Paramètres!$A$1:$I$89,3,0)*VLOOKUP('Données projet'!$B$13,Paramètres!$A$1:$I$89,5,0)</f>
        <v>461.47046400000096</v>
      </c>
      <c r="CV103" s="14">
        <f t="shared" si="95"/>
        <v>104.13329806929862</v>
      </c>
      <c r="CW103" s="22">
        <f t="shared" si="67"/>
        <v>985.09321893736342</v>
      </c>
      <c r="CX103" s="62">
        <f t="shared" si="68"/>
        <v>1278.4265522706967</v>
      </c>
      <c r="CY103" s="62">
        <f ca="1">AVERAGE(OFFSET($CX$3,0,0,'Données projet'!$E$13+1,1))-AVERAGE(OFFSET($H$3,0,0,'Données projet'!$E$13+1,1))</f>
        <v>467.37715054082025</v>
      </c>
      <c r="CZ103" s="62">
        <f t="shared" si="96"/>
        <v>443.35096563136415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2.5198283508138171</v>
      </c>
      <c r="DG103" s="23">
        <f>EXP(-LN(2)/25)*DG102+(1-EXP(-LN(2)/25))/(LN(2)/25)*Calculateur!DB103*Calculateur!DD103*VLOOKUP('Données projet'!$B$13,Paramètres!$A$1:$I$89,3,0)*0.475*44/12</f>
        <v>2.1008482196661102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4.6206765704799277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477.12000000000097</v>
      </c>
      <c r="DP103" s="18">
        <f>DO103*VLOOKUP('Données projet'!$B$14,Paramètres!$A$1:$I$89,3,0)*VLOOKUP('Données projet'!$B$14,Paramètres!$A$1:$I$89,5,0)</f>
        <v>513.57196800000099</v>
      </c>
      <c r="DQ103" s="14">
        <f t="shared" si="97"/>
        <v>114.45621584436451</v>
      </c>
      <c r="DR103" s="22">
        <f t="shared" si="70"/>
        <v>1093.8157535289363</v>
      </c>
      <c r="DS103" s="62">
        <f t="shared" si="71"/>
        <v>1387.1490868622695</v>
      </c>
      <c r="DT103" s="62">
        <f ca="1">AVERAGE(OFFSET($DS$3,0,0,'Données projet'!$E$14+1,1))-AVERAGE(OFFSET($H$3,0,0,'Données projet'!$E$14+1,1))</f>
        <v>524.51242549438939</v>
      </c>
      <c r="DU103" s="62">
        <f t="shared" si="98"/>
        <v>494.88778446576327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2.8043251000992462</v>
      </c>
      <c r="EB103" s="23">
        <f>EXP(-LN(2)/25)*EB102+(1-EXP(-LN(2)/25))/(LN(2)/25)*Calculateur!DW103*Calculateur!DY103*VLOOKUP('Données projet'!$B$14,Paramètres!$A$1:$I$89,3,0)*0.475*44/12</f>
        <v>2.3380407605961548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5.142365860695401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455.78863513129187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3.1741666666666695</v>
      </c>
      <c r="N104" s="14">
        <f>IF('Données projet'!$A$36&gt;35,N103+M104-V103,IF(A104&lt;'Données projet'!$A$36,$K$205^A104,IF(A104='Données projet'!$A$36,'Données projet'!$B$36,N103+M104-V103)))</f>
        <v>297.68666666666638</v>
      </c>
      <c r="O104" s="14">
        <f>N104*VLOOKUP('Données projet'!$B$9,Paramètres!$A$1:$I$89,3,0)*VLOOKUP('Données projet'!$B$9,Paramètres!$A$1:$I$89,5,0)</f>
        <v>269.34689599999973</v>
      </c>
      <c r="P104" s="14">
        <f t="shared" si="87"/>
        <v>64.710644605352314</v>
      </c>
      <c r="Q104" s="22">
        <f t="shared" si="107"/>
        <v>581.81688322098819</v>
      </c>
      <c r="R104" s="62">
        <f t="shared" si="55"/>
        <v>875.15021655432156</v>
      </c>
      <c r="S104" s="62">
        <f ca="1">AVERAGE(OFFSET($R$3,0,0,'Données projet'!$E$9+1,1))-AVERAGE(OFFSET($H$3,0,0,'Données projet'!$E$9+1,1))</f>
        <v>299.17641394512162</v>
      </c>
      <c r="T104" s="62">
        <f t="shared" si="88"/>
        <v>180.73046320039873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6.5759619899876558</v>
      </c>
      <c r="AA104" s="23">
        <f>EXP(-LN(2)/25)*AA103+(1-EXP(-LN(2)/25))/(LN(2)/25)*Calculateur!V104*Calculateur!X104*VLOOKUP('Données projet'!$B$9,Paramètres!$A$1:$I$89,3,0)*0.475*44/12</f>
        <v>5.5302486763922358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12.106210666379891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4.4500000000000028</v>
      </c>
      <c r="AI104" s="14">
        <f>IF('Données projet'!$A$62&gt;35,AI103+AH104-AQ103,IF(A104&lt;'Données projet'!$A$62,$AF$205^A104,IF(A104='Données projet'!$A$62,'Données projet'!$B$62,AI103+AH104-AQ103)))</f>
        <v>296.19999999999925</v>
      </c>
      <c r="AJ104" s="14">
        <f>AI104*VLOOKUP('Données projet'!$B$10,Paramètres!$A$1:$I$89,3,0)*VLOOKUP('Données projet'!$B$10,Paramètres!$A$1:$I$89,5,0)</f>
        <v>300.34679999999923</v>
      </c>
      <c r="AK104" s="14">
        <f t="shared" si="89"/>
        <v>71.249161187153177</v>
      </c>
      <c r="AL104" s="22">
        <f t="shared" si="58"/>
        <v>647.19629906762373</v>
      </c>
      <c r="AM104" s="62">
        <f t="shared" si="59"/>
        <v>940.5296324009571</v>
      </c>
      <c r="AN104" s="62">
        <f ca="1">AVERAGE(OFFSET($AM$3,0,0,'Données projet'!$E$10+1,1))-AVERAGE(OFFSET($H$3,0,0,'Données projet'!$E$10+1,1))</f>
        <v>384.66322295929552</v>
      </c>
      <c r="AO104" s="62">
        <f t="shared" si="90"/>
        <v>248.53970183513286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5.5842797173357823</v>
      </c>
      <c r="AV104" s="23">
        <f>EXP(-LN(2)/25)*AV103+(1-EXP(-LN(2)/25))/(LN(2)/25)*Calculateur!AQ104*Calculateur!AS104*VLOOKUP('Données projet'!$B$10,Paramètres!$A$1:$I$89,3,0)*0.475*44/12</f>
        <v>4.6862303312246381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10.270510048560421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343.79999999999995</v>
      </c>
      <c r="BE104" s="14">
        <f>BD104*VLOOKUP('Données projet'!$B$11,Paramètres!$A$1:$I$89,3,0)*VLOOKUP('Données projet'!$B$11,Paramètres!$A$1:$I$89,5,0)</f>
        <v>205.5924</v>
      </c>
      <c r="BF104" s="14">
        <f t="shared" si="91"/>
        <v>50.971228364263673</v>
      </c>
      <c r="BG104" s="22">
        <f t="shared" si="61"/>
        <v>446.84831940109251</v>
      </c>
      <c r="BH104" s="62">
        <f t="shared" si="62"/>
        <v>740.18165273442582</v>
      </c>
      <c r="BI104" s="62">
        <f ca="1">AVERAGE(OFFSET($BH$3,0,0,'Données projet'!$E$11+1,1))-AVERAGE(OFFSET($H$3,0,0,'Données projet'!$E$11+1,1))</f>
        <v>146.25807703055079</v>
      </c>
      <c r="BJ104" s="62">
        <f t="shared" si="92"/>
        <v>177.40137940534413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2.3341519999175135</v>
      </c>
      <c r="BQ104" s="23">
        <f>EXP(-LN(2)/25)*BQ103+(1-EXP(-LN(2)/25))/(LN(2)/25)*Calculateur!BL104*Calculateur!BN104*VLOOKUP('Données projet'!$B$11,Paramètres!$A$1:$I$89,3,0)*0.475*44/12</f>
        <v>1.3625303085294262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3.69668230844694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760.1400000000001</v>
      </c>
      <c r="BZ104" s="14">
        <f>BY104*VLOOKUP('Données projet'!$B$12,Paramètres!$A$1:$I$89,3,0)*VLOOKUP('Données projet'!$B$12,Paramètres!$A$1:$I$89,5,0)</f>
        <v>355.74552000000006</v>
      </c>
      <c r="CA104" s="14">
        <f t="shared" si="93"/>
        <v>82.744450026504168</v>
      </c>
      <c r="CB104" s="22">
        <f t="shared" si="64"/>
        <v>763.70336446282818</v>
      </c>
      <c r="CC104" s="62">
        <f t="shared" si="65"/>
        <v>1057.0366977961614</v>
      </c>
      <c r="CD104" s="62">
        <f ca="1">AVERAGE(OFFSET($CC$3,0,0,'Données projet'!$E$12+1,1))-AVERAGE(OFFSET($H$3,0,0,'Données projet'!$E$12+1,1))</f>
        <v>287.12723448949828</v>
      </c>
      <c r="CE104" s="62">
        <f t="shared" si="94"/>
        <v>170.5203352323382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2.8331114038049909</v>
      </c>
      <c r="CL104" s="23">
        <f>EXP(-LN(2)/25)*CL103+(1-EXP(-LN(2)/25))/(LN(2)/25)*Calculateur!CG104*Calculateur!CI104*VLOOKUP('Données projet'!$B$12,Paramètres!$A$1:$I$89,3,0)*0.475*44/12</f>
        <v>12.88516162915397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15.718273032958962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477.12000000000097</v>
      </c>
      <c r="CU104" s="18">
        <f>CT104*VLOOKUP('Données projet'!$B$13,Paramètres!$A$1:$I$89,3,0)*VLOOKUP('Données projet'!$B$13,Paramètres!$A$1:$I$89,5,0)</f>
        <v>461.47046400000096</v>
      </c>
      <c r="CV104" s="14">
        <f t="shared" si="95"/>
        <v>104.13329806929862</v>
      </c>
      <c r="CW104" s="22">
        <f t="shared" si="67"/>
        <v>985.09321893736342</v>
      </c>
      <c r="CX104" s="62">
        <f t="shared" si="68"/>
        <v>1278.4265522706967</v>
      </c>
      <c r="CY104" s="62">
        <f ca="1">AVERAGE(OFFSET($CX$3,0,0,'Données projet'!$E$13+1,1))-AVERAGE(OFFSET($H$3,0,0,'Données projet'!$E$13+1,1))</f>
        <v>467.37715054082025</v>
      </c>
      <c r="CZ104" s="62">
        <f t="shared" si="96"/>
        <v>443.35096563136415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2.4704160537978916</v>
      </c>
      <c r="DG104" s="23">
        <f>EXP(-LN(2)/25)*DG103+(1-EXP(-LN(2)/25))/(LN(2)/25)*Calculateur!DB104*Calculateur!DD104*VLOOKUP('Données projet'!$B$13,Paramètres!$A$1:$I$89,3,0)*0.475*44/12</f>
        <v>2.043400414620534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4.5138164684184261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477.12000000000097</v>
      </c>
      <c r="DP104" s="18">
        <f>DO104*VLOOKUP('Données projet'!$B$14,Paramètres!$A$1:$I$89,3,0)*VLOOKUP('Données projet'!$B$14,Paramètres!$A$1:$I$89,5,0)</f>
        <v>513.57196800000099</v>
      </c>
      <c r="DQ104" s="14">
        <f t="shared" si="97"/>
        <v>114.45621584436451</v>
      </c>
      <c r="DR104" s="22">
        <f t="shared" si="70"/>
        <v>1093.8157535289363</v>
      </c>
      <c r="DS104" s="62">
        <f t="shared" si="71"/>
        <v>1387.1490868622695</v>
      </c>
      <c r="DT104" s="62">
        <f ca="1">AVERAGE(OFFSET($DS$3,0,0,'Données projet'!$E$14+1,1))-AVERAGE(OFFSET($H$3,0,0,'Données projet'!$E$14+1,1))</f>
        <v>524.51242549438939</v>
      </c>
      <c r="DU104" s="62">
        <f t="shared" si="98"/>
        <v>494.88778446576327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2.7493339953557161</v>
      </c>
      <c r="EB104" s="23">
        <f>EXP(-LN(2)/25)*EB103+(1-EXP(-LN(2)/25))/(LN(2)/25)*Calculateur!DW104*Calculateur!DY104*VLOOKUP('Données projet'!$B$14,Paramètres!$A$1:$I$89,3,0)*0.475*44/12</f>
        <v>2.2741069130454332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5.0234409084011489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457.71070965292688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3.1741666666666695</v>
      </c>
      <c r="N105" s="14">
        <f>IF('Données projet'!$A$36&gt;35,N104+M105-V104,IF(A105&lt;'Données projet'!$A$36,$K$205^A105,IF(A105='Données projet'!$A$36,'Données projet'!$B$36,N104+M105-V104)))</f>
        <v>300.86083333333306</v>
      </c>
      <c r="O105" s="14">
        <f>N105*VLOOKUP('Données projet'!$B$9,Paramètres!$A$1:$I$89,3,0)*VLOOKUP('Données projet'!$B$9,Paramètres!$A$1:$I$89,5,0)</f>
        <v>272.21888199999972</v>
      </c>
      <c r="P105" s="14">
        <f t="shared" si="87"/>
        <v>65.319947505698934</v>
      </c>
      <c r="Q105" s="22">
        <f t="shared" si="107"/>
        <v>587.88012805575852</v>
      </c>
      <c r="R105" s="62">
        <f t="shared" si="55"/>
        <v>881.21346138909189</v>
      </c>
      <c r="S105" s="62">
        <f ca="1">AVERAGE(OFFSET($R$3,0,0,'Données projet'!$E$9+1,1))-AVERAGE(OFFSET($H$3,0,0,'Données projet'!$E$9+1,1))</f>
        <v>299.17641394512162</v>
      </c>
      <c r="T105" s="62">
        <f t="shared" si="88"/>
        <v>180.73046320039873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6.447011386304764</v>
      </c>
      <c r="AA105" s="23">
        <f>EXP(-LN(2)/25)*AA104+(1-EXP(-LN(2)/25))/(LN(2)/25)*Calculateur!V105*Calculateur!X105*VLOOKUP('Données projet'!$B$9,Paramètres!$A$1:$I$89,3,0)*0.475*44/12</f>
        <v>5.3790237355131518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11.826035121817917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4.4500000000000028</v>
      </c>
      <c r="AI105" s="14">
        <f>IF('Données projet'!$A$62&gt;35,AI104+AH105-AQ104,IF(A105&lt;'Données projet'!$A$62,$AF$205^A105,IF(A105='Données projet'!$A$62,'Données projet'!$B$62,AI104+AH105-AQ104)))</f>
        <v>300.64999999999924</v>
      </c>
      <c r="AJ105" s="14">
        <f>AI105*VLOOKUP('Données projet'!$B$10,Paramètres!$A$1:$I$89,3,0)*VLOOKUP('Données projet'!$B$10,Paramètres!$A$1:$I$89,5,0)</f>
        <v>304.85909999999922</v>
      </c>
      <c r="AK105" s="14">
        <f t="shared" si="89"/>
        <v>72.194162964643894</v>
      </c>
      <c r="AL105" s="22">
        <f t="shared" si="58"/>
        <v>656.70109966342</v>
      </c>
      <c r="AM105" s="62">
        <f t="shared" si="59"/>
        <v>950.03443299675337</v>
      </c>
      <c r="AN105" s="62">
        <f ca="1">AVERAGE(OFFSET($AM$3,0,0,'Données projet'!$E$10+1,1))-AVERAGE(OFFSET($H$3,0,0,'Données projet'!$E$10+1,1))</f>
        <v>384.66322295929552</v>
      </c>
      <c r="AO105" s="62">
        <f t="shared" si="90"/>
        <v>248.53970183513286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5.4747753981531337</v>
      </c>
      <c r="AV105" s="23">
        <f>EXP(-LN(2)/25)*AV104+(1-EXP(-LN(2)/25))/(LN(2)/25)*Calculateur!AQ105*Calculateur!AS105*VLOOKUP('Données projet'!$B$10,Paramètres!$A$1:$I$89,3,0)*0.475*44/12</f>
        <v>4.558085116379158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10.032860514532292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343.79999999999995</v>
      </c>
      <c r="BE105" s="14">
        <f>BD105*VLOOKUP('Données projet'!$B$11,Paramètres!$A$1:$I$89,3,0)*VLOOKUP('Données projet'!$B$11,Paramètres!$A$1:$I$89,5,0)</f>
        <v>205.5924</v>
      </c>
      <c r="BF105" s="14">
        <f t="shared" si="91"/>
        <v>50.971228364263673</v>
      </c>
      <c r="BG105" s="22">
        <f t="shared" si="61"/>
        <v>446.84831940109251</v>
      </c>
      <c r="BH105" s="62">
        <f t="shared" si="62"/>
        <v>740.18165273442582</v>
      </c>
      <c r="BI105" s="62">
        <f ca="1">AVERAGE(OFFSET($BH$3,0,0,'Données projet'!$E$11+1,1))-AVERAGE(OFFSET($H$3,0,0,'Données projet'!$E$11+1,1))</f>
        <v>146.25807703055079</v>
      </c>
      <c r="BJ105" s="62">
        <f t="shared" si="92"/>
        <v>177.40137940534413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2.2883807028912733</v>
      </c>
      <c r="BQ105" s="23">
        <f>EXP(-LN(2)/25)*BQ104+(1-EXP(-LN(2)/25))/(LN(2)/25)*Calculateur!BL105*Calculateur!BN105*VLOOKUP('Données projet'!$B$11,Paramètres!$A$1:$I$89,3,0)*0.475*44/12</f>
        <v>1.3252718455903343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3.6136525484816078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760.1400000000001</v>
      </c>
      <c r="BZ105" s="14">
        <f>BY105*VLOOKUP('Données projet'!$B$12,Paramètres!$A$1:$I$89,3,0)*VLOOKUP('Données projet'!$B$12,Paramètres!$A$1:$I$89,5,0)</f>
        <v>355.74552000000006</v>
      </c>
      <c r="CA105" s="14">
        <f t="shared" si="93"/>
        <v>82.744450026504168</v>
      </c>
      <c r="CB105" s="22">
        <f t="shared" si="64"/>
        <v>763.70336446282818</v>
      </c>
      <c r="CC105" s="62">
        <f t="shared" si="65"/>
        <v>1057.0366977961614</v>
      </c>
      <c r="CD105" s="62">
        <f ca="1">AVERAGE(OFFSET($CC$3,0,0,'Données projet'!$E$12+1,1))-AVERAGE(OFFSET($H$3,0,0,'Données projet'!$E$12+1,1))</f>
        <v>287.12723448949828</v>
      </c>
      <c r="CE105" s="62">
        <f t="shared" si="94"/>
        <v>170.5203352323382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2.7775558172037029</v>
      </c>
      <c r="CL105" s="23">
        <f>EXP(-LN(2)/25)*CL104+(1-EXP(-LN(2)/25))/(LN(2)/25)*Calculateur!CG105*Calculateur!CI105*VLOOKUP('Données projet'!$B$12,Paramètres!$A$1:$I$89,3,0)*0.475*44/12</f>
        <v>12.532816206803554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15.310372024007258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477.12000000000097</v>
      </c>
      <c r="CU105" s="18">
        <f>CT105*VLOOKUP('Données projet'!$B$13,Paramètres!$A$1:$I$89,3,0)*VLOOKUP('Données projet'!$B$13,Paramètres!$A$1:$I$89,5,0)</f>
        <v>461.47046400000096</v>
      </c>
      <c r="CV105" s="14">
        <f t="shared" si="95"/>
        <v>104.13329806929862</v>
      </c>
      <c r="CW105" s="22">
        <f t="shared" si="67"/>
        <v>985.09321893736342</v>
      </c>
      <c r="CX105" s="62">
        <f t="shared" si="68"/>
        <v>1278.4265522706967</v>
      </c>
      <c r="CY105" s="62">
        <f ca="1">AVERAGE(OFFSET($CX$3,0,0,'Données projet'!$E$13+1,1))-AVERAGE(OFFSET($H$3,0,0,'Données projet'!$E$13+1,1))</f>
        <v>467.37715054082025</v>
      </c>
      <c r="CZ105" s="62">
        <f t="shared" si="96"/>
        <v>443.35096563136415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2.4219727017879231</v>
      </c>
      <c r="DG105" s="23">
        <f>EXP(-LN(2)/25)*DG104+(1-EXP(-LN(2)/25))/(LN(2)/25)*Calculateur!DB105*Calculateur!DD105*VLOOKUP('Données projet'!$B$13,Paramètres!$A$1:$I$89,3,0)*0.475*44/12</f>
        <v>1.9875235228249779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4.4094962246129015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477.12000000000097</v>
      </c>
      <c r="DP105" s="18">
        <f>DO105*VLOOKUP('Données projet'!$B$14,Paramètres!$A$1:$I$89,3,0)*VLOOKUP('Données projet'!$B$14,Paramètres!$A$1:$I$89,5,0)</f>
        <v>513.57196800000099</v>
      </c>
      <c r="DQ105" s="14">
        <f t="shared" si="97"/>
        <v>114.45621584436451</v>
      </c>
      <c r="DR105" s="22">
        <f t="shared" si="70"/>
        <v>1093.8157535289363</v>
      </c>
      <c r="DS105" s="62">
        <f t="shared" si="71"/>
        <v>1387.1490868622695</v>
      </c>
      <c r="DT105" s="62">
        <f ca="1">AVERAGE(OFFSET($DS$3,0,0,'Données projet'!$E$14+1,1))-AVERAGE(OFFSET($H$3,0,0,'Données projet'!$E$14+1,1))</f>
        <v>524.51242549438939</v>
      </c>
      <c r="DU105" s="62">
        <f t="shared" si="98"/>
        <v>494.88778446576327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2.6954212326349447</v>
      </c>
      <c r="EB105" s="23">
        <f>EXP(-LN(2)/25)*EB104+(1-EXP(-LN(2)/25))/(LN(2)/25)*Calculateur!DW105*Calculateur!DY105*VLOOKUP('Données projet'!$B$14,Paramètres!$A$1:$I$89,3,0)*0.475*44/12</f>
        <v>2.211921339918121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4.9073425725530662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459.63235831274994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3.1741666666666695</v>
      </c>
      <c r="N106" s="14">
        <f>IF('Données projet'!$A$36&gt;35,N105+M106-V105,IF(A106&lt;'Données projet'!$A$36,$K$205^A106,IF(A106='Données projet'!$A$36,'Données projet'!$B$36,N105+M106-V105)))</f>
        <v>304.03499999999974</v>
      </c>
      <c r="O106" s="14">
        <f>N106*VLOOKUP('Données projet'!$B$9,Paramètres!$A$1:$I$89,3,0)*VLOOKUP('Données projet'!$B$9,Paramètres!$A$1:$I$89,5,0)</f>
        <v>275.09086799999977</v>
      </c>
      <c r="P106" s="14">
        <f t="shared" si="87"/>
        <v>65.928502594479411</v>
      </c>
      <c r="Q106" s="22">
        <f t="shared" si="107"/>
        <v>593.94207045205121</v>
      </c>
      <c r="R106" s="62">
        <f t="shared" si="55"/>
        <v>887.27540378538447</v>
      </c>
      <c r="S106" s="62">
        <f ca="1">AVERAGE(OFFSET($R$3,0,0,'Données projet'!$E$9+1,1))-AVERAGE(OFFSET($H$3,0,0,'Données projet'!$E$9+1,1))</f>
        <v>299.17641394512162</v>
      </c>
      <c r="T106" s="62">
        <f t="shared" si="88"/>
        <v>180.73046320039873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6.3205894253079924</v>
      </c>
      <c r="AA106" s="23">
        <f>EXP(-LN(2)/25)*AA105+(1-EXP(-LN(2)/25))/(LN(2)/25)*Calculateur!V106*Calculateur!X106*VLOOKUP('Données projet'!$B$9,Paramètres!$A$1:$I$89,3,0)*0.475*44/12</f>
        <v>5.2319340485949803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11.552523473902973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4.4500000000000028</v>
      </c>
      <c r="AI106" s="14">
        <f>IF('Données projet'!$A$62&gt;35,AI105+AH106-AQ105,IF(A106&lt;'Données projet'!$A$62,$AF$205^A106,IF(A106='Données projet'!$A$62,'Données projet'!$B$62,AI105+AH106-AQ105)))</f>
        <v>305.09999999999923</v>
      </c>
      <c r="AJ106" s="14">
        <f>AI106*VLOOKUP('Données projet'!$B$10,Paramètres!$A$1:$I$89,3,0)*VLOOKUP('Données projet'!$B$10,Paramètres!$A$1:$I$89,5,0)</f>
        <v>309.37139999999926</v>
      </c>
      <c r="AK106" s="14">
        <f t="shared" si="89"/>
        <v>73.137537968543896</v>
      </c>
      <c r="AL106" s="22">
        <f t="shared" si="58"/>
        <v>666.20306696187924</v>
      </c>
      <c r="AM106" s="62">
        <f t="shared" si="59"/>
        <v>959.53640029521262</v>
      </c>
      <c r="AN106" s="62">
        <f ca="1">AVERAGE(OFFSET($AM$3,0,0,'Données projet'!$E$10+1,1))-AVERAGE(OFFSET($H$3,0,0,'Données projet'!$E$10+1,1))</f>
        <v>384.66322295929552</v>
      </c>
      <c r="AO106" s="62">
        <f t="shared" si="90"/>
        <v>248.53970183513286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5.3674183918786165</v>
      </c>
      <c r="AV106" s="23">
        <f>EXP(-LN(2)/25)*AV105+(1-EXP(-LN(2)/25))/(LN(2)/25)*Calculateur!AQ106*Calculateur!AS106*VLOOKUP('Données projet'!$B$10,Paramètres!$A$1:$I$89,3,0)*0.475*44/12</f>
        <v>4.4334440391724916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9.8008624310511081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343.79999999999995</v>
      </c>
      <c r="BE106" s="14">
        <f>BD106*VLOOKUP('Données projet'!$B$11,Paramètres!$A$1:$I$89,3,0)*VLOOKUP('Données projet'!$B$11,Paramètres!$A$1:$I$89,5,0)</f>
        <v>205.5924</v>
      </c>
      <c r="BF106" s="14">
        <f t="shared" si="91"/>
        <v>50.971228364263673</v>
      </c>
      <c r="BG106" s="22">
        <f t="shared" si="61"/>
        <v>446.84831940109251</v>
      </c>
      <c r="BH106" s="62">
        <f t="shared" si="62"/>
        <v>740.18165273442582</v>
      </c>
      <c r="BI106" s="62">
        <f ca="1">AVERAGE(OFFSET($BH$3,0,0,'Données projet'!$E$11+1,1))-AVERAGE(OFFSET($H$3,0,0,'Données projet'!$E$11+1,1))</f>
        <v>146.25807703055079</v>
      </c>
      <c r="BJ106" s="62">
        <f t="shared" si="92"/>
        <v>177.40137940534413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2.2435069530819827</v>
      </c>
      <c r="BQ106" s="23">
        <f>EXP(-LN(2)/25)*BQ105+(1-EXP(-LN(2)/25))/(LN(2)/25)*Calculateur!BL106*Calculateur!BN106*VLOOKUP('Données projet'!$B$11,Paramètres!$A$1:$I$89,3,0)*0.475*44/12</f>
        <v>1.2890322172796491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3.5325391703616318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760.1400000000001</v>
      </c>
      <c r="BZ106" s="14">
        <f>BY106*VLOOKUP('Données projet'!$B$12,Paramètres!$A$1:$I$89,3,0)*VLOOKUP('Données projet'!$B$12,Paramètres!$A$1:$I$89,5,0)</f>
        <v>355.74552000000006</v>
      </c>
      <c r="CA106" s="14">
        <f t="shared" si="93"/>
        <v>82.744450026504168</v>
      </c>
      <c r="CB106" s="22">
        <f t="shared" si="64"/>
        <v>763.70336446282818</v>
      </c>
      <c r="CC106" s="62">
        <f t="shared" si="65"/>
        <v>1057.0366977961614</v>
      </c>
      <c r="CD106" s="62">
        <f ca="1">AVERAGE(OFFSET($CC$3,0,0,'Données projet'!$E$12+1,1))-AVERAGE(OFFSET($H$3,0,0,'Données projet'!$E$12+1,1))</f>
        <v>287.12723448949828</v>
      </c>
      <c r="CE106" s="62">
        <f t="shared" si="94"/>
        <v>170.5203352323382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2.723089641770104</v>
      </c>
      <c r="CL106" s="23">
        <f>EXP(-LN(2)/25)*CL105+(1-EXP(-LN(2)/25))/(LN(2)/25)*Calculateur!CG106*Calculateur!CI106*VLOOKUP('Données projet'!$B$12,Paramètres!$A$1:$I$89,3,0)*0.475*44/12</f>
        <v>12.190105688556351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14.913195330326454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477.12000000000097</v>
      </c>
      <c r="CU106" s="18">
        <f>CT106*VLOOKUP('Données projet'!$B$13,Paramètres!$A$1:$I$89,3,0)*VLOOKUP('Données projet'!$B$13,Paramètres!$A$1:$I$89,5,0)</f>
        <v>461.47046400000096</v>
      </c>
      <c r="CV106" s="14">
        <f t="shared" si="95"/>
        <v>104.13329806929862</v>
      </c>
      <c r="CW106" s="22">
        <f t="shared" si="67"/>
        <v>985.09321893736342</v>
      </c>
      <c r="CX106" s="62">
        <f t="shared" si="68"/>
        <v>1278.4265522706967</v>
      </c>
      <c r="CY106" s="62">
        <f ca="1">AVERAGE(OFFSET($CX$3,0,0,'Données projet'!$E$13+1,1))-AVERAGE(OFFSET($H$3,0,0,'Données projet'!$E$13+1,1))</f>
        <v>467.37715054082025</v>
      </c>
      <c r="CZ106" s="62">
        <f t="shared" si="96"/>
        <v>443.35096563136415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2.374479294363343</v>
      </c>
      <c r="DG106" s="23">
        <f>EXP(-LN(2)/25)*DG105+(1-EXP(-LN(2)/25))/(LN(2)/25)*Calculateur!DB106*Calculateur!DD106*VLOOKUP('Données projet'!$B$13,Paramètres!$A$1:$I$89,3,0)*0.475*44/12</f>
        <v>1.9331745875740094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4.3076538819373527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477.12000000000097</v>
      </c>
      <c r="DP106" s="18">
        <f>DO106*VLOOKUP('Données projet'!$B$14,Paramètres!$A$1:$I$89,3,0)*VLOOKUP('Données projet'!$B$14,Paramètres!$A$1:$I$89,5,0)</f>
        <v>513.57196800000099</v>
      </c>
      <c r="DQ106" s="14">
        <f t="shared" si="97"/>
        <v>114.45621584436451</v>
      </c>
      <c r="DR106" s="22">
        <f t="shared" si="70"/>
        <v>1093.8157535289363</v>
      </c>
      <c r="DS106" s="62">
        <f t="shared" si="71"/>
        <v>1387.1490868622695</v>
      </c>
      <c r="DT106" s="62">
        <f ca="1">AVERAGE(OFFSET($DS$3,0,0,'Données projet'!$E$14+1,1))-AVERAGE(OFFSET($H$3,0,0,'Données projet'!$E$14+1,1))</f>
        <v>524.51242549438939</v>
      </c>
      <c r="DU106" s="62">
        <f t="shared" si="98"/>
        <v>494.88778446576327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2.6425656663075894</v>
      </c>
      <c r="EB106" s="23">
        <f>EXP(-LN(2)/25)*EB105+(1-EXP(-LN(2)/25))/(LN(2)/25)*Calculateur!DW106*Calculateur!DY106*VLOOKUP('Données projet'!$B$14,Paramètres!$A$1:$I$89,3,0)*0.475*44/12</f>
        <v>2.1514362345581723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4.7940019008657622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461.55358572414536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3.1741666666666695</v>
      </c>
      <c r="N107" s="14">
        <f>IF('Données projet'!$A$36&gt;35,N106+M107-V106,IF(A107&lt;'Données projet'!$A$36,$K$205^A107,IF(A107='Données projet'!$A$36,'Données projet'!$B$36,N106+M107-V106)))</f>
        <v>307.20916666666642</v>
      </c>
      <c r="O107" s="14">
        <f>N107*VLOOKUP('Données projet'!$B$9,Paramètres!$A$1:$I$89,3,0)*VLOOKUP('Données projet'!$B$9,Paramètres!$A$1:$I$89,5,0)</f>
        <v>277.96285399999977</v>
      </c>
      <c r="P107" s="14">
        <f t="shared" si="87"/>
        <v>66.536318582736342</v>
      </c>
      <c r="Q107" s="22">
        <f t="shared" si="107"/>
        <v>600.00272558159861</v>
      </c>
      <c r="R107" s="62">
        <f t="shared" si="55"/>
        <v>893.33605891493198</v>
      </c>
      <c r="S107" s="62">
        <f ca="1">AVERAGE(OFFSET($R$3,0,0,'Données projet'!$E$9+1,1))-AVERAGE(OFFSET($H$3,0,0,'Données projet'!$E$9+1,1))</f>
        <v>299.17641394512162</v>
      </c>
      <c r="T107" s="62">
        <f t="shared" si="88"/>
        <v>180.73046320039873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6.1966465218565849</v>
      </c>
      <c r="AA107" s="23">
        <f>EXP(-LN(2)/25)*AA106+(1-EXP(-LN(2)/25))/(LN(2)/25)*Calculateur!V107*Calculateur!X107*VLOOKUP('Données projet'!$B$9,Paramètres!$A$1:$I$89,3,0)*0.475*44/12</f>
        <v>5.0888665369006967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11.285513058757282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4.4500000000000028</v>
      </c>
      <c r="AI107" s="14">
        <f>IF('Données projet'!$A$62&gt;35,AI106+AH107-AQ106,IF(A107&lt;'Données projet'!$A$62,$AF$205^A107,IF(A107='Données projet'!$A$62,'Données projet'!$B$62,AI106+AH107-AQ106)))</f>
        <v>309.54999999999922</v>
      </c>
      <c r="AJ107" s="14">
        <f>AI107*VLOOKUP('Données projet'!$B$10,Paramètres!$A$1:$I$89,3,0)*VLOOKUP('Données projet'!$B$10,Paramètres!$A$1:$I$89,5,0)</f>
        <v>313.88369999999924</v>
      </c>
      <c r="AK107" s="14">
        <f t="shared" si="89"/>
        <v>74.079312667219668</v>
      </c>
      <c r="AL107" s="22">
        <f t="shared" si="58"/>
        <v>675.70224706207284</v>
      </c>
      <c r="AM107" s="62">
        <f t="shared" si="59"/>
        <v>969.03558039540621</v>
      </c>
      <c r="AN107" s="62">
        <f ca="1">AVERAGE(OFFSET($AM$3,0,0,'Données projet'!$E$10+1,1))-AVERAGE(OFFSET($H$3,0,0,'Données projet'!$E$10+1,1))</f>
        <v>384.66322295929552</v>
      </c>
      <c r="AO107" s="62">
        <f t="shared" si="90"/>
        <v>248.53970183513286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5.2621665910158351</v>
      </c>
      <c r="AV107" s="23">
        <f>EXP(-LN(2)/25)*AV106+(1-EXP(-LN(2)/25))/(LN(2)/25)*Calculateur!AQ107*Calculateur!AS107*VLOOKUP('Données projet'!$B$10,Paramètres!$A$1:$I$89,3,0)*0.475*44/12</f>
        <v>4.3122112787766307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9.5743778697924657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343.79999999999995</v>
      </c>
      <c r="BE107" s="14">
        <f>BD107*VLOOKUP('Données projet'!$B$11,Paramètres!$A$1:$I$89,3,0)*VLOOKUP('Données projet'!$B$11,Paramètres!$A$1:$I$89,5,0)</f>
        <v>205.5924</v>
      </c>
      <c r="BF107" s="14">
        <f t="shared" si="91"/>
        <v>50.971228364263673</v>
      </c>
      <c r="BG107" s="22">
        <f t="shared" si="61"/>
        <v>446.84831940109251</v>
      </c>
      <c r="BH107" s="62">
        <f t="shared" si="62"/>
        <v>740.18165273442582</v>
      </c>
      <c r="BI107" s="62">
        <f ca="1">AVERAGE(OFFSET($BH$3,0,0,'Données projet'!$E$11+1,1))-AVERAGE(OFFSET($H$3,0,0,'Données projet'!$E$11+1,1))</f>
        <v>146.25807703055079</v>
      </c>
      <c r="BJ107" s="62">
        <f t="shared" si="92"/>
        <v>177.40137940534413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2.1995131501361675</v>
      </c>
      <c r="BQ107" s="23">
        <f>EXP(-LN(2)/25)*BQ106+(1-EXP(-LN(2)/25))/(LN(2)/25)*Calculateur!BL107*Calculateur!BN107*VLOOKUP('Données projet'!$B$11,Paramètres!$A$1:$I$89,3,0)*0.475*44/12</f>
        <v>1.2537835635108789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3.4532967136470463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760.1400000000001</v>
      </c>
      <c r="BZ107" s="14">
        <f>BY107*VLOOKUP('Données projet'!$B$12,Paramètres!$A$1:$I$89,3,0)*VLOOKUP('Données projet'!$B$12,Paramètres!$A$1:$I$89,5,0)</f>
        <v>355.74552000000006</v>
      </c>
      <c r="CA107" s="14">
        <f t="shared" si="93"/>
        <v>82.744450026504168</v>
      </c>
      <c r="CB107" s="22">
        <f t="shared" si="64"/>
        <v>763.70336446282818</v>
      </c>
      <c r="CC107" s="62">
        <f t="shared" si="65"/>
        <v>1057.0366977961614</v>
      </c>
      <c r="CD107" s="62">
        <f ca="1">AVERAGE(OFFSET($CC$3,0,0,'Données projet'!$E$12+1,1))-AVERAGE(OFFSET($H$3,0,0,'Données projet'!$E$12+1,1))</f>
        <v>287.12723448949828</v>
      </c>
      <c r="CE107" s="62">
        <f t="shared" si="94"/>
        <v>170.5203352323382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2.6696915148156717</v>
      </c>
      <c r="CL107" s="23">
        <f>EXP(-LN(2)/25)*CL106+(1-EXP(-LN(2)/25))/(LN(2)/25)*Calculateur!CG107*Calculateur!CI107*VLOOKUP('Données projet'!$B$12,Paramètres!$A$1:$I$89,3,0)*0.475*44/12</f>
        <v>11.856766607452981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14.526458122268652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477.12000000000097</v>
      </c>
      <c r="CU107" s="18">
        <f>CT107*VLOOKUP('Données projet'!$B$13,Paramètres!$A$1:$I$89,3,0)*VLOOKUP('Données projet'!$B$13,Paramètres!$A$1:$I$89,5,0)</f>
        <v>461.47046400000096</v>
      </c>
      <c r="CV107" s="14">
        <f t="shared" si="95"/>
        <v>104.13329806929862</v>
      </c>
      <c r="CW107" s="22">
        <f t="shared" si="67"/>
        <v>985.09321893736342</v>
      </c>
      <c r="CX107" s="62">
        <f t="shared" si="68"/>
        <v>1278.4265522706967</v>
      </c>
      <c r="CY107" s="62">
        <f ca="1">AVERAGE(OFFSET($CX$3,0,0,'Données projet'!$E$13+1,1))-AVERAGE(OFFSET($H$3,0,0,'Données projet'!$E$13+1,1))</f>
        <v>467.37715054082025</v>
      </c>
      <c r="CZ107" s="62">
        <f t="shared" si="96"/>
        <v>443.35096563136415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2.3279172036902409</v>
      </c>
      <c r="DG107" s="23">
        <f>EXP(-LN(2)/25)*DG106+(1-EXP(-LN(2)/25))/(LN(2)/25)*Calculateur!DB107*Calculateur!DD107*VLOOKUP('Données projet'!$B$13,Paramètres!$A$1:$I$89,3,0)*0.475*44/12</f>
        <v>1.880311826815565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4.2082290305058061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477.12000000000097</v>
      </c>
      <c r="DP107" s="18">
        <f>DO107*VLOOKUP('Données projet'!$B$14,Paramètres!$A$1:$I$89,3,0)*VLOOKUP('Données projet'!$B$14,Paramètres!$A$1:$I$89,5,0)</f>
        <v>513.57196800000099</v>
      </c>
      <c r="DQ107" s="14">
        <f t="shared" si="97"/>
        <v>114.45621584436451</v>
      </c>
      <c r="DR107" s="22">
        <f t="shared" si="70"/>
        <v>1093.8157535289363</v>
      </c>
      <c r="DS107" s="62">
        <f t="shared" si="71"/>
        <v>1387.1490868622695</v>
      </c>
      <c r="DT107" s="62">
        <f ca="1">AVERAGE(OFFSET($DS$3,0,0,'Données projet'!$E$14+1,1))-AVERAGE(OFFSET($H$3,0,0,'Données projet'!$E$14+1,1))</f>
        <v>524.51242549438939</v>
      </c>
      <c r="DU107" s="62">
        <f t="shared" si="98"/>
        <v>494.88778446576327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2.5907465653972013</v>
      </c>
      <c r="EB107" s="23">
        <f>EXP(-LN(2)/25)*EB106+(1-EXP(-LN(2)/25))/(LN(2)/25)*Calculateur!DW107*Calculateur!DY107*VLOOKUP('Données projet'!$B$14,Paramètres!$A$1:$I$89,3,0)*0.475*44/12</f>
        <v>2.0926050975850647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4.6833516629822665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463.47439640666329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3.1741666666666695</v>
      </c>
      <c r="N108" s="14">
        <f>IF('Données projet'!$A$36&gt;35,N107+M108-V107,IF(A108&lt;'Données projet'!$A$36,$K$205^A108,IF(A108='Données projet'!$A$36,'Données projet'!$B$36,N107+M108-V107)))</f>
        <v>310.3833333333331</v>
      </c>
      <c r="O108" s="14">
        <f>N108*VLOOKUP('Données projet'!$B$9,Paramètres!$A$1:$I$89,3,0)*VLOOKUP('Données projet'!$B$9,Paramètres!$A$1:$I$89,5,0)</f>
        <v>280.83483999999982</v>
      </c>
      <c r="P108" s="14">
        <f t="shared" si="87"/>
        <v>67.143403991130853</v>
      </c>
      <c r="Q108" s="22">
        <f t="shared" si="107"/>
        <v>606.06210828455255</v>
      </c>
      <c r="R108" s="62">
        <f t="shared" si="55"/>
        <v>899.39544161788581</v>
      </c>
      <c r="S108" s="62">
        <f ca="1">AVERAGE(OFFSET($R$3,0,0,'Données projet'!$E$9+1,1))-AVERAGE(OFFSET($H$3,0,0,'Données projet'!$E$9+1,1))</f>
        <v>299.17641394512162</v>
      </c>
      <c r="T108" s="62">
        <f t="shared" si="88"/>
        <v>180.73046320039873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6.0751340631441533</v>
      </c>
      <c r="AA108" s="23">
        <f>EXP(-LN(2)/25)*AA107+(1-EXP(-LN(2)/25))/(LN(2)/25)*Calculateur!V108*Calculateur!X108*VLOOKUP('Données projet'!$B$9,Paramètres!$A$1:$I$89,3,0)*0.475*44/12</f>
        <v>4.9497112138372863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11.02484527698144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4.4500000000000028</v>
      </c>
      <c r="AI108" s="14">
        <f>IF('Données projet'!$A$62&gt;35,AI107+AH108-AQ107,IF(A108&lt;'Données projet'!$A$62,$AF$205^A108,IF(A108='Données projet'!$A$62,'Données projet'!$B$62,AI107+AH108-AQ107)))</f>
        <v>313.9999999999992</v>
      </c>
      <c r="AJ108" s="14">
        <f>AI108*VLOOKUP('Données projet'!$B$10,Paramètres!$A$1:$I$89,3,0)*VLOOKUP('Données projet'!$B$10,Paramètres!$A$1:$I$89,5,0)</f>
        <v>318.39599999999922</v>
      </c>
      <c r="AK108" s="14">
        <f t="shared" si="89"/>
        <v>75.019512724334803</v>
      </c>
      <c r="AL108" s="22">
        <f t="shared" si="58"/>
        <v>685.19868466154833</v>
      </c>
      <c r="AM108" s="62">
        <f t="shared" si="59"/>
        <v>978.5320179948817</v>
      </c>
      <c r="AN108" s="62">
        <f ca="1">AVERAGE(OFFSET($AM$3,0,0,'Données projet'!$E$10+1,1))-AVERAGE(OFFSET($H$3,0,0,'Données projet'!$E$10+1,1))</f>
        <v>384.66322295929552</v>
      </c>
      <c r="AO108" s="62">
        <f t="shared" si="90"/>
        <v>248.53970183513286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5.158978713770713</v>
      </c>
      <c r="AV108" s="23">
        <f>EXP(-LN(2)/25)*AV107+(1-EXP(-LN(2)/25))/(LN(2)/25)*Calculateur!AQ108*Calculateur!AS108*VLOOKUP('Données projet'!$B$10,Paramètres!$A$1:$I$89,3,0)*0.475*44/12</f>
        <v>4.1942936345891484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9.3532723483598623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343.79999999999995</v>
      </c>
      <c r="BE108" s="14">
        <f>BD108*VLOOKUP('Données projet'!$B$11,Paramètres!$A$1:$I$89,3,0)*VLOOKUP('Données projet'!$B$11,Paramètres!$A$1:$I$89,5,0)</f>
        <v>205.5924</v>
      </c>
      <c r="BF108" s="14">
        <f t="shared" si="91"/>
        <v>50.971228364263673</v>
      </c>
      <c r="BG108" s="22">
        <f t="shared" si="61"/>
        <v>446.84831940109251</v>
      </c>
      <c r="BH108" s="62">
        <f t="shared" si="62"/>
        <v>740.18165273442582</v>
      </c>
      <c r="BI108" s="62">
        <f ca="1">AVERAGE(OFFSET($BH$3,0,0,'Données projet'!$E$11+1,1))-AVERAGE(OFFSET($H$3,0,0,'Données projet'!$E$11+1,1))</f>
        <v>146.25807703055079</v>
      </c>
      <c r="BJ108" s="62">
        <f t="shared" si="92"/>
        <v>177.40137940534413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2.1563820388325499</v>
      </c>
      <c r="BQ108" s="23">
        <f>EXP(-LN(2)/25)*BQ107+(1-EXP(-LN(2)/25))/(LN(2)/25)*Calculateur!BL108*Calculateur!BN108*VLOOKUP('Données projet'!$B$11,Paramètres!$A$1:$I$89,3,0)*0.475*44/12</f>
        <v>1.2194987860330619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3.3758808248656118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760.1400000000001</v>
      </c>
      <c r="BZ108" s="14">
        <f>BY108*VLOOKUP('Données projet'!$B$12,Paramètres!$A$1:$I$89,3,0)*VLOOKUP('Données projet'!$B$12,Paramètres!$A$1:$I$89,5,0)</f>
        <v>355.74552000000006</v>
      </c>
      <c r="CA108" s="14">
        <f t="shared" si="93"/>
        <v>82.744450026504168</v>
      </c>
      <c r="CB108" s="22">
        <f t="shared" si="64"/>
        <v>763.70336446282818</v>
      </c>
      <c r="CC108" s="62">
        <f t="shared" si="65"/>
        <v>1057.0366977961614</v>
      </c>
      <c r="CD108" s="62">
        <f ca="1">AVERAGE(OFFSET($CC$3,0,0,'Données projet'!$E$12+1,1))-AVERAGE(OFFSET($H$3,0,0,'Données projet'!$E$12+1,1))</f>
        <v>287.12723448949828</v>
      </c>
      <c r="CE108" s="62">
        <f t="shared" si="94"/>
        <v>170.5203352323382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2.6173404925611741</v>
      </c>
      <c r="CL108" s="23">
        <f>EXP(-LN(2)/25)*CL107+(1-EXP(-LN(2)/25))/(LN(2)/25)*Calculateur!CG108*Calculateur!CI108*VLOOKUP('Données projet'!$B$12,Paramètres!$A$1:$I$89,3,0)*0.475*44/12</f>
        <v>11.532542701051922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14.149883193613096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477.12000000000097</v>
      </c>
      <c r="CU108" s="18">
        <f>CT108*VLOOKUP('Données projet'!$B$13,Paramètres!$A$1:$I$89,3,0)*VLOOKUP('Données projet'!$B$13,Paramètres!$A$1:$I$89,5,0)</f>
        <v>461.47046400000096</v>
      </c>
      <c r="CV108" s="14">
        <f t="shared" si="95"/>
        <v>104.13329806929862</v>
      </c>
      <c r="CW108" s="22">
        <f t="shared" si="67"/>
        <v>985.09321893736342</v>
      </c>
      <c r="CX108" s="62">
        <f t="shared" si="68"/>
        <v>1278.4265522706967</v>
      </c>
      <c r="CY108" s="62">
        <f ca="1">AVERAGE(OFFSET($CX$3,0,0,'Données projet'!$E$13+1,1))-AVERAGE(OFFSET($H$3,0,0,'Données projet'!$E$13+1,1))</f>
        <v>467.37715054082025</v>
      </c>
      <c r="CZ108" s="62">
        <f t="shared" si="96"/>
        <v>443.35096563136415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2.2822681672151672</v>
      </c>
      <c r="DG108" s="23">
        <f>EXP(-LN(2)/25)*DG107+(1-EXP(-LN(2)/25))/(LN(2)/25)*Calculateur!DB108*Calculateur!DD108*VLOOKUP('Données projet'!$B$13,Paramètres!$A$1:$I$89,3,0)*0.475*44/12</f>
        <v>1.8288946010299918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4.1111627682451592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477.12000000000097</v>
      </c>
      <c r="DP108" s="18">
        <f>DO108*VLOOKUP('Données projet'!$B$14,Paramètres!$A$1:$I$89,3,0)*VLOOKUP('Données projet'!$B$14,Paramètres!$A$1:$I$89,5,0)</f>
        <v>513.57196800000099</v>
      </c>
      <c r="DQ108" s="14">
        <f t="shared" si="97"/>
        <v>114.45621584436451</v>
      </c>
      <c r="DR108" s="22">
        <f t="shared" si="70"/>
        <v>1093.8157535289363</v>
      </c>
      <c r="DS108" s="62">
        <f t="shared" si="71"/>
        <v>1387.1490868622695</v>
      </c>
      <c r="DT108" s="62">
        <f ca="1">AVERAGE(OFFSET($DS$3,0,0,'Données projet'!$E$14+1,1))-AVERAGE(OFFSET($H$3,0,0,'Données projet'!$E$14+1,1))</f>
        <v>524.51242549438939</v>
      </c>
      <c r="DU108" s="62">
        <f t="shared" si="98"/>
        <v>494.88778446576327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2.5399436054491353</v>
      </c>
      <c r="EB108" s="23">
        <f>EXP(-LN(2)/25)*EB107+(1-EXP(-LN(2)/25))/(LN(2)/25)*Calculateur!DW108*Calculateur!DY108*VLOOKUP('Données projet'!$B$14,Paramètres!$A$1:$I$89,3,0)*0.475*44/12</f>
        <v>2.0353827011462817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4.5753263065954171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465.39479478880332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3.1741666666666695</v>
      </c>
      <c r="N109" s="14">
        <f>IF('Données projet'!$A$36&gt;35,N108+M109-V108,IF(A109&lt;'Données projet'!$A$36,$K$205^A109,IF(A109='Données projet'!$A$36,'Données projet'!$B$36,N108+M109-V108)))</f>
        <v>313.55749999999978</v>
      </c>
      <c r="O109" s="14">
        <f>N109*VLOOKUP('Données projet'!$B$9,Paramètres!$A$1:$I$89,3,0)*VLOOKUP('Données projet'!$B$9,Paramètres!$A$1:$I$89,5,0)</f>
        <v>283.70682599999981</v>
      </c>
      <c r="P109" s="14">
        <f t="shared" si="87"/>
        <v>67.749767156006556</v>
      </c>
      <c r="Q109" s="22">
        <f t="shared" si="107"/>
        <v>612.12023308004439</v>
      </c>
      <c r="R109" s="62">
        <f t="shared" si="55"/>
        <v>905.45356641337776</v>
      </c>
      <c r="S109" s="62">
        <f ca="1">AVERAGE(OFFSET($R$3,0,0,'Données projet'!$E$9+1,1))-AVERAGE(OFFSET($H$3,0,0,'Données projet'!$E$9+1,1))</f>
        <v>299.17641394512162</v>
      </c>
      <c r="T109" s="62">
        <f t="shared" si="88"/>
        <v>180.73046320039873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5.9560043896317909</v>
      </c>
      <c r="AA109" s="23">
        <f>EXP(-LN(2)/25)*AA108+(1-EXP(-LN(2)/25))/(LN(2)/25)*Calculateur!V109*Calculateur!X109*VLOOKUP('Données projet'!$B$9,Paramètres!$A$1:$I$89,3,0)*0.475*44/12</f>
        <v>4.8143611004009053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10.770365490032695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4.4500000000000028</v>
      </c>
      <c r="AI109" s="14">
        <f>IF('Données projet'!$A$62&gt;35,AI108+AH109-AQ108,IF(A109&lt;'Données projet'!$A$62,$AF$205^A109,IF(A109='Données projet'!$A$62,'Données projet'!$B$62,AI108+AH109-AQ108)))</f>
        <v>318.44999999999919</v>
      </c>
      <c r="AJ109" s="14">
        <f>AI109*VLOOKUP('Données projet'!$B$10,Paramètres!$A$1:$I$89,3,0)*VLOOKUP('Données projet'!$B$10,Paramètres!$A$1:$I$89,5,0)</f>
        <v>322.9082999999992</v>
      </c>
      <c r="AK109" s="14">
        <f t="shared" si="89"/>
        <v>75.958163034366137</v>
      </c>
      <c r="AL109" s="22">
        <f t="shared" si="58"/>
        <v>694.69242311818618</v>
      </c>
      <c r="AM109" s="62">
        <f t="shared" si="59"/>
        <v>988.02575645151956</v>
      </c>
      <c r="AN109" s="62">
        <f ca="1">AVERAGE(OFFSET($AM$3,0,0,'Données projet'!$E$10+1,1))-AVERAGE(OFFSET($H$3,0,0,'Données projet'!$E$10+1,1))</f>
        <v>384.66322295929552</v>
      </c>
      <c r="AO109" s="62">
        <f t="shared" si="90"/>
        <v>248.53970183513286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5.0578142878599772</v>
      </c>
      <c r="AV109" s="23">
        <f>EXP(-LN(2)/25)*AV108+(1-EXP(-LN(2)/25))/(LN(2)/25)*Calculateur!AQ109*Calculateur!AS109*VLOOKUP('Données projet'!$B$10,Paramètres!$A$1:$I$89,3,0)*0.475*44/12</f>
        <v>4.0796004545829918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9.137414742442969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343.79999999999995</v>
      </c>
      <c r="BE109" s="14">
        <f>BD109*VLOOKUP('Données projet'!$B$11,Paramètres!$A$1:$I$89,3,0)*VLOOKUP('Données projet'!$B$11,Paramètres!$A$1:$I$89,5,0)</f>
        <v>205.5924</v>
      </c>
      <c r="BF109" s="14">
        <f t="shared" si="91"/>
        <v>50.971228364263673</v>
      </c>
      <c r="BG109" s="22">
        <f t="shared" si="61"/>
        <v>446.84831940109251</v>
      </c>
      <c r="BH109" s="62">
        <f t="shared" si="62"/>
        <v>740.18165273442582</v>
      </c>
      <c r="BI109" s="62">
        <f ca="1">AVERAGE(OFFSET($BH$3,0,0,'Données projet'!$E$11+1,1))-AVERAGE(OFFSET($H$3,0,0,'Données projet'!$E$11+1,1))</f>
        <v>146.25807703055079</v>
      </c>
      <c r="BJ109" s="62">
        <f t="shared" si="92"/>
        <v>177.40137940534413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2.1140967023142156</v>
      </c>
      <c r="BQ109" s="23">
        <f>EXP(-LN(2)/25)*BQ108+(1-EXP(-LN(2)/25))/(LN(2)/25)*Calculateur!BL109*Calculateur!BN109*VLOOKUP('Données projet'!$B$11,Paramètres!$A$1:$I$89,3,0)*0.475*44/12</f>
        <v>1.1861515275983339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3.3002482299125493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760.1400000000001</v>
      </c>
      <c r="BZ109" s="14">
        <f>BY109*VLOOKUP('Données projet'!$B$12,Paramètres!$A$1:$I$89,3,0)*VLOOKUP('Données projet'!$B$12,Paramètres!$A$1:$I$89,5,0)</f>
        <v>355.74552000000006</v>
      </c>
      <c r="CA109" s="14">
        <f t="shared" si="93"/>
        <v>82.744450026504168</v>
      </c>
      <c r="CB109" s="22">
        <f t="shared" si="64"/>
        <v>763.70336446282818</v>
      </c>
      <c r="CC109" s="62">
        <f t="shared" si="65"/>
        <v>1057.0366977961614</v>
      </c>
      <c r="CD109" s="62">
        <f ca="1">AVERAGE(OFFSET($CC$3,0,0,'Données projet'!$E$12+1,1))-AVERAGE(OFFSET($H$3,0,0,'Données projet'!$E$12+1,1))</f>
        <v>287.12723448949828</v>
      </c>
      <c r="CE109" s="62">
        <f t="shared" si="94"/>
        <v>170.5203352323382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2.5660160419221167</v>
      </c>
      <c r="CL109" s="23">
        <f>EXP(-LN(2)/25)*CL108+(1-EXP(-LN(2)/25))/(LN(2)/25)*Calculateur!CG109*Calculateur!CI109*VLOOKUP('Données projet'!$B$12,Paramètres!$A$1:$I$89,3,0)*0.475*44/12</f>
        <v>11.217184714421593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13.78320075634371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477.12000000000097</v>
      </c>
      <c r="CU109" s="18">
        <f>CT109*VLOOKUP('Données projet'!$B$13,Paramètres!$A$1:$I$89,3,0)*VLOOKUP('Données projet'!$B$13,Paramètres!$A$1:$I$89,5,0)</f>
        <v>461.47046400000096</v>
      </c>
      <c r="CV109" s="14">
        <f t="shared" si="95"/>
        <v>104.13329806929862</v>
      </c>
      <c r="CW109" s="22">
        <f t="shared" si="67"/>
        <v>985.09321893736342</v>
      </c>
      <c r="CX109" s="62">
        <f t="shared" si="68"/>
        <v>1278.4265522706967</v>
      </c>
      <c r="CY109" s="62">
        <f ca="1">AVERAGE(OFFSET($CX$3,0,0,'Données projet'!$E$13+1,1))-AVERAGE(OFFSET($H$3,0,0,'Données projet'!$E$13+1,1))</f>
        <v>467.37715054082025</v>
      </c>
      <c r="CZ109" s="62">
        <f t="shared" si="96"/>
        <v>443.35096563136415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2.2375142805022068</v>
      </c>
      <c r="DG109" s="23">
        <f>EXP(-LN(2)/25)*DG108+(1-EXP(-LN(2)/25))/(LN(2)/25)*Calculateur!DB109*Calculateur!DD109*VLOOKUP('Données projet'!$B$13,Paramètres!$A$1:$I$89,3,0)*0.475*44/12</f>
        <v>1.7788833819874397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4.0163976624896467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477.12000000000097</v>
      </c>
      <c r="DP109" s="18">
        <f>DO109*VLOOKUP('Données projet'!$B$14,Paramètres!$A$1:$I$89,3,0)*VLOOKUP('Données projet'!$B$14,Paramètres!$A$1:$I$89,5,0)</f>
        <v>513.57196800000099</v>
      </c>
      <c r="DQ109" s="14">
        <f t="shared" si="97"/>
        <v>114.45621584436451</v>
      </c>
      <c r="DR109" s="22">
        <f t="shared" si="70"/>
        <v>1093.8157535289363</v>
      </c>
      <c r="DS109" s="62">
        <f t="shared" si="71"/>
        <v>1387.1490868622695</v>
      </c>
      <c r="DT109" s="62">
        <f ca="1">AVERAGE(OFFSET($DS$3,0,0,'Données projet'!$E$14+1,1))-AVERAGE(OFFSET($H$3,0,0,'Données projet'!$E$14+1,1))</f>
        <v>524.51242549438939</v>
      </c>
      <c r="DU109" s="62">
        <f t="shared" si="98"/>
        <v>494.88778446576327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2.4901368605589052</v>
      </c>
      <c r="EB109" s="23">
        <f>EXP(-LN(2)/25)*EB108+(1-EXP(-LN(2)/25))/(LN(2)/25)*Calculateur!DW109*Calculateur!DY109*VLOOKUP('Données projet'!$B$14,Paramètres!$A$1:$I$89,3,0)*0.475*44/12</f>
        <v>1.9797250541473124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4.4698619147062173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467.3147852106901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3.1741666666666695</v>
      </c>
      <c r="N110" s="14">
        <f>IF('Données projet'!$A$36&gt;35,N109+M110-V109,IF(A110&lt;'Données projet'!$A$36,$K$205^A110,IF(A110='Données projet'!$A$36,'Données projet'!$B$36,N109+M110-V109)))</f>
        <v>316.73166666666646</v>
      </c>
      <c r="O110" s="14">
        <f>N110*VLOOKUP('Données projet'!$B$9,Paramètres!$A$1:$I$89,3,0)*VLOOKUP('Données projet'!$B$9,Paramètres!$A$1:$I$89,5,0)</f>
        <v>286.5788119999998</v>
      </c>
      <c r="P110" s="14">
        <f t="shared" si="87"/>
        <v>68.355416235201332</v>
      </c>
      <c r="Q110" s="22">
        <f t="shared" si="107"/>
        <v>618.17711417630858</v>
      </c>
      <c r="R110" s="62">
        <f t="shared" si="55"/>
        <v>911.51044750964184</v>
      </c>
      <c r="S110" s="62">
        <f ca="1">AVERAGE(OFFSET($R$3,0,0,'Données projet'!$E$9+1,1))-AVERAGE(OFFSET($H$3,0,0,'Données projet'!$E$9+1,1))</f>
        <v>299.17641394512162</v>
      </c>
      <c r="T110" s="62">
        <f t="shared" si="88"/>
        <v>180.73046320039873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5.8392107763550793</v>
      </c>
      <c r="AA110" s="23">
        <f>EXP(-LN(2)/25)*AA109+(1-EXP(-LN(2)/25))/(LN(2)/25)*Calculateur!V110*Calculateur!X110*VLOOKUP('Données projet'!$B$9,Paramètres!$A$1:$I$89,3,0)*0.475*44/12</f>
        <v>4.6827121429341956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10.521922919289274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4.4500000000000028</v>
      </c>
      <c r="AI110" s="14">
        <f>IF('Données projet'!$A$62&gt;35,AI109+AH110-AQ109,IF(A110&lt;'Données projet'!$A$62,$AF$205^A110,IF(A110='Données projet'!$A$62,'Données projet'!$B$62,AI109+AH110-AQ109)))</f>
        <v>322.89999999999918</v>
      </c>
      <c r="AJ110" s="14">
        <f>AI110*VLOOKUP('Données projet'!$B$10,Paramètres!$A$1:$I$89,3,0)*VLOOKUP('Données projet'!$B$10,Paramètres!$A$1:$I$89,5,0)</f>
        <v>327.42059999999918</v>
      </c>
      <c r="AK110" s="14">
        <f t="shared" si="89"/>
        <v>76.895287756077337</v>
      </c>
      <c r="AL110" s="22">
        <f t="shared" si="58"/>
        <v>704.18350450849994</v>
      </c>
      <c r="AM110" s="62">
        <f t="shared" si="59"/>
        <v>997.51683784183319</v>
      </c>
      <c r="AN110" s="62">
        <f ca="1">AVERAGE(OFFSET($AM$3,0,0,'Données projet'!$E$10+1,1))-AVERAGE(OFFSET($H$3,0,0,'Données projet'!$E$10+1,1))</f>
        <v>384.66322295929552</v>
      </c>
      <c r="AO110" s="62">
        <f t="shared" si="90"/>
        <v>248.53970183513286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4.9586336346371436</v>
      </c>
      <c r="AV110" s="23">
        <f>EXP(-LN(2)/25)*AV109+(1-EXP(-LN(2)/25))/(LN(2)/25)*Calculateur!AQ110*Calculateur!AS110*VLOOKUP('Données projet'!$B$10,Paramètres!$A$1:$I$89,3,0)*0.475*44/12</f>
        <v>3.9680435656155559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8.9266772002526995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343.79999999999995</v>
      </c>
      <c r="BE110" s="14">
        <f>BD110*VLOOKUP('Données projet'!$B$11,Paramètres!$A$1:$I$89,3,0)*VLOOKUP('Données projet'!$B$11,Paramètres!$A$1:$I$89,5,0)</f>
        <v>205.5924</v>
      </c>
      <c r="BF110" s="14">
        <f t="shared" si="91"/>
        <v>50.971228364263673</v>
      </c>
      <c r="BG110" s="22">
        <f t="shared" si="61"/>
        <v>446.84831940109251</v>
      </c>
      <c r="BH110" s="62">
        <f t="shared" si="62"/>
        <v>740.18165273442582</v>
      </c>
      <c r="BI110" s="62">
        <f ca="1">AVERAGE(OFFSET($BH$3,0,0,'Données projet'!$E$11+1,1))-AVERAGE(OFFSET($H$3,0,0,'Données projet'!$E$11+1,1))</f>
        <v>146.25807703055079</v>
      </c>
      <c r="BJ110" s="62">
        <f t="shared" si="92"/>
        <v>177.40137940534413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2.0726405554534977</v>
      </c>
      <c r="BQ110" s="23">
        <f>EXP(-LN(2)/25)*BQ109+(1-EXP(-LN(2)/25))/(LN(2)/25)*Calculateur!BL110*Calculateur!BN110*VLOOKUP('Données projet'!$B$11,Paramètres!$A$1:$I$89,3,0)*0.475*44/12</f>
        <v>1.1537161516991596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3.2263567071526573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760.1400000000001</v>
      </c>
      <c r="BZ110" s="14">
        <f>BY110*VLOOKUP('Données projet'!$B$12,Paramètres!$A$1:$I$89,3,0)*VLOOKUP('Données projet'!$B$12,Paramètres!$A$1:$I$89,5,0)</f>
        <v>355.74552000000006</v>
      </c>
      <c r="CA110" s="14">
        <f t="shared" si="93"/>
        <v>82.744450026504168</v>
      </c>
      <c r="CB110" s="22">
        <f t="shared" si="64"/>
        <v>763.70336446282818</v>
      </c>
      <c r="CC110" s="62">
        <f t="shared" si="65"/>
        <v>1057.0366977961614</v>
      </c>
      <c r="CD110" s="62">
        <f ca="1">AVERAGE(OFFSET($CC$3,0,0,'Données projet'!$E$12+1,1))-AVERAGE(OFFSET($H$3,0,0,'Données projet'!$E$12+1,1))</f>
        <v>287.12723448949828</v>
      </c>
      <c r="CE110" s="62">
        <f t="shared" si="94"/>
        <v>170.5203352323382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2.5156980324552674</v>
      </c>
      <c r="CL110" s="23">
        <f>EXP(-LN(2)/25)*CL109+(1-EXP(-LN(2)/25))/(LN(2)/25)*Calculateur!CG110*Calculateur!CI110*VLOOKUP('Données projet'!$B$12,Paramètres!$A$1:$I$89,3,0)*0.475*44/12</f>
        <v>10.910450208519627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13.426148240974895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477.12000000000097</v>
      </c>
      <c r="CU110" s="18">
        <f>CT110*VLOOKUP('Données projet'!$B$13,Paramètres!$A$1:$I$89,3,0)*VLOOKUP('Données projet'!$B$13,Paramètres!$A$1:$I$89,5,0)</f>
        <v>461.47046400000096</v>
      </c>
      <c r="CV110" s="14">
        <f t="shared" si="95"/>
        <v>104.13329806929862</v>
      </c>
      <c r="CW110" s="22">
        <f t="shared" si="67"/>
        <v>985.09321893736342</v>
      </c>
      <c r="CX110" s="62">
        <f t="shared" si="68"/>
        <v>1278.4265522706967</v>
      </c>
      <c r="CY110" s="62">
        <f ca="1">AVERAGE(OFFSET($CX$3,0,0,'Données projet'!$E$13+1,1))-AVERAGE(OFFSET($H$3,0,0,'Données projet'!$E$13+1,1))</f>
        <v>467.37715054082025</v>
      </c>
      <c r="CZ110" s="62">
        <f t="shared" si="96"/>
        <v>443.35096563136415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2.1936379902105116</v>
      </c>
      <c r="DG110" s="23">
        <f>EXP(-LN(2)/25)*DG109+(1-EXP(-LN(2)/25))/(LN(2)/25)*Calculateur!DB110*Calculateur!DD110*VLOOKUP('Données projet'!$B$13,Paramètres!$A$1:$I$89,3,0)*0.475*44/12</f>
        <v>1.7302397223595818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3.9238777125700937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477.12000000000097</v>
      </c>
      <c r="DP110" s="18">
        <f>DO110*VLOOKUP('Données projet'!$B$14,Paramètres!$A$1:$I$89,3,0)*VLOOKUP('Données projet'!$B$14,Paramètres!$A$1:$I$89,5,0)</f>
        <v>513.57196800000099</v>
      </c>
      <c r="DQ110" s="14">
        <f t="shared" si="97"/>
        <v>114.45621584436451</v>
      </c>
      <c r="DR110" s="22">
        <f t="shared" si="70"/>
        <v>1093.8157535289363</v>
      </c>
      <c r="DS110" s="62">
        <f t="shared" si="71"/>
        <v>1387.1490868622695</v>
      </c>
      <c r="DT110" s="62">
        <f ca="1">AVERAGE(OFFSET($DS$3,0,0,'Données projet'!$E$14+1,1))-AVERAGE(OFFSET($H$3,0,0,'Données projet'!$E$14+1,1))</f>
        <v>524.51242549438939</v>
      </c>
      <c r="DU110" s="62">
        <f t="shared" si="98"/>
        <v>494.88778446576327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2.4413067955568577</v>
      </c>
      <c r="EB110" s="23">
        <f>EXP(-LN(2)/25)*EB109+(1-EXP(-LN(2)/25))/(LN(2)/25)*Calculateur!DW110*Calculateur!DY110*VLOOKUP('Données projet'!$B$14,Paramètres!$A$1:$I$89,3,0)*0.475*44/12</f>
        <v>1.9255893684324383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4.3668961639892956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469.23437192664602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3.1741666666666695</v>
      </c>
      <c r="N111" s="14">
        <f>IF('Données projet'!$A$36&gt;35,N110+M111-V110,IF(A111&lt;'Données projet'!$A$36,$K$205^A111,IF(A111='Données projet'!$A$36,'Données projet'!$B$36,N110+M111-V110)))</f>
        <v>319.90583333333313</v>
      </c>
      <c r="O111" s="14">
        <f>N111*VLOOKUP('Données projet'!$B$9,Paramètres!$A$1:$I$89,3,0)*VLOOKUP('Données projet'!$B$9,Paramètres!$A$1:$I$89,5,0)</f>
        <v>289.45079799999979</v>
      </c>
      <c r="P111" s="14">
        <f t="shared" si="87"/>
        <v>68.960359213619469</v>
      </c>
      <c r="Q111" s="22">
        <f t="shared" si="107"/>
        <v>624.23276548038689</v>
      </c>
      <c r="R111" s="62">
        <f t="shared" si="55"/>
        <v>917.56609881372015</v>
      </c>
      <c r="S111" s="62">
        <f ca="1">AVERAGE(OFFSET($R$3,0,0,'Données projet'!$E$9+1,1))-AVERAGE(OFFSET($H$3,0,0,'Données projet'!$E$9+1,1))</f>
        <v>299.17641394512162</v>
      </c>
      <c r="T111" s="62">
        <f t="shared" si="88"/>
        <v>180.73046320039873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5.7247074145976544</v>
      </c>
      <c r="AA111" s="23">
        <f>EXP(-LN(2)/25)*AA110+(1-EXP(-LN(2)/25))/(LN(2)/25)*Calculateur!V111*Calculateur!X111*VLOOKUP('Données projet'!$B$9,Paramètres!$A$1:$I$89,3,0)*0.475*44/12</f>
        <v>4.5546631331325305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10.279370547730185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4.4500000000000028</v>
      </c>
      <c r="AI111" s="14">
        <f>IF('Données projet'!$A$62&gt;35,AI110+AH111-AQ110,IF(A111&lt;'Données projet'!$A$62,$AF$205^A111,IF(A111='Données projet'!$A$62,'Données projet'!$B$62,AI110+AH111-AQ110)))</f>
        <v>327.34999999999917</v>
      </c>
      <c r="AJ111" s="14">
        <f>AI111*VLOOKUP('Données projet'!$B$10,Paramètres!$A$1:$I$89,3,0)*VLOOKUP('Données projet'!$B$10,Paramètres!$A$1:$I$89,5,0)</f>
        <v>331.93289999999917</v>
      </c>
      <c r="AK111" s="14">
        <f t="shared" si="89"/>
        <v>77.830910344095116</v>
      </c>
      <c r="AL111" s="22">
        <f t="shared" si="58"/>
        <v>713.6719696826309</v>
      </c>
      <c r="AM111" s="62">
        <f t="shared" si="59"/>
        <v>1007.0053030159643</v>
      </c>
      <c r="AN111" s="62">
        <f ca="1">AVERAGE(OFFSET($AM$3,0,0,'Données projet'!$E$10+1,1))-AVERAGE(OFFSET($H$3,0,0,'Données projet'!$E$10+1,1))</f>
        <v>384.66322295929552</v>
      </c>
      <c r="AO111" s="62">
        <f t="shared" si="90"/>
        <v>248.53970183513286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4.8613978535297848</v>
      </c>
      <c r="AV111" s="23">
        <f>EXP(-LN(2)/25)*AV110+(1-EXP(-LN(2)/25))/(LN(2)/25)*Calculateur!AQ111*Calculateur!AS111*VLOOKUP('Données projet'!$B$10,Paramètres!$A$1:$I$89,3,0)*0.475*44/12</f>
        <v>3.8595372056434565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8.7209350591732413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343.79999999999995</v>
      </c>
      <c r="BE111" s="14">
        <f>BD111*VLOOKUP('Données projet'!$B$11,Paramètres!$A$1:$I$89,3,0)*VLOOKUP('Données projet'!$B$11,Paramètres!$A$1:$I$89,5,0)</f>
        <v>205.5924</v>
      </c>
      <c r="BF111" s="14">
        <f t="shared" si="91"/>
        <v>50.971228364263673</v>
      </c>
      <c r="BG111" s="22">
        <f t="shared" si="61"/>
        <v>446.84831940109251</v>
      </c>
      <c r="BH111" s="62">
        <f t="shared" si="62"/>
        <v>740.18165273442582</v>
      </c>
      <c r="BI111" s="62">
        <f ca="1">AVERAGE(OFFSET($BH$3,0,0,'Données projet'!$E$11+1,1))-AVERAGE(OFFSET($H$3,0,0,'Données projet'!$E$11+1,1))</f>
        <v>146.25807703055079</v>
      </c>
      <c r="BJ111" s="62">
        <f t="shared" si="92"/>
        <v>177.40137940534413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2.0319973383469656</v>
      </c>
      <c r="BQ111" s="23">
        <f>EXP(-LN(2)/25)*BQ110+(1-EXP(-LN(2)/25))/(LN(2)/25)*Calculateur!BL111*Calculateur!BN111*VLOOKUP('Données projet'!$B$11,Paramètres!$A$1:$I$89,3,0)*0.475*44/12</f>
        <v>1.1221677228596505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3.1541650612066161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760.1400000000001</v>
      </c>
      <c r="BZ111" s="14">
        <f>BY111*VLOOKUP('Données projet'!$B$12,Paramètres!$A$1:$I$89,3,0)*VLOOKUP('Données projet'!$B$12,Paramètres!$A$1:$I$89,5,0)</f>
        <v>355.74552000000006</v>
      </c>
      <c r="CA111" s="14">
        <f t="shared" si="93"/>
        <v>82.744450026504168</v>
      </c>
      <c r="CB111" s="22">
        <f t="shared" si="64"/>
        <v>763.70336446282818</v>
      </c>
      <c r="CC111" s="62">
        <f t="shared" si="65"/>
        <v>1057.0366977961614</v>
      </c>
      <c r="CD111" s="62">
        <f ca="1">AVERAGE(OFFSET($CC$3,0,0,'Données projet'!$E$12+1,1))-AVERAGE(OFFSET($H$3,0,0,'Données projet'!$E$12+1,1))</f>
        <v>287.12723448949828</v>
      </c>
      <c r="CE111" s="62">
        <f t="shared" si="94"/>
        <v>170.5203352323382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2.4663667284631074</v>
      </c>
      <c r="CL111" s="23">
        <f>EXP(-LN(2)/25)*CL110+(1-EXP(-LN(2)/25))/(LN(2)/25)*Calculateur!CG111*Calculateur!CI111*VLOOKUP('Données projet'!$B$12,Paramètres!$A$1:$I$89,3,0)*0.475*44/12</f>
        <v>10.612103373812017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13.078470102275125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477.12000000000097</v>
      </c>
      <c r="CU111" s="18">
        <f>CT111*VLOOKUP('Données projet'!$B$13,Paramètres!$A$1:$I$89,3,0)*VLOOKUP('Données projet'!$B$13,Paramètres!$A$1:$I$89,5,0)</f>
        <v>461.47046400000096</v>
      </c>
      <c r="CV111" s="14">
        <f t="shared" si="95"/>
        <v>104.13329806929862</v>
      </c>
      <c r="CW111" s="22">
        <f t="shared" si="67"/>
        <v>985.09321893736342</v>
      </c>
      <c r="CX111" s="62">
        <f t="shared" si="68"/>
        <v>1278.4265522706967</v>
      </c>
      <c r="CY111" s="62">
        <f ca="1">AVERAGE(OFFSET($CX$3,0,0,'Données projet'!$E$13+1,1))-AVERAGE(OFFSET($H$3,0,0,'Données projet'!$E$13+1,1))</f>
        <v>467.37715054082025</v>
      </c>
      <c r="CZ111" s="62">
        <f t="shared" si="96"/>
        <v>443.35096563136415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2.1506220872095425</v>
      </c>
      <c r="DG111" s="23">
        <f>EXP(-LN(2)/25)*DG110+(1-EXP(-LN(2)/25))/(LN(2)/25)*Calculateur!DB111*Calculateur!DD111*VLOOKUP('Données projet'!$B$13,Paramètres!$A$1:$I$89,3,0)*0.475*44/12</f>
        <v>1.6829262261623066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3.8335483133718489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477.12000000000097</v>
      </c>
      <c r="DP111" s="18">
        <f>DO111*VLOOKUP('Données projet'!$B$14,Paramètres!$A$1:$I$89,3,0)*VLOOKUP('Données projet'!$B$14,Paramètres!$A$1:$I$89,5,0)</f>
        <v>513.57196800000099</v>
      </c>
      <c r="DQ111" s="14">
        <f t="shared" si="97"/>
        <v>114.45621584436451</v>
      </c>
      <c r="DR111" s="22">
        <f t="shared" si="70"/>
        <v>1093.8157535289363</v>
      </c>
      <c r="DS111" s="62">
        <f t="shared" si="71"/>
        <v>1387.1490868622695</v>
      </c>
      <c r="DT111" s="62">
        <f ca="1">AVERAGE(OFFSET($DS$3,0,0,'Données projet'!$E$14+1,1))-AVERAGE(OFFSET($H$3,0,0,'Données projet'!$E$14+1,1))</f>
        <v>524.51242549438939</v>
      </c>
      <c r="DU111" s="62">
        <f t="shared" si="98"/>
        <v>494.88778446576327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2.3934342583461015</v>
      </c>
      <c r="EB111" s="23">
        <f>EXP(-LN(2)/25)*EB110+(1-EXP(-LN(2)/25))/(LN(2)/25)*Calculateur!DW111*Calculateur!DY111*VLOOKUP('Données projet'!$B$14,Paramètres!$A$1:$I$89,3,0)*0.475*44/12</f>
        <v>1.8729340258903093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4.2663682842364103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471.15355910766601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>
        <f>VLOOKUP(A112,'Données projet'!$A$35:$I$55,2,0)</f>
        <v>323.08</v>
      </c>
      <c r="L112" s="13">
        <f>VLOOKUP(A112,'Données projet'!$A$35:$I$55,9,0)</f>
        <v>3.1741666666666695</v>
      </c>
      <c r="M112" s="13">
        <f t="array" ref="M112">INDEX(L:L,MIN(IF(ISNUMBER(L112:L308),ROW(L112:L308),"")))</f>
        <v>3.1741666666666695</v>
      </c>
      <c r="N112" s="14">
        <f>IF('Données projet'!$A$36&gt;35,N111+M112-V111,IF(A112&lt;'Données projet'!$A$36,$K$205^A112,IF(A112='Données projet'!$A$36,'Données projet'!$B$36,N111+M112-V111)))</f>
        <v>323.07999999999981</v>
      </c>
      <c r="O112" s="14">
        <f>N112*VLOOKUP('Données projet'!$B$9,Paramètres!$A$1:$I$89,3,0)*VLOOKUP('Données projet'!$B$9,Paramètres!$A$1:$I$89,5,0)</f>
        <v>292.32278399999979</v>
      </c>
      <c r="P112" s="14">
        <f t="shared" si="87"/>
        <v>69.564603908576387</v>
      </c>
      <c r="Q112" s="22">
        <f t="shared" si="107"/>
        <v>630.28720060743683</v>
      </c>
      <c r="R112" s="62">
        <f t="shared" si="55"/>
        <v>923.6205339407702</v>
      </c>
      <c r="S112" s="62">
        <f ca="1">AVERAGE(OFFSET($R$3,0,0,'Données projet'!$E$9+1,1))-AVERAGE(OFFSET($H$3,0,0,'Données projet'!$E$9+1,1))</f>
        <v>299.17641394512162</v>
      </c>
      <c r="T112" s="62">
        <f t="shared" si="88"/>
        <v>180.73046320039873</v>
      </c>
      <c r="U112" s="16">
        <f>IF(ISNA(VLOOKUP(A112,'Données projet'!$A$35:$I$55,3,0)),0,VLOOKUP(A112,'Données projet'!$A$35:$I$55,3,0))</f>
        <v>8</v>
      </c>
      <c r="V112" s="16">
        <f>IF(ISNA(VLOOKUP(A112,'Données projet'!$A$35:$I$55,4,0)),0,VLOOKUP(A112,'Données projet'!$A$35:$I$55,4,0))</f>
        <v>32.31</v>
      </c>
      <c r="W112" s="17">
        <f>IF(ISNA(VLOOKUP(A112,'Données projet'!$A$35:$I$55,5,0)),0%,VLOOKUP(A112,'Données projet'!$A$35:$I$55,5,0)*VLOOKUP('Données projet'!$B$9,Paramètres!$A$1:$I$89,7,0))</f>
        <v>8.6000000000000007E-2</v>
      </c>
      <c r="X112" s="17">
        <f>IF(ISNA(VLOOKUP(A112,'Données projet'!$A$35:$I$55,6,0)),0%,VLOOKUP(A112,'Données projet'!$A$35:$I$55,6,0)*VLOOKUP('Données projet'!$B$9,Paramètres!$A$1:$I$89,7,0))</f>
        <v>7.7399999999999997E-2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8.3917473725968694</v>
      </c>
      <c r="AA112" s="23">
        <f>EXP(-LN(2)/25)*AA111+(1-EXP(-LN(2)/25))/(LN(2)/25)*Calculateur!V112*Calculateur!X112*VLOOKUP('Données projet'!$B$9,Paramètres!$A$1:$I$89,3,0)*0.475*44/12</f>
        <v>6.9216349714193264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15.313382344016196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>
        <f>VLOOKUP(A112,'Données projet'!$A$61:$I$81,2,0)</f>
        <v>331.8</v>
      </c>
      <c r="AG112" s="13">
        <f>VLOOKUP(A112,'Données projet'!$A$61:$I$81,9,0)</f>
        <v>4.4500000000000028</v>
      </c>
      <c r="AH112" s="13">
        <f t="array" ref="AH112">INDEX(AG:AG,MIN(IF(ISNUMBER(AG112:AG308),ROW(AG112:AG308),"")))</f>
        <v>4.4500000000000028</v>
      </c>
      <c r="AI112" s="14">
        <f>IF('Données projet'!$A$62&gt;35,AI111+AH112-AQ111,IF(A112&lt;'Données projet'!$A$62,$AF$205^A112,IF(A112='Données projet'!$A$62,'Données projet'!$B$62,AI111+AH112-AQ111)))</f>
        <v>331.79999999999916</v>
      </c>
      <c r="AJ112" s="14">
        <f>AI112*VLOOKUP('Données projet'!$B$10,Paramètres!$A$1:$I$89,3,0)*VLOOKUP('Données projet'!$B$10,Paramètres!$A$1:$I$89,5,0)</f>
        <v>336.44519999999915</v>
      </c>
      <c r="AK112" s="14">
        <f t="shared" si="89"/>
        <v>78.765053578719517</v>
      </c>
      <c r="AL112" s="22">
        <f t="shared" si="58"/>
        <v>723.15785831626829</v>
      </c>
      <c r="AM112" s="62">
        <f t="shared" si="59"/>
        <v>1016.4911916496017</v>
      </c>
      <c r="AN112" s="62">
        <f ca="1">AVERAGE(OFFSET($AM$3,0,0,'Données projet'!$E$10+1,1))-AVERAGE(OFFSET($H$3,0,0,'Données projet'!$E$10+1,1))</f>
        <v>384.66322295929552</v>
      </c>
      <c r="AO112" s="62">
        <f t="shared" si="90"/>
        <v>248.53970183513286</v>
      </c>
      <c r="AP112" s="16">
        <f>IF(ISNA(VLOOKUP(A112,'Données projet'!$A$61:$I$81,3,0)),0,VLOOKUP(A112,'Données projet'!$A$61:$I$81,3,0))</f>
        <v>8</v>
      </c>
      <c r="AQ112" s="16">
        <f>IF(ISNA(VLOOKUP(A112,'Données projet'!$A$61:$I$81,4,0)),0,VLOOKUP(A112,'Données projet'!$A$61:$I$81,4,0))</f>
        <v>33.18</v>
      </c>
      <c r="AR112" s="17">
        <f>IF(ISNA(VLOOKUP(A112,'Données projet'!$A$61:$I$81,5,0)),0%,VLOOKUP(A112,'Données projet'!$A$61:$I$81,5,0)*VLOOKUP('Données projet'!$B$10,Paramètres!$A$1:$I$89,7,0))</f>
        <v>6.88E-2</v>
      </c>
      <c r="AS112" s="17">
        <f>IF(ISNA(VLOOKUP(A112,'Données projet'!$A$61:$I$81,6,0)),0%,VLOOKUP(A112,'Données projet'!$A$61:$I$81,6,0)*VLOOKUP('Données projet'!$B$10,Paramètres!$A$1:$I$89,7,0))</f>
        <v>6.4500000000000002E-2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7.3249486029819213</v>
      </c>
      <c r="AV112" s="23">
        <f>EXP(-LN(2)/25)*AV111+(1-EXP(-LN(2)/25))/(LN(2)/25)*Calculateur!AQ112*Calculateur!AS112*VLOOKUP('Données projet'!$B$10,Paramètres!$A$1:$I$89,3,0)*0.475*44/12</f>
        <v>6.1435021872590232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13.468450790240944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343.79999999999995</v>
      </c>
      <c r="BE112" s="14">
        <f>BD112*VLOOKUP('Données projet'!$B$11,Paramètres!$A$1:$I$89,3,0)*VLOOKUP('Données projet'!$B$11,Paramètres!$A$1:$I$89,5,0)</f>
        <v>205.5924</v>
      </c>
      <c r="BF112" s="14">
        <f t="shared" si="91"/>
        <v>50.971228364263673</v>
      </c>
      <c r="BG112" s="22">
        <f t="shared" si="61"/>
        <v>446.84831940109251</v>
      </c>
      <c r="BH112" s="62">
        <f t="shared" si="62"/>
        <v>740.18165273442582</v>
      </c>
      <c r="BI112" s="62">
        <f ca="1">AVERAGE(OFFSET($BH$3,0,0,'Données projet'!$E$11+1,1))-AVERAGE(OFFSET($H$3,0,0,'Données projet'!$E$11+1,1))</f>
        <v>146.25807703055079</v>
      </c>
      <c r="BJ112" s="62">
        <f t="shared" si="92"/>
        <v>177.40137940534413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1.9921511099379778</v>
      </c>
      <c r="BQ112" s="23">
        <f>EXP(-LN(2)/25)*BQ111+(1-EXP(-LN(2)/25))/(LN(2)/25)*Calculateur!BL112*Calculateur!BN112*VLOOKUP('Données projet'!$B$11,Paramètres!$A$1:$I$89,3,0)*0.475*44/12</f>
        <v>1.0914819874658175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3.0836330974037951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760.1400000000001</v>
      </c>
      <c r="BZ112" s="14">
        <f>BY112*VLOOKUP('Données projet'!$B$12,Paramètres!$A$1:$I$89,3,0)*VLOOKUP('Données projet'!$B$12,Paramètres!$A$1:$I$89,5,0)</f>
        <v>355.74552000000006</v>
      </c>
      <c r="CA112" s="14">
        <f t="shared" si="93"/>
        <v>82.744450026504168</v>
      </c>
      <c r="CB112" s="22">
        <f t="shared" si="64"/>
        <v>763.70336446282818</v>
      </c>
      <c r="CC112" s="62">
        <f t="shared" si="65"/>
        <v>1057.0366977961614</v>
      </c>
      <c r="CD112" s="62">
        <f ca="1">AVERAGE(OFFSET($CC$3,0,0,'Données projet'!$E$12+1,1))-AVERAGE(OFFSET($H$3,0,0,'Données projet'!$E$12+1,1))</f>
        <v>287.12723448949828</v>
      </c>
      <c r="CE112" s="62">
        <f t="shared" si="94"/>
        <v>170.5203352323382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2.4180027812531093</v>
      </c>
      <c r="CL112" s="23">
        <f>EXP(-LN(2)/25)*CL111+(1-EXP(-LN(2)/25))/(LN(2)/25)*Calculateur!CG112*Calculateur!CI112*VLOOKUP('Données projet'!$B$12,Paramètres!$A$1:$I$89,3,0)*0.475*44/12</f>
        <v>10.321914848988865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12.739917630241974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477.12000000000097</v>
      </c>
      <c r="CU112" s="18">
        <f>CT112*VLOOKUP('Données projet'!$B$13,Paramètres!$A$1:$I$89,3,0)*VLOOKUP('Données projet'!$B$13,Paramètres!$A$1:$I$89,5,0)</f>
        <v>461.47046400000096</v>
      </c>
      <c r="CV112" s="14">
        <f t="shared" si="95"/>
        <v>104.13329806929862</v>
      </c>
      <c r="CW112" s="22">
        <f t="shared" si="67"/>
        <v>985.09321893736342</v>
      </c>
      <c r="CX112" s="62">
        <f t="shared" si="68"/>
        <v>1278.4265522706967</v>
      </c>
      <c r="CY112" s="62">
        <f ca="1">AVERAGE(OFFSET($CX$3,0,0,'Données projet'!$E$13+1,1))-AVERAGE(OFFSET($H$3,0,0,'Données projet'!$E$13+1,1))</f>
        <v>467.37715054082025</v>
      </c>
      <c r="CZ112" s="62">
        <f t="shared" si="96"/>
        <v>443.35096563136415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2.1084496998293121</v>
      </c>
      <c r="DG112" s="23">
        <f>EXP(-LN(2)/25)*DG111+(1-EXP(-LN(2)/25))/(LN(2)/25)*Calculateur!DB112*Calculateur!DD112*VLOOKUP('Données projet'!$B$13,Paramètres!$A$1:$I$89,3,0)*0.475*44/12</f>
        <v>1.6369065200066544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3.7453562198359664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477.12000000000097</v>
      </c>
      <c r="DP112" s="18">
        <f>DO112*VLOOKUP('Données projet'!$B$14,Paramètres!$A$1:$I$89,3,0)*VLOOKUP('Données projet'!$B$14,Paramètres!$A$1:$I$89,5,0)</f>
        <v>513.57196800000099</v>
      </c>
      <c r="DQ112" s="14">
        <f t="shared" si="97"/>
        <v>114.45621584436451</v>
      </c>
      <c r="DR112" s="22">
        <f t="shared" si="70"/>
        <v>1093.8157535289363</v>
      </c>
      <c r="DS112" s="62">
        <f t="shared" si="71"/>
        <v>1387.1490868622695</v>
      </c>
      <c r="DT112" s="62">
        <f ca="1">AVERAGE(OFFSET($DS$3,0,0,'Données projet'!$E$14+1,1))-AVERAGE(OFFSET($H$3,0,0,'Données projet'!$E$14+1,1))</f>
        <v>524.51242549438939</v>
      </c>
      <c r="DU112" s="62">
        <f t="shared" si="98"/>
        <v>494.88778446576327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2.3465004723906837</v>
      </c>
      <c r="EB112" s="23">
        <f>EXP(-LN(2)/25)*EB111+(1-EXP(-LN(2)/25))/(LN(2)/25)*Calculateur!DW112*Calculateur!DY112*VLOOKUP('Données projet'!$B$14,Paramètres!$A$1:$I$89,3,0)*0.475*44/12</f>
        <v>1.8217185464590191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4.1682190188497028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473.0723508437984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2.550000000000002</v>
      </c>
      <c r="N113" s="14">
        <f>IF('Données projet'!$A$36&gt;35,N112+M113-V112,IF(A113&lt;'Données projet'!$A$36,$K$205^A113,IF(A113='Données projet'!$A$36,'Données projet'!$B$36,N112+M113-V112)))</f>
        <v>293.31999999999982</v>
      </c>
      <c r="O113" s="14">
        <f>N113*VLOOKUP('Données projet'!$B$9,Paramètres!$A$1:$I$89,3,0)*VLOOKUP('Données projet'!$B$9,Paramètres!$A$1:$I$89,5,0)</f>
        <v>265.39593599999984</v>
      </c>
      <c r="P113" s="14">
        <f t="shared" si="87"/>
        <v>63.871194795265815</v>
      </c>
      <c r="Q113" s="22">
        <f t="shared" si="107"/>
        <v>573.47358613508766</v>
      </c>
      <c r="R113" s="62">
        <f t="shared" si="55"/>
        <v>866.80691946842103</v>
      </c>
      <c r="S113" s="62">
        <f ca="1">AVERAGE(OFFSET($R$3,0,0,'Données projet'!$E$9+1,1))-AVERAGE(OFFSET($H$3,0,0,'Données projet'!$E$9+1,1))</f>
        <v>299.17641394512162</v>
      </c>
      <c r="T113" s="62">
        <f t="shared" si="88"/>
        <v>180.73046320039873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8.2271903250807359</v>
      </c>
      <c r="AA113" s="23">
        <f>EXP(-LN(2)/25)*AA112+(1-EXP(-LN(2)/25))/(LN(2)/25)*Calculateur!V113*Calculateur!X113*VLOOKUP('Données projet'!$B$9,Paramètres!$A$1:$I$89,3,0)*0.475*44/12</f>
        <v>6.7323624991329014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14.959552824213638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4.4499999999999984</v>
      </c>
      <c r="AI113" s="14">
        <f>IF('Données projet'!$A$62&gt;35,AI112+AH113-AQ112,IF(A113&lt;'Données projet'!$A$62,$AF$205^A113,IF(A113='Données projet'!$A$62,'Données projet'!$B$62,AI112+AH113-AQ112)))</f>
        <v>303.06999999999914</v>
      </c>
      <c r="AJ113" s="14">
        <f>AI113*VLOOKUP('Données projet'!$B$10,Paramètres!$A$1:$I$89,3,0)*VLOOKUP('Données projet'!$B$10,Paramètres!$A$1:$I$89,5,0)</f>
        <v>307.31297999999913</v>
      </c>
      <c r="AK113" s="14">
        <f t="shared" si="89"/>
        <v>72.707389447441386</v>
      </c>
      <c r="AL113" s="22">
        <f t="shared" si="58"/>
        <v>661.86881012095898</v>
      </c>
      <c r="AM113" s="62">
        <f t="shared" si="59"/>
        <v>955.20214345429235</v>
      </c>
      <c r="AN113" s="62">
        <f ca="1">AVERAGE(OFFSET($AM$3,0,0,'Données projet'!$E$10+1,1))-AVERAGE(OFFSET($H$3,0,0,'Données projet'!$E$10+1,1))</f>
        <v>384.66322295929552</v>
      </c>
      <c r="AO113" s="62">
        <f t="shared" si="90"/>
        <v>248.53970183513286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7.1813108286549374</v>
      </c>
      <c r="AV113" s="23">
        <f>EXP(-LN(2)/25)*AV112+(1-EXP(-LN(2)/25))/(LN(2)/25)*Calculateur!AQ113*Calculateur!AS113*VLOOKUP('Données projet'!$B$10,Paramètres!$A$1:$I$89,3,0)*0.475*44/12</f>
        <v>5.9755077968756867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13.156818625530624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343.79999999999995</v>
      </c>
      <c r="BE113" s="14">
        <f>BD113*VLOOKUP('Données projet'!$B$11,Paramètres!$A$1:$I$89,3,0)*VLOOKUP('Données projet'!$B$11,Paramètres!$A$1:$I$89,5,0)</f>
        <v>205.5924</v>
      </c>
      <c r="BF113" s="14">
        <f t="shared" si="91"/>
        <v>50.971228364263673</v>
      </c>
      <c r="BG113" s="22">
        <f t="shared" si="61"/>
        <v>446.84831940109251</v>
      </c>
      <c r="BH113" s="62">
        <f t="shared" si="62"/>
        <v>740.18165273442582</v>
      </c>
      <c r="BI113" s="62">
        <f ca="1">AVERAGE(OFFSET($BH$3,0,0,'Données projet'!$E$11+1,1))-AVERAGE(OFFSET($H$3,0,0,'Données projet'!$E$11+1,1))</f>
        <v>146.25807703055079</v>
      </c>
      <c r="BJ113" s="62">
        <f t="shared" si="92"/>
        <v>177.40137940534413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1.9530862417642907</v>
      </c>
      <c r="BQ113" s="23">
        <f>EXP(-LN(2)/25)*BQ112+(1-EXP(-LN(2)/25))/(LN(2)/25)*Calculateur!BL113*Calculateur!BN113*VLOOKUP('Données projet'!$B$11,Paramètres!$A$1:$I$89,3,0)*0.475*44/12</f>
        <v>1.0616353551200215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3.0147215968843124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760.1400000000001</v>
      </c>
      <c r="BZ113" s="14">
        <f>BY113*VLOOKUP('Données projet'!$B$12,Paramètres!$A$1:$I$89,3,0)*VLOOKUP('Données projet'!$B$12,Paramètres!$A$1:$I$89,5,0)</f>
        <v>355.74552000000006</v>
      </c>
      <c r="CA113" s="14">
        <f t="shared" si="93"/>
        <v>82.744450026504168</v>
      </c>
      <c r="CB113" s="22">
        <f t="shared" si="64"/>
        <v>763.70336446282818</v>
      </c>
      <c r="CC113" s="62">
        <f t="shared" si="65"/>
        <v>1057.0366977961614</v>
      </c>
      <c r="CD113" s="62">
        <f ca="1">AVERAGE(OFFSET($CC$3,0,0,'Données projet'!$E$12+1,1))-AVERAGE(OFFSET($H$3,0,0,'Données projet'!$E$12+1,1))</f>
        <v>287.12723448949828</v>
      </c>
      <c r="CE113" s="62">
        <f t="shared" si="94"/>
        <v>170.5203352323382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2.3705872215488046</v>
      </c>
      <c r="CL113" s="23">
        <f>EXP(-LN(2)/25)*CL112+(1-EXP(-LN(2)/25))/(LN(2)/25)*Calculateur!CG113*Calculateur!CI113*VLOOKUP('Données projet'!$B$12,Paramètres!$A$1:$I$89,3,0)*0.475*44/12</f>
        <v>10.039661544637353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12.410248766186157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477.12000000000097</v>
      </c>
      <c r="CU113" s="18">
        <f>CT113*VLOOKUP('Données projet'!$B$13,Paramètres!$A$1:$I$89,3,0)*VLOOKUP('Données projet'!$B$13,Paramètres!$A$1:$I$89,5,0)</f>
        <v>461.47046400000096</v>
      </c>
      <c r="CV113" s="14">
        <f t="shared" si="95"/>
        <v>104.13329806929862</v>
      </c>
      <c r="CW113" s="22">
        <f t="shared" si="67"/>
        <v>985.09321893736342</v>
      </c>
      <c r="CX113" s="62">
        <f t="shared" si="68"/>
        <v>1278.4265522706967</v>
      </c>
      <c r="CY113" s="62">
        <f ca="1">AVERAGE(OFFSET($CX$3,0,0,'Données projet'!$E$13+1,1))-AVERAGE(OFFSET($H$3,0,0,'Données projet'!$E$13+1,1))</f>
        <v>467.37715054082025</v>
      </c>
      <c r="CZ113" s="62">
        <f t="shared" si="96"/>
        <v>443.35096563136415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2.0671042872429917</v>
      </c>
      <c r="DG113" s="23">
        <f>EXP(-LN(2)/25)*DG112+(1-EXP(-LN(2)/25))/(LN(2)/25)*Calculateur!DB113*Calculateur!DD113*VLOOKUP('Données projet'!$B$13,Paramètres!$A$1:$I$89,3,0)*0.475*44/12</f>
        <v>1.5921452251358996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3.6592495123788913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477.12000000000097</v>
      </c>
      <c r="DP113" s="18">
        <f>DO113*VLOOKUP('Données projet'!$B$14,Paramètres!$A$1:$I$89,3,0)*VLOOKUP('Données projet'!$B$14,Paramètres!$A$1:$I$89,5,0)</f>
        <v>513.57196800000099</v>
      </c>
      <c r="DQ113" s="14">
        <f t="shared" si="97"/>
        <v>114.45621584436451</v>
      </c>
      <c r="DR113" s="22">
        <f t="shared" si="70"/>
        <v>1093.8157535289363</v>
      </c>
      <c r="DS113" s="62">
        <f t="shared" si="71"/>
        <v>1387.1490868622695</v>
      </c>
      <c r="DT113" s="62">
        <f ca="1">AVERAGE(OFFSET($DS$3,0,0,'Données projet'!$E$14+1,1))-AVERAGE(OFFSET($H$3,0,0,'Données projet'!$E$14+1,1))</f>
        <v>524.51242549438939</v>
      </c>
      <c r="DU113" s="62">
        <f t="shared" si="98"/>
        <v>494.88778446576327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2.3004870293510691</v>
      </c>
      <c r="EB113" s="23">
        <f>EXP(-LN(2)/25)*EB112+(1-EXP(-LN(2)/25))/(LN(2)/25)*Calculateur!DW113*Calculateur!DY113*VLOOKUP('Données projet'!$B$14,Paramètres!$A$1:$I$89,3,0)*0.475*44/12</f>
        <v>1.7719035570060824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4.0723905863571517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474.99075114643767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2.550000000000002</v>
      </c>
      <c r="N114" s="14">
        <f>IF('Données projet'!$A$36&gt;35,N113+M114-V113,IF(A114&lt;'Données projet'!$A$36,$K$205^A114,IF(A114='Données projet'!$A$36,'Données projet'!$B$36,N113+M114-V113)))</f>
        <v>295.86999999999983</v>
      </c>
      <c r="O114" s="14">
        <f>N114*VLOOKUP('Données projet'!$B$9,Paramètres!$A$1:$I$89,3,0)*VLOOKUP('Données projet'!$B$9,Paramètres!$A$1:$I$89,5,0)</f>
        <v>267.70317599999981</v>
      </c>
      <c r="P114" s="14">
        <f t="shared" si="87"/>
        <v>64.361583169460502</v>
      </c>
      <c r="Q114" s="22">
        <f t="shared" si="107"/>
        <v>578.34612222014346</v>
      </c>
      <c r="R114" s="62">
        <f t="shared" si="55"/>
        <v>871.67945555347683</v>
      </c>
      <c r="S114" s="62">
        <f ca="1">AVERAGE(OFFSET($R$3,0,0,'Données projet'!$E$9+1,1))-AVERAGE(OFFSET($H$3,0,0,'Données projet'!$E$9+1,1))</f>
        <v>299.17641394512162</v>
      </c>
      <c r="T114" s="62">
        <f t="shared" si="88"/>
        <v>180.73046320039873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8.0658601408965058</v>
      </c>
      <c r="AA114" s="23">
        <f>EXP(-LN(2)/25)*AA113+(1-EXP(-LN(2)/25))/(LN(2)/25)*Calculateur!V114*Calculateur!X114*VLOOKUP('Données projet'!$B$9,Paramètres!$A$1:$I$89,3,0)*0.475*44/12</f>
        <v>6.5482656925545557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14.614125833451062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4.4499999999999984</v>
      </c>
      <c r="AI114" s="14">
        <f>IF('Données projet'!$A$62&gt;35,AI113+AH114-AQ113,IF(A114&lt;'Données projet'!$A$62,$AF$205^A114,IF(A114='Données projet'!$A$62,'Données projet'!$B$62,AI113+AH114-AQ113)))</f>
        <v>307.51999999999913</v>
      </c>
      <c r="AJ114" s="14">
        <f>AI114*VLOOKUP('Données projet'!$B$10,Paramètres!$A$1:$I$89,3,0)*VLOOKUP('Données projet'!$B$10,Paramètres!$A$1:$I$89,5,0)</f>
        <v>311.82527999999911</v>
      </c>
      <c r="AK114" s="14">
        <f t="shared" si="89"/>
        <v>73.649890942076581</v>
      </c>
      <c r="AL114" s="22">
        <f t="shared" si="58"/>
        <v>671.36925605744852</v>
      </c>
      <c r="AM114" s="62">
        <f t="shared" si="59"/>
        <v>964.7025893907819</v>
      </c>
      <c r="AN114" s="62">
        <f ca="1">AVERAGE(OFFSET($AM$3,0,0,'Données projet'!$E$10+1,1))-AVERAGE(OFFSET($H$3,0,0,'Données projet'!$E$10+1,1))</f>
        <v>384.66322295929552</v>
      </c>
      <c r="AO114" s="62">
        <f t="shared" si="90"/>
        <v>248.53970183513286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7.0404897034721143</v>
      </c>
      <c r="AV114" s="23">
        <f>EXP(-LN(2)/25)*AV113+(1-EXP(-LN(2)/25))/(LN(2)/25)*Calculateur!AQ114*Calculateur!AS114*VLOOKUP('Données projet'!$B$10,Paramètres!$A$1:$I$89,3,0)*0.475*44/12</f>
        <v>5.8121072219318233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12.852596925403937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343.79999999999995</v>
      </c>
      <c r="BE114" s="14">
        <f>BD114*VLOOKUP('Données projet'!$B$11,Paramètres!$A$1:$I$89,3,0)*VLOOKUP('Données projet'!$B$11,Paramètres!$A$1:$I$89,5,0)</f>
        <v>205.5924</v>
      </c>
      <c r="BF114" s="14">
        <f t="shared" si="91"/>
        <v>50.971228364263673</v>
      </c>
      <c r="BG114" s="22">
        <f t="shared" si="61"/>
        <v>446.84831940109251</v>
      </c>
      <c r="BH114" s="62">
        <f t="shared" si="62"/>
        <v>740.18165273442582</v>
      </c>
      <c r="BI114" s="62">
        <f ca="1">AVERAGE(OFFSET($BH$3,0,0,'Données projet'!$E$11+1,1))-AVERAGE(OFFSET($H$3,0,0,'Données projet'!$E$11+1,1))</f>
        <v>146.25807703055079</v>
      </c>
      <c r="BJ114" s="62">
        <f t="shared" si="92"/>
        <v>177.40137940534413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1.9147874118282728</v>
      </c>
      <c r="BQ114" s="23">
        <f>EXP(-LN(2)/25)*BQ113+(1-EXP(-LN(2)/25))/(LN(2)/25)*Calculateur!BL114*Calculateur!BN114*VLOOKUP('Données projet'!$B$11,Paramètres!$A$1:$I$89,3,0)*0.475*44/12</f>
        <v>1.0326048805052876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2.9473922923335607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760.1400000000001</v>
      </c>
      <c r="BZ114" s="14">
        <f>BY114*VLOOKUP('Données projet'!$B$12,Paramètres!$A$1:$I$89,3,0)*VLOOKUP('Données projet'!$B$12,Paramètres!$A$1:$I$89,5,0)</f>
        <v>355.74552000000006</v>
      </c>
      <c r="CA114" s="14">
        <f t="shared" si="93"/>
        <v>82.744450026504168</v>
      </c>
      <c r="CB114" s="22">
        <f t="shared" si="64"/>
        <v>763.70336446282818</v>
      </c>
      <c r="CC114" s="62">
        <f t="shared" si="65"/>
        <v>1057.0366977961614</v>
      </c>
      <c r="CD114" s="62">
        <f ca="1">AVERAGE(OFFSET($CC$3,0,0,'Données projet'!$E$12+1,1))-AVERAGE(OFFSET($H$3,0,0,'Données projet'!$E$12+1,1))</f>
        <v>287.12723448949828</v>
      </c>
      <c r="CE114" s="62">
        <f t="shared" si="94"/>
        <v>170.5203352323382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2.3241014520496655</v>
      </c>
      <c r="CL114" s="23">
        <f>EXP(-LN(2)/25)*CL113+(1-EXP(-LN(2)/25))/(LN(2)/25)*Calculateur!CG114*Calculateur!CI114*VLOOKUP('Données projet'!$B$12,Paramètres!$A$1:$I$89,3,0)*0.475*44/12</f>
        <v>9.765126471736389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12.089227923786055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477.12000000000097</v>
      </c>
      <c r="CU114" s="18">
        <f>CT114*VLOOKUP('Données projet'!$B$13,Paramètres!$A$1:$I$89,3,0)*VLOOKUP('Données projet'!$B$13,Paramètres!$A$1:$I$89,5,0)</f>
        <v>461.47046400000096</v>
      </c>
      <c r="CV114" s="14">
        <f t="shared" si="95"/>
        <v>104.13329806929862</v>
      </c>
      <c r="CW114" s="22">
        <f t="shared" si="67"/>
        <v>985.09321893736342</v>
      </c>
      <c r="CX114" s="62">
        <f t="shared" si="68"/>
        <v>1278.4265522706967</v>
      </c>
      <c r="CY114" s="62">
        <f ca="1">AVERAGE(OFFSET($CX$3,0,0,'Données projet'!$E$13+1,1))-AVERAGE(OFFSET($H$3,0,0,'Données projet'!$E$13+1,1))</f>
        <v>467.37715054082025</v>
      </c>
      <c r="CZ114" s="62">
        <f t="shared" si="96"/>
        <v>443.35096563136415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2.0265696329792773</v>
      </c>
      <c r="DG114" s="23">
        <f>EXP(-LN(2)/25)*DG113+(1-EXP(-LN(2)/25))/(LN(2)/25)*Calculateur!DB114*Calculateur!DD114*VLOOKUP('Données projet'!$B$13,Paramètres!$A$1:$I$89,3,0)*0.475*44/12</f>
        <v>1.5486079302272799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3.575177563206557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477.12000000000097</v>
      </c>
      <c r="DP114" s="18">
        <f>DO114*VLOOKUP('Données projet'!$B$14,Paramètres!$A$1:$I$89,3,0)*VLOOKUP('Données projet'!$B$14,Paramètres!$A$1:$I$89,5,0)</f>
        <v>513.57196800000099</v>
      </c>
      <c r="DQ114" s="14">
        <f t="shared" si="97"/>
        <v>114.45621584436451</v>
      </c>
      <c r="DR114" s="22">
        <f t="shared" si="70"/>
        <v>1093.8157535289363</v>
      </c>
      <c r="DS114" s="62">
        <f t="shared" si="71"/>
        <v>1387.1490868622695</v>
      </c>
      <c r="DT114" s="62">
        <f ca="1">AVERAGE(OFFSET($DS$3,0,0,'Données projet'!$E$14+1,1))-AVERAGE(OFFSET($H$3,0,0,'Données projet'!$E$14+1,1))</f>
        <v>524.51242549438939</v>
      </c>
      <c r="DU114" s="62">
        <f t="shared" si="98"/>
        <v>494.88778446576327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2.2553758818640319</v>
      </c>
      <c r="EB114" s="23">
        <f>EXP(-LN(2)/25)*EB113+(1-EXP(-LN(2)/25))/(LN(2)/25)*Calculateur!DW114*Calculateur!DY114*VLOOKUP('Données projet'!$B$14,Paramètres!$A$1:$I$89,3,0)*0.475*44/12</f>
        <v>1.7234507610593928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3.9788266429234245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476.90876395053112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2.550000000000002</v>
      </c>
      <c r="N115" s="14">
        <f>IF('Données projet'!$A$36&gt;35,N114+M115-V114,IF(A115&lt;'Données projet'!$A$36,$K$205^A115,IF(A115='Données projet'!$A$36,'Données projet'!$B$36,N114+M115-V114)))</f>
        <v>298.41999999999985</v>
      </c>
      <c r="O115" s="14">
        <f>N115*VLOOKUP('Données projet'!$B$9,Paramètres!$A$1:$I$89,3,0)*VLOOKUP('Données projet'!$B$9,Paramètres!$A$1:$I$89,5,0)</f>
        <v>270.01041599999985</v>
      </c>
      <c r="P115" s="14">
        <f t="shared" si="87"/>
        <v>64.851479820957792</v>
      </c>
      <c r="Q115" s="22">
        <f t="shared" si="107"/>
        <v>583.21780188816786</v>
      </c>
      <c r="R115" s="62">
        <f t="shared" si="55"/>
        <v>876.55113522150123</v>
      </c>
      <c r="S115" s="62">
        <f ca="1">AVERAGE(OFFSET($R$3,0,0,'Données projet'!$E$9+1,1))-AVERAGE(OFFSET($H$3,0,0,'Données projet'!$E$9+1,1))</f>
        <v>299.17641394512162</v>
      </c>
      <c r="T115" s="62">
        <f t="shared" si="88"/>
        <v>180.73046320039873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7.9076935432224325</v>
      </c>
      <c r="AA115" s="23">
        <f>EXP(-LN(2)/25)*AA114+(1-EXP(-LN(2)/25))/(LN(2)/25)*Calculateur!V115*Calculateur!X115*VLOOKUP('Données projet'!$B$9,Paramètres!$A$1:$I$89,3,0)*0.475*44/12</f>
        <v>6.3692030228333252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14.276896566055758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4.4499999999999984</v>
      </c>
      <c r="AI115" s="14">
        <f>IF('Données projet'!$A$62&gt;35,AI114+AH115-AQ114,IF(A115&lt;'Données projet'!$A$62,$AF$205^A115,IF(A115='Données projet'!$A$62,'Données projet'!$B$62,AI114+AH115-AQ114)))</f>
        <v>311.96999999999912</v>
      </c>
      <c r="AJ115" s="14">
        <f>AI115*VLOOKUP('Données projet'!$B$10,Paramètres!$A$1:$I$89,3,0)*VLOOKUP('Données projet'!$B$10,Paramètres!$A$1:$I$89,5,0)</f>
        <v>316.33757999999909</v>
      </c>
      <c r="AK115" s="14">
        <f t="shared" si="89"/>
        <v>74.590806185405853</v>
      </c>
      <c r="AL115" s="22">
        <f t="shared" si="58"/>
        <v>680.86693927291356</v>
      </c>
      <c r="AM115" s="62">
        <f t="shared" si="59"/>
        <v>974.20027260624693</v>
      </c>
      <c r="AN115" s="62">
        <f ca="1">AVERAGE(OFFSET($AM$3,0,0,'Données projet'!$E$10+1,1))-AVERAGE(OFFSET($H$3,0,0,'Données projet'!$E$10+1,1))</f>
        <v>384.66322295929552</v>
      </c>
      <c r="AO115" s="62">
        <f t="shared" si="90"/>
        <v>248.53970183513286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6.9024299946617207</v>
      </c>
      <c r="AV115" s="23">
        <f>EXP(-LN(2)/25)*AV114+(1-EXP(-LN(2)/25))/(LN(2)/25)*Calculateur!AQ115*Calculateur!AS115*VLOOKUP('Données projet'!$B$10,Paramètres!$A$1:$I$89,3,0)*0.475*44/12</f>
        <v>5.6531748443026624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12.555604838964383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343.79999999999995</v>
      </c>
      <c r="BE115" s="14">
        <f>BD115*VLOOKUP('Données projet'!$B$11,Paramètres!$A$1:$I$89,3,0)*VLOOKUP('Données projet'!$B$11,Paramètres!$A$1:$I$89,5,0)</f>
        <v>205.5924</v>
      </c>
      <c r="BF115" s="14">
        <f t="shared" si="91"/>
        <v>50.971228364263673</v>
      </c>
      <c r="BG115" s="22">
        <f t="shared" si="61"/>
        <v>446.84831940109251</v>
      </c>
      <c r="BH115" s="62">
        <f t="shared" si="62"/>
        <v>740.18165273442582</v>
      </c>
      <c r="BI115" s="62">
        <f ca="1">AVERAGE(OFFSET($BH$3,0,0,'Données projet'!$E$11+1,1))-AVERAGE(OFFSET($H$3,0,0,'Données projet'!$E$11+1,1))</f>
        <v>146.25807703055079</v>
      </c>
      <c r="BJ115" s="62">
        <f t="shared" si="92"/>
        <v>177.40137940534413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1.8772395985873205</v>
      </c>
      <c r="BQ115" s="23">
        <f>EXP(-LN(2)/25)*BQ114+(1-EXP(-LN(2)/25))/(LN(2)/25)*Calculateur!BL115*Calculateur!BN115*VLOOKUP('Données projet'!$B$11,Paramètres!$A$1:$I$89,3,0)*0.475*44/12</f>
        <v>1.0043682457455398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2.8816078443328603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760.1400000000001</v>
      </c>
      <c r="BZ115" s="14">
        <f>BY115*VLOOKUP('Données projet'!$B$12,Paramètres!$A$1:$I$89,3,0)*VLOOKUP('Données projet'!$B$12,Paramètres!$A$1:$I$89,5,0)</f>
        <v>355.74552000000006</v>
      </c>
      <c r="CA115" s="14">
        <f t="shared" si="93"/>
        <v>82.744450026504168</v>
      </c>
      <c r="CB115" s="22">
        <f t="shared" si="64"/>
        <v>763.70336446282818</v>
      </c>
      <c r="CC115" s="62">
        <f t="shared" si="65"/>
        <v>1057.0366977961614</v>
      </c>
      <c r="CD115" s="62">
        <f ca="1">AVERAGE(OFFSET($CC$3,0,0,'Données projet'!$E$12+1,1))-AVERAGE(OFFSET($H$3,0,0,'Données projet'!$E$12+1,1))</f>
        <v>287.12723448949828</v>
      </c>
      <c r="CE115" s="62">
        <f t="shared" si="94"/>
        <v>170.5203352323382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2.2785272401368846</v>
      </c>
      <c r="CL115" s="23">
        <f>EXP(-LN(2)/25)*CL114+(1-EXP(-LN(2)/25))/(LN(2)/25)*Calculateur!CG115*Calculateur!CI115*VLOOKUP('Données projet'!$B$12,Paramètres!$A$1:$I$89,3,0)*0.475*44/12</f>
        <v>9.4980985748410749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11.77662581497796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477.12000000000097</v>
      </c>
      <c r="CU115" s="18">
        <f>CT115*VLOOKUP('Données projet'!$B$13,Paramètres!$A$1:$I$89,3,0)*VLOOKUP('Données projet'!$B$13,Paramètres!$A$1:$I$89,5,0)</f>
        <v>461.47046400000096</v>
      </c>
      <c r="CV115" s="14">
        <f t="shared" si="95"/>
        <v>104.13329806929862</v>
      </c>
      <c r="CW115" s="22">
        <f t="shared" si="67"/>
        <v>985.09321893736342</v>
      </c>
      <c r="CX115" s="62">
        <f t="shared" si="68"/>
        <v>1278.4265522706967</v>
      </c>
      <c r="CY115" s="62">
        <f ca="1">AVERAGE(OFFSET($CX$3,0,0,'Données projet'!$E$13+1,1))-AVERAGE(OFFSET($H$3,0,0,'Données projet'!$E$13+1,1))</f>
        <v>467.37715054082025</v>
      </c>
      <c r="CZ115" s="62">
        <f t="shared" si="96"/>
        <v>443.35096563136415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1.9868298385619765</v>
      </c>
      <c r="DG115" s="23">
        <f>EXP(-LN(2)/25)*DG114+(1-EXP(-LN(2)/25))/(LN(2)/25)*Calculateur!DB115*Calculateur!DD115*VLOOKUP('Données projet'!$B$13,Paramètres!$A$1:$I$89,3,0)*0.475*44/12</f>
        <v>1.5062611649374633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3.4930910034994396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477.12000000000097</v>
      </c>
      <c r="DP115" s="18">
        <f>DO115*VLOOKUP('Données projet'!$B$14,Paramètres!$A$1:$I$89,3,0)*VLOOKUP('Données projet'!$B$14,Paramètres!$A$1:$I$89,5,0)</f>
        <v>513.57196800000099</v>
      </c>
      <c r="DQ115" s="14">
        <f t="shared" si="97"/>
        <v>114.45621584436451</v>
      </c>
      <c r="DR115" s="22">
        <f t="shared" si="70"/>
        <v>1093.8157535289363</v>
      </c>
      <c r="DS115" s="62">
        <f t="shared" si="71"/>
        <v>1387.1490868622695</v>
      </c>
      <c r="DT115" s="62">
        <f ca="1">AVERAGE(OFFSET($DS$3,0,0,'Données projet'!$E$14+1,1))-AVERAGE(OFFSET($H$3,0,0,'Données projet'!$E$14+1,1))</f>
        <v>524.51242549438939</v>
      </c>
      <c r="DU115" s="62">
        <f t="shared" si="98"/>
        <v>494.88778446576327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2.2111493364641328</v>
      </c>
      <c r="EB115" s="23">
        <f>EXP(-LN(2)/25)*EB114+(1-EXP(-LN(2)/25))/(LN(2)/25)*Calculateur!DW115*Calculateur!DY115*VLOOKUP('Données projet'!$B$14,Paramètres!$A$1:$I$89,3,0)*0.475*44/12</f>
        <v>1.6763229093658871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3.8874722458300202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478.82639311670562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2.550000000000002</v>
      </c>
      <c r="N116" s="14">
        <f>IF('Données projet'!$A$36&gt;35,N115+M116-V115,IF(A116&lt;'Données projet'!$A$36,$K$205^A116,IF(A116='Données projet'!$A$36,'Données projet'!$B$36,N115+M116-V115)))</f>
        <v>300.96999999999986</v>
      </c>
      <c r="O116" s="14">
        <f>N116*VLOOKUP('Données projet'!$B$9,Paramètres!$A$1:$I$89,3,0)*VLOOKUP('Données projet'!$B$9,Paramètres!$A$1:$I$89,5,0)</f>
        <v>272.31765599999989</v>
      </c>
      <c r="P116" s="14">
        <f t="shared" si="87"/>
        <v>65.34088943839879</v>
      </c>
      <c r="Q116" s="22">
        <f t="shared" si="107"/>
        <v>588.08863330521103</v>
      </c>
      <c r="R116" s="62">
        <f t="shared" si="55"/>
        <v>881.42196663854429</v>
      </c>
      <c r="S116" s="62">
        <f ca="1">AVERAGE(OFFSET($R$3,0,0,'Données projet'!$E$9+1,1))-AVERAGE(OFFSET($H$3,0,0,'Données projet'!$E$9+1,1))</f>
        <v>299.17641394512162</v>
      </c>
      <c r="T116" s="62">
        <f t="shared" si="88"/>
        <v>180.73046320039873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7.7526284960566487</v>
      </c>
      <c r="AA116" s="23">
        <f>EXP(-LN(2)/25)*AA115+(1-EXP(-LN(2)/25))/(LN(2)/25)*Calculateur!V116*Calculateur!X116*VLOOKUP('Données projet'!$B$9,Paramètres!$A$1:$I$89,3,0)*0.475*44/12</f>
        <v>6.1950368312321178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13.947665327288767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4.4499999999999984</v>
      </c>
      <c r="AI116" s="14">
        <f>IF('Données projet'!$A$62&gt;35,AI115+AH116-AQ115,IF(A116&lt;'Données projet'!$A$62,$AF$205^A116,IF(A116='Données projet'!$A$62,'Données projet'!$B$62,AI115+AH116-AQ115)))</f>
        <v>316.41999999999911</v>
      </c>
      <c r="AJ116" s="14">
        <f>AI116*VLOOKUP('Données projet'!$B$10,Paramètres!$A$1:$I$89,3,0)*VLOOKUP('Données projet'!$B$10,Paramètres!$A$1:$I$89,5,0)</f>
        <v>320.84987999999913</v>
      </c>
      <c r="AK116" s="14">
        <f t="shared" si="89"/>
        <v>75.530160418522073</v>
      </c>
      <c r="AL116" s="22">
        <f t="shared" si="58"/>
        <v>690.36190372892452</v>
      </c>
      <c r="AM116" s="62">
        <f t="shared" si="59"/>
        <v>983.69523706225777</v>
      </c>
      <c r="AN116" s="62">
        <f ca="1">AVERAGE(OFFSET($AM$3,0,0,'Données projet'!$E$10+1,1))-AVERAGE(OFFSET($H$3,0,0,'Données projet'!$E$10+1,1))</f>
        <v>384.66322295929552</v>
      </c>
      <c r="AO116" s="62">
        <f t="shared" si="90"/>
        <v>248.53970183513286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6.7670775525329914</v>
      </c>
      <c r="AV116" s="23">
        <f>EXP(-LN(2)/25)*AV115+(1-EXP(-LN(2)/25))/(LN(2)/25)*Calculateur!AQ116*Calculateur!AS116*VLOOKUP('Données projet'!$B$10,Paramètres!$A$1:$I$89,3,0)*0.475*44/12</f>
        <v>5.4985884808976619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12.265666033430653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343.79999999999995</v>
      </c>
      <c r="BE116" s="14">
        <f>BD116*VLOOKUP('Données projet'!$B$11,Paramètres!$A$1:$I$89,3,0)*VLOOKUP('Données projet'!$B$11,Paramètres!$A$1:$I$89,5,0)</f>
        <v>205.5924</v>
      </c>
      <c r="BF116" s="14">
        <f t="shared" si="91"/>
        <v>50.971228364263673</v>
      </c>
      <c r="BG116" s="22">
        <f t="shared" si="61"/>
        <v>446.84831940109251</v>
      </c>
      <c r="BH116" s="62">
        <f t="shared" si="62"/>
        <v>740.18165273442582</v>
      </c>
      <c r="BI116" s="62">
        <f ca="1">AVERAGE(OFFSET($BH$3,0,0,'Données projet'!$E$11+1,1))-AVERAGE(OFFSET($H$3,0,0,'Données projet'!$E$11+1,1))</f>
        <v>146.25807703055079</v>
      </c>
      <c r="BJ116" s="62">
        <f t="shared" si="92"/>
        <v>177.40137940534413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1.8404280750621187</v>
      </c>
      <c r="BQ116" s="23">
        <f>EXP(-LN(2)/25)*BQ115+(1-EXP(-LN(2)/25))/(LN(2)/25)*Calculateur!BL116*Calculateur!BN116*VLOOKUP('Données projet'!$B$11,Paramètres!$A$1:$I$89,3,0)*0.475*44/12</f>
        <v>0.97690374324819751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2.8173318183103162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760.1400000000001</v>
      </c>
      <c r="BZ116" s="14">
        <f>BY116*VLOOKUP('Données projet'!$B$12,Paramètres!$A$1:$I$89,3,0)*VLOOKUP('Données projet'!$B$12,Paramètres!$A$1:$I$89,5,0)</f>
        <v>355.74552000000006</v>
      </c>
      <c r="CA116" s="14">
        <f t="shared" si="93"/>
        <v>82.744450026504168</v>
      </c>
      <c r="CB116" s="22">
        <f t="shared" si="64"/>
        <v>763.70336446282818</v>
      </c>
      <c r="CC116" s="62">
        <f t="shared" si="65"/>
        <v>1057.0366977961614</v>
      </c>
      <c r="CD116" s="62">
        <f ca="1">AVERAGE(OFFSET($CC$3,0,0,'Données projet'!$E$12+1,1))-AVERAGE(OFFSET($H$3,0,0,'Données projet'!$E$12+1,1))</f>
        <v>287.12723448949828</v>
      </c>
      <c r="CE116" s="62">
        <f t="shared" si="94"/>
        <v>170.5203352323382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2.2338467107221889</v>
      </c>
      <c r="CL116" s="23">
        <f>EXP(-LN(2)/25)*CL115+(1-EXP(-LN(2)/25))/(LN(2)/25)*Calculateur!CG116*Calculateur!CI116*VLOOKUP('Données projet'!$B$12,Paramètres!$A$1:$I$89,3,0)*0.475*44/12</f>
        <v>9.2383725698287495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11.472219280550938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477.12000000000097</v>
      </c>
      <c r="CU116" s="18">
        <f>CT116*VLOOKUP('Données projet'!$B$13,Paramètres!$A$1:$I$89,3,0)*VLOOKUP('Données projet'!$B$13,Paramètres!$A$1:$I$89,5,0)</f>
        <v>461.47046400000096</v>
      </c>
      <c r="CV116" s="14">
        <f t="shared" si="95"/>
        <v>104.13329806929862</v>
      </c>
      <c r="CW116" s="22">
        <f t="shared" si="67"/>
        <v>985.09321893736342</v>
      </c>
      <c r="CX116" s="62">
        <f t="shared" si="68"/>
        <v>1278.4265522706967</v>
      </c>
      <c r="CY116" s="62">
        <f ca="1">AVERAGE(OFFSET($CX$3,0,0,'Données projet'!$E$13+1,1))-AVERAGE(OFFSET($H$3,0,0,'Données projet'!$E$13+1,1))</f>
        <v>467.37715054082025</v>
      </c>
      <c r="CZ116" s="62">
        <f t="shared" si="96"/>
        <v>443.35096563136415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1.9478693172743178</v>
      </c>
      <c r="DG116" s="23">
        <f>EXP(-LN(2)/25)*DG115+(1-EXP(-LN(2)/25))/(LN(2)/25)*Calculateur!DB116*Calculateur!DD116*VLOOKUP('Données projet'!$B$13,Paramètres!$A$1:$I$89,3,0)*0.475*44/12</f>
        <v>1.4650723741714162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3.412941691445734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477.12000000000097</v>
      </c>
      <c r="DP116" s="18">
        <f>DO116*VLOOKUP('Données projet'!$B$14,Paramètres!$A$1:$I$89,3,0)*VLOOKUP('Données projet'!$B$14,Paramètres!$A$1:$I$89,5,0)</f>
        <v>513.57196800000099</v>
      </c>
      <c r="DQ116" s="14">
        <f t="shared" si="97"/>
        <v>114.45621584436451</v>
      </c>
      <c r="DR116" s="22">
        <f t="shared" si="70"/>
        <v>1093.8157535289363</v>
      </c>
      <c r="DS116" s="62">
        <f t="shared" si="71"/>
        <v>1387.1490868622695</v>
      </c>
      <c r="DT116" s="62">
        <f ca="1">AVERAGE(OFFSET($DS$3,0,0,'Données projet'!$E$14+1,1))-AVERAGE(OFFSET($H$3,0,0,'Données projet'!$E$14+1,1))</f>
        <v>524.51242549438939</v>
      </c>
      <c r="DU116" s="62">
        <f t="shared" si="98"/>
        <v>494.88778446576327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2.1677900466439963</v>
      </c>
      <c r="EB116" s="23">
        <f>EXP(-LN(2)/25)*EB115+(1-EXP(-LN(2)/25))/(LN(2)/25)*Calculateur!DW116*Calculateur!DY116*VLOOKUP('Données projet'!$B$14,Paramètres!$A$1:$I$89,3,0)*0.475*44/12</f>
        <v>1.6304837712552864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3.7982738178992825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480.74364243331581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2.550000000000002</v>
      </c>
      <c r="N117" s="14">
        <f>IF('Données projet'!$A$36&gt;35,N116+M117-V116,IF(A117&lt;'Données projet'!$A$36,$K$205^A117,IF(A117='Données projet'!$A$36,'Données projet'!$B$36,N116+M117-V116)))</f>
        <v>303.51999999999987</v>
      </c>
      <c r="O117" s="14">
        <f>N117*VLOOKUP('Données projet'!$B$9,Paramètres!$A$1:$I$89,3,0)*VLOOKUP('Données projet'!$B$9,Paramètres!$A$1:$I$89,5,0)</f>
        <v>274.62489599999986</v>
      </c>
      <c r="P117" s="14">
        <f t="shared" si="87"/>
        <v>65.829816626388862</v>
      </c>
      <c r="Q117" s="22">
        <f t="shared" si="107"/>
        <v>592.95862449096046</v>
      </c>
      <c r="R117" s="62">
        <f t="shared" si="55"/>
        <v>886.29195782429383</v>
      </c>
      <c r="S117" s="62">
        <f ca="1">AVERAGE(OFFSET($R$3,0,0,'Données projet'!$E$9+1,1))-AVERAGE(OFFSET($H$3,0,0,'Données projet'!$E$9+1,1))</f>
        <v>299.17641394512162</v>
      </c>
      <c r="T117" s="62">
        <f t="shared" si="88"/>
        <v>180.73046320039873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7.6006041798854467</v>
      </c>
      <c r="AA117" s="23">
        <f>EXP(-LN(2)/25)*AA116+(1-EXP(-LN(2)/25))/(LN(2)/25)*Calculateur!V117*Calculateur!X117*VLOOKUP('Données projet'!$B$9,Paramètres!$A$1:$I$89,3,0)*0.475*44/12</f>
        <v>6.0256332232992476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13.626237403184694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4.4499999999999984</v>
      </c>
      <c r="AI117" s="14">
        <f>IF('Données projet'!$A$62&gt;35,AI116+AH117-AQ116,IF(A117&lt;'Données projet'!$A$62,$AF$205^A117,IF(A117='Données projet'!$A$62,'Données projet'!$B$62,AI116+AH117-AQ116)))</f>
        <v>320.8699999999991</v>
      </c>
      <c r="AJ117" s="14">
        <f>AI117*VLOOKUP('Données projet'!$B$10,Paramètres!$A$1:$I$89,3,0)*VLOOKUP('Données projet'!$B$10,Paramètres!$A$1:$I$89,5,0)</f>
        <v>325.36217999999911</v>
      </c>
      <c r="AK117" s="14">
        <f t="shared" si="89"/>
        <v>76.467978131778366</v>
      </c>
      <c r="AL117" s="22">
        <f t="shared" si="58"/>
        <v>699.85419207951236</v>
      </c>
      <c r="AM117" s="62">
        <f t="shared" si="59"/>
        <v>993.18752541284562</v>
      </c>
      <c r="AN117" s="62">
        <f ca="1">AVERAGE(OFFSET($AM$3,0,0,'Données projet'!$E$10+1,1))-AVERAGE(OFFSET($H$3,0,0,'Données projet'!$E$10+1,1))</f>
        <v>384.66322295929552</v>
      </c>
      <c r="AO117" s="62">
        <f t="shared" si="90"/>
        <v>248.53970183513286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6.634379289237569</v>
      </c>
      <c r="AV117" s="23">
        <f>EXP(-LN(2)/25)*AV116+(1-EXP(-LN(2)/25))/(LN(2)/25)*Calculateur!AQ117*Calculateur!AS117*VLOOKUP('Données projet'!$B$10,Paramètres!$A$1:$I$89,3,0)*0.475*44/12</f>
        <v>5.3482292897293142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11.982608578966882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343.79999999999995</v>
      </c>
      <c r="BE117" s="14">
        <f>BD117*VLOOKUP('Données projet'!$B$11,Paramètres!$A$1:$I$89,3,0)*VLOOKUP('Données projet'!$B$11,Paramètres!$A$1:$I$89,5,0)</f>
        <v>205.5924</v>
      </c>
      <c r="BF117" s="14">
        <f t="shared" si="91"/>
        <v>50.971228364263673</v>
      </c>
      <c r="BG117" s="22">
        <f t="shared" si="61"/>
        <v>446.84831940109251</v>
      </c>
      <c r="BH117" s="62">
        <f t="shared" si="62"/>
        <v>740.18165273442582</v>
      </c>
      <c r="BI117" s="62">
        <f ca="1">AVERAGE(OFFSET($BH$3,0,0,'Données projet'!$E$11+1,1))-AVERAGE(OFFSET($H$3,0,0,'Données projet'!$E$11+1,1))</f>
        <v>146.25807703055079</v>
      </c>
      <c r="BJ117" s="62">
        <f t="shared" si="92"/>
        <v>177.40137940534413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1.8043384030604337</v>
      </c>
      <c r="BQ117" s="23">
        <f>EXP(-LN(2)/25)*BQ116+(1-EXP(-LN(2)/25))/(LN(2)/25)*Calculateur!BL117*Calculateur!BN117*VLOOKUP('Données projet'!$B$11,Paramètres!$A$1:$I$89,3,0)*0.475*44/12</f>
        <v>0.95019025901594045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2.7545286620763743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760.1400000000001</v>
      </c>
      <c r="BZ117" s="14">
        <f>BY117*VLOOKUP('Données projet'!$B$12,Paramètres!$A$1:$I$89,3,0)*VLOOKUP('Données projet'!$B$12,Paramètres!$A$1:$I$89,5,0)</f>
        <v>355.74552000000006</v>
      </c>
      <c r="CA117" s="14">
        <f t="shared" si="93"/>
        <v>82.744450026504168</v>
      </c>
      <c r="CB117" s="22">
        <f t="shared" si="64"/>
        <v>763.70336446282818</v>
      </c>
      <c r="CC117" s="62">
        <f t="shared" si="65"/>
        <v>1057.0366977961614</v>
      </c>
      <c r="CD117" s="62">
        <f ca="1">AVERAGE(OFFSET($CC$3,0,0,'Données projet'!$E$12+1,1))-AVERAGE(OFFSET($H$3,0,0,'Données projet'!$E$12+1,1))</f>
        <v>287.12723448949828</v>
      </c>
      <c r="CE117" s="62">
        <f t="shared" si="94"/>
        <v>170.5203352323382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2.1900423392368835</v>
      </c>
      <c r="CL117" s="23">
        <f>EXP(-LN(2)/25)*CL116+(1-EXP(-LN(2)/25))/(LN(2)/25)*Calculateur!CG117*Calculateur!CI117*VLOOKUP('Données projet'!$B$12,Paramètres!$A$1:$I$89,3,0)*0.475*44/12</f>
        <v>8.9857487860818832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11.175791125318767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477.12000000000097</v>
      </c>
      <c r="CU117" s="18">
        <f>CT117*VLOOKUP('Données projet'!$B$13,Paramètres!$A$1:$I$89,3,0)*VLOOKUP('Données projet'!$B$13,Paramètres!$A$1:$I$89,5,0)</f>
        <v>461.47046400000096</v>
      </c>
      <c r="CV117" s="14">
        <f t="shared" si="95"/>
        <v>104.13329806929862</v>
      </c>
      <c r="CW117" s="22">
        <f t="shared" si="67"/>
        <v>985.09321893736342</v>
      </c>
      <c r="CX117" s="62">
        <f t="shared" si="68"/>
        <v>1278.4265522706967</v>
      </c>
      <c r="CY117" s="62">
        <f ca="1">AVERAGE(OFFSET($CX$3,0,0,'Données projet'!$E$13+1,1))-AVERAGE(OFFSET($H$3,0,0,'Données projet'!$E$13+1,1))</f>
        <v>467.37715054082025</v>
      </c>
      <c r="CZ117" s="62">
        <f t="shared" si="96"/>
        <v>443.35096563136415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1.9096727880455384</v>
      </c>
      <c r="DG117" s="23">
        <f>EXP(-LN(2)/25)*DG116+(1-EXP(-LN(2)/25))/(LN(2)/25)*Calculateur!DB117*Calculateur!DD117*VLOOKUP('Données projet'!$B$13,Paramètres!$A$1:$I$89,3,0)*0.475*44/12</f>
        <v>1.4250098930548911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3.3346826811004293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477.12000000000097</v>
      </c>
      <c r="DP117" s="18">
        <f>DO117*VLOOKUP('Données projet'!$B$14,Paramètres!$A$1:$I$89,3,0)*VLOOKUP('Données projet'!$B$14,Paramètres!$A$1:$I$89,5,0)</f>
        <v>513.57196800000099</v>
      </c>
      <c r="DQ117" s="14">
        <f t="shared" si="97"/>
        <v>114.45621584436451</v>
      </c>
      <c r="DR117" s="22">
        <f t="shared" si="70"/>
        <v>1093.8157535289363</v>
      </c>
      <c r="DS117" s="62">
        <f t="shared" si="71"/>
        <v>1387.1490868622695</v>
      </c>
      <c r="DT117" s="62">
        <f ca="1">AVERAGE(OFFSET($DS$3,0,0,'Données projet'!$E$14+1,1))-AVERAGE(OFFSET($H$3,0,0,'Données projet'!$E$14+1,1))</f>
        <v>524.51242549438939</v>
      </c>
      <c r="DU117" s="62">
        <f t="shared" si="98"/>
        <v>494.88778446576327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2.1252810060506775</v>
      </c>
      <c r="EB117" s="23">
        <f>EXP(-LN(2)/25)*EB116+(1-EXP(-LN(2)/25))/(LN(2)/25)*Calculateur!DW117*Calculateur!DY117*VLOOKUP('Données projet'!$B$14,Paramètres!$A$1:$I$89,3,0)*0.475*44/12</f>
        <v>1.5858981067868956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3.7111791128375731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482.66051561841903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2.550000000000002</v>
      </c>
      <c r="N118" s="14">
        <f>IF('Données projet'!$A$36&gt;35,N117+M118-V117,IF(A118&lt;'Données projet'!$A$36,$K$205^A118,IF(A118='Données projet'!$A$36,'Données projet'!$B$36,N117+M118-V117)))</f>
        <v>306.06999999999988</v>
      </c>
      <c r="O118" s="14">
        <f>N118*VLOOKUP('Données projet'!$B$9,Paramètres!$A$1:$I$89,3,0)*VLOOKUP('Données projet'!$B$9,Paramètres!$A$1:$I$89,5,0)</f>
        <v>276.9321359999999</v>
      </c>
      <c r="P118" s="14">
        <f t="shared" si="87"/>
        <v>66.318265907697381</v>
      </c>
      <c r="Q118" s="22">
        <f t="shared" si="107"/>
        <v>597.82778332257271</v>
      </c>
      <c r="R118" s="62">
        <f t="shared" si="55"/>
        <v>891.16111665590597</v>
      </c>
      <c r="S118" s="62">
        <f ca="1">AVERAGE(OFFSET($R$3,0,0,'Données projet'!$E$9+1,1))-AVERAGE(OFFSET($H$3,0,0,'Données projet'!$E$9+1,1))</f>
        <v>299.17641394512162</v>
      </c>
      <c r="T118" s="62">
        <f t="shared" si="88"/>
        <v>180.73046320039873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7.4515609678286845</v>
      </c>
      <c r="AA118" s="23">
        <f>EXP(-LN(2)/25)*AA117+(1-EXP(-LN(2)/25))/(LN(2)/25)*Calculateur!V118*Calculateur!X118*VLOOKUP('Données projet'!$B$9,Paramètres!$A$1:$I$89,3,0)*0.475*44/12</f>
        <v>5.8608619659338501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13.312422933762534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4.4499999999999984</v>
      </c>
      <c r="AI118" s="14">
        <f>IF('Données projet'!$A$62&gt;35,AI117+AH118-AQ117,IF(A118&lt;'Données projet'!$A$62,$AF$205^A118,IF(A118='Données projet'!$A$62,'Données projet'!$B$62,AI117+AH118-AQ117)))</f>
        <v>325.31999999999908</v>
      </c>
      <c r="AJ118" s="14">
        <f>AI118*VLOOKUP('Données projet'!$B$10,Paramètres!$A$1:$I$89,3,0)*VLOOKUP('Données projet'!$B$10,Paramètres!$A$1:$I$89,5,0)</f>
        <v>329.8744799999991</v>
      </c>
      <c r="AK118" s="14">
        <f t="shared" si="89"/>
        <v>77.404283097213622</v>
      </c>
      <c r="AL118" s="22">
        <f t="shared" si="58"/>
        <v>709.34384572764554</v>
      </c>
      <c r="AM118" s="62">
        <f t="shared" si="59"/>
        <v>1002.6771790609789</v>
      </c>
      <c r="AN118" s="62">
        <f ca="1">AVERAGE(OFFSET($AM$3,0,0,'Données projet'!$E$10+1,1))-AVERAGE(OFFSET($H$3,0,0,'Données projet'!$E$10+1,1))</f>
        <v>384.66322295929552</v>
      </c>
      <c r="AO118" s="62">
        <f t="shared" si="90"/>
        <v>248.53970183513286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6.5042831579474214</v>
      </c>
      <c r="AV118" s="23">
        <f>EXP(-LN(2)/25)*AV117+(1-EXP(-LN(2)/25))/(LN(2)/25)*Calculateur!AQ118*Calculateur!AS118*VLOOKUP('Données projet'!$B$10,Paramètres!$A$1:$I$89,3,0)*0.475*44/12</f>
        <v>5.2019816785505117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11.706264836497933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343.79999999999995</v>
      </c>
      <c r="BE118" s="14">
        <f>BD118*VLOOKUP('Données projet'!$B$11,Paramètres!$A$1:$I$89,3,0)*VLOOKUP('Données projet'!$B$11,Paramètres!$A$1:$I$89,5,0)</f>
        <v>205.5924</v>
      </c>
      <c r="BF118" s="14">
        <f t="shared" si="91"/>
        <v>50.971228364263673</v>
      </c>
      <c r="BG118" s="22">
        <f t="shared" si="61"/>
        <v>446.84831940109251</v>
      </c>
      <c r="BH118" s="62">
        <f t="shared" si="62"/>
        <v>740.18165273442582</v>
      </c>
      <c r="BI118" s="62">
        <f ca="1">AVERAGE(OFFSET($BH$3,0,0,'Données projet'!$E$11+1,1))-AVERAGE(OFFSET($H$3,0,0,'Données projet'!$E$11+1,1))</f>
        <v>146.25807703055079</v>
      </c>
      <c r="BJ118" s="62">
        <f t="shared" si="92"/>
        <v>177.40137940534413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1.7689564275141754</v>
      </c>
      <c r="BQ118" s="23">
        <f>EXP(-LN(2)/25)*BQ117+(1-EXP(-LN(2)/25))/(LN(2)/25)*Calculateur!BL118*Calculateur!BN118*VLOOKUP('Données projet'!$B$11,Paramètres!$A$1:$I$89,3,0)*0.475*44/12</f>
        <v>0.92420725641481549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2.693163683928991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760.1400000000001</v>
      </c>
      <c r="BZ118" s="14">
        <f>BY118*VLOOKUP('Données projet'!$B$12,Paramètres!$A$1:$I$89,3,0)*VLOOKUP('Données projet'!$B$12,Paramètres!$A$1:$I$89,5,0)</f>
        <v>355.74552000000006</v>
      </c>
      <c r="CA118" s="14">
        <f t="shared" si="93"/>
        <v>82.744450026504168</v>
      </c>
      <c r="CB118" s="22">
        <f t="shared" si="64"/>
        <v>763.70336446282818</v>
      </c>
      <c r="CC118" s="62">
        <f t="shared" si="65"/>
        <v>1057.0366977961614</v>
      </c>
      <c r="CD118" s="62">
        <f ca="1">AVERAGE(OFFSET($CC$3,0,0,'Données projet'!$E$12+1,1))-AVERAGE(OFFSET($H$3,0,0,'Données projet'!$E$12+1,1))</f>
        <v>287.12723448949828</v>
      </c>
      <c r="CE118" s="62">
        <f t="shared" si="94"/>
        <v>170.5203352323382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2.1470969447583763</v>
      </c>
      <c r="CL118" s="23">
        <f>EXP(-LN(2)/25)*CL117+(1-EXP(-LN(2)/25))/(LN(2)/25)*Calculateur!CG118*Calculateur!CI118*VLOOKUP('Données projet'!$B$12,Paramètres!$A$1:$I$89,3,0)*0.475*44/12</f>
        <v>8.7400330129864834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10.887129957744859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477.12000000000097</v>
      </c>
      <c r="CU118" s="18">
        <f>CT118*VLOOKUP('Données projet'!$B$13,Paramètres!$A$1:$I$89,3,0)*VLOOKUP('Données projet'!$B$13,Paramètres!$A$1:$I$89,5,0)</f>
        <v>461.47046400000096</v>
      </c>
      <c r="CV118" s="14">
        <f t="shared" si="95"/>
        <v>104.13329806929862</v>
      </c>
      <c r="CW118" s="22">
        <f t="shared" si="67"/>
        <v>985.09321893736342</v>
      </c>
      <c r="CX118" s="62">
        <f t="shared" si="68"/>
        <v>1278.4265522706967</v>
      </c>
      <c r="CY118" s="62">
        <f ca="1">AVERAGE(OFFSET($CX$3,0,0,'Données projet'!$E$13+1,1))-AVERAGE(OFFSET($H$3,0,0,'Données projet'!$E$13+1,1))</f>
        <v>467.37715054082025</v>
      </c>
      <c r="CZ118" s="62">
        <f t="shared" si="96"/>
        <v>443.35096563136415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1.8722252694573531</v>
      </c>
      <c r="DG118" s="23">
        <f>EXP(-LN(2)/25)*DG117+(1-EXP(-LN(2)/25))/(LN(2)/25)*Calculateur!DB118*Calculateur!DD118*VLOOKUP('Données projet'!$B$13,Paramètres!$A$1:$I$89,3,0)*0.475*44/12</f>
        <v>1.3860429225912918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3.2582681920486447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477.12000000000097</v>
      </c>
      <c r="DP118" s="18">
        <f>DO118*VLOOKUP('Données projet'!$B$14,Paramètres!$A$1:$I$89,3,0)*VLOOKUP('Données projet'!$B$14,Paramètres!$A$1:$I$89,5,0)</f>
        <v>513.57196800000099</v>
      </c>
      <c r="DQ118" s="14">
        <f t="shared" si="97"/>
        <v>114.45621584436451</v>
      </c>
      <c r="DR118" s="22">
        <f t="shared" si="70"/>
        <v>1093.8157535289363</v>
      </c>
      <c r="DS118" s="62">
        <f t="shared" si="71"/>
        <v>1387.1490868622695</v>
      </c>
      <c r="DT118" s="62">
        <f ca="1">AVERAGE(OFFSET($DS$3,0,0,'Données projet'!$E$14+1,1))-AVERAGE(OFFSET($H$3,0,0,'Données projet'!$E$14+1,1))</f>
        <v>524.51242549438939</v>
      </c>
      <c r="DU118" s="62">
        <f t="shared" si="98"/>
        <v>494.88778446576327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2.0836055418154391</v>
      </c>
      <c r="EB118" s="23">
        <f>EXP(-LN(2)/25)*EB117+(1-EXP(-LN(2)/25))/(LN(2)/25)*Calculateur!DW118*Calculateur!DY118*VLOOKUP('Données projet'!$B$14,Paramètres!$A$1:$I$89,3,0)*0.475*44/12</f>
        <v>1.5425316396580511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3.6261371814734904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484.57701632167959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2.550000000000002</v>
      </c>
      <c r="N119" s="14">
        <f>IF('Données projet'!$A$36&gt;35,N118+M119-V118,IF(A119&lt;'Données projet'!$A$36,$K$205^A119,IF(A119='Données projet'!$A$36,'Données projet'!$B$36,N118+M119-V118)))</f>
        <v>308.61999999999989</v>
      </c>
      <c r="O119" s="14">
        <f>N119*VLOOKUP('Données projet'!$B$9,Paramètres!$A$1:$I$89,3,0)*VLOOKUP('Données projet'!$B$9,Paramètres!$A$1:$I$89,5,0)</f>
        <v>279.23937599999988</v>
      </c>
      <c r="P119" s="14">
        <f t="shared" si="87"/>
        <v>66.806241725381</v>
      </c>
      <c r="Q119" s="22">
        <f t="shared" si="107"/>
        <v>602.69611753837171</v>
      </c>
      <c r="R119" s="62">
        <f t="shared" si="55"/>
        <v>896.02945087170497</v>
      </c>
      <c r="S119" s="62">
        <f ca="1">AVERAGE(OFFSET($R$3,0,0,'Données projet'!$E$9+1,1))-AVERAGE(OFFSET($H$3,0,0,'Données projet'!$E$9+1,1))</f>
        <v>299.17641394512162</v>
      </c>
      <c r="T119" s="62">
        <f t="shared" si="88"/>
        <v>180.73046320039873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7.3054404022529722</v>
      </c>
      <c r="AA119" s="23">
        <f>EXP(-LN(2)/25)*AA118+(1-EXP(-LN(2)/25))/(LN(2)/25)*Calculateur!V119*Calculateur!X119*VLOOKUP('Données projet'!$B$9,Paramètres!$A$1:$I$89,3,0)*0.475*44/12</f>
        <v>5.700596387266053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13.006036789519026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4.4499999999999984</v>
      </c>
      <c r="AI119" s="14">
        <f>IF('Données projet'!$A$62&gt;35,AI118+AH119-AQ118,IF(A119&lt;'Données projet'!$A$62,$AF$205^A119,IF(A119='Données projet'!$A$62,'Données projet'!$B$62,AI118+AH119-AQ118)))</f>
        <v>329.76999999999907</v>
      </c>
      <c r="AJ119" s="14">
        <f>AI119*VLOOKUP('Données projet'!$B$10,Paramètres!$A$1:$I$89,3,0)*VLOOKUP('Données projet'!$B$10,Paramètres!$A$1:$I$89,5,0)</f>
        <v>334.38677999999908</v>
      </c>
      <c r="AK119" s="14">
        <f t="shared" si="89"/>
        <v>78.339098399151936</v>
      </c>
      <c r="AL119" s="22">
        <f t="shared" si="58"/>
        <v>718.83090487852132</v>
      </c>
      <c r="AM119" s="62">
        <f t="shared" si="59"/>
        <v>1012.1642382118546</v>
      </c>
      <c r="AN119" s="62">
        <f ca="1">AVERAGE(OFFSET($AM$3,0,0,'Données projet'!$E$10+1,1))-AVERAGE(OFFSET($H$3,0,0,'Données projet'!$E$10+1,1))</f>
        <v>384.66322295929552</v>
      </c>
      <c r="AO119" s="62">
        <f t="shared" si="90"/>
        <v>248.53970183513286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6.3767381324410684</v>
      </c>
      <c r="AV119" s="23">
        <f>EXP(-LN(2)/25)*AV118+(1-EXP(-LN(2)/25))/(LN(2)/25)*Calculateur!AQ119*Calculateur!AS119*VLOOKUP('Données projet'!$B$10,Paramètres!$A$1:$I$89,3,0)*0.475*44/12</f>
        <v>5.0597332159902209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11.43647134843129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343.79999999999995</v>
      </c>
      <c r="BE119" s="14">
        <f>BD119*VLOOKUP('Données projet'!$B$11,Paramètres!$A$1:$I$89,3,0)*VLOOKUP('Données projet'!$B$11,Paramètres!$A$1:$I$89,5,0)</f>
        <v>205.5924</v>
      </c>
      <c r="BF119" s="14">
        <f t="shared" si="91"/>
        <v>50.971228364263673</v>
      </c>
      <c r="BG119" s="22">
        <f t="shared" si="61"/>
        <v>446.84831940109251</v>
      </c>
      <c r="BH119" s="62">
        <f t="shared" si="62"/>
        <v>740.18165273442582</v>
      </c>
      <c r="BI119" s="62">
        <f ca="1">AVERAGE(OFFSET($BH$3,0,0,'Données projet'!$E$11+1,1))-AVERAGE(OFFSET($H$3,0,0,'Données projet'!$E$11+1,1))</f>
        <v>146.25807703055079</v>
      </c>
      <c r="BJ119" s="62">
        <f t="shared" si="92"/>
        <v>177.40137940534413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1.734268270927505</v>
      </c>
      <c r="BQ119" s="23">
        <f>EXP(-LN(2)/25)*BQ118+(1-EXP(-LN(2)/25))/(LN(2)/25)*Calculateur!BL119*Calculateur!BN119*VLOOKUP('Données projet'!$B$11,Paramètres!$A$1:$I$89,3,0)*0.475*44/12</f>
        <v>0.89893476038620501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2.6332030313137098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760.1400000000001</v>
      </c>
      <c r="BZ119" s="14">
        <f>BY119*VLOOKUP('Données projet'!$B$12,Paramètres!$A$1:$I$89,3,0)*VLOOKUP('Données projet'!$B$12,Paramètres!$A$1:$I$89,5,0)</f>
        <v>355.74552000000006</v>
      </c>
      <c r="CA119" s="14">
        <f t="shared" si="93"/>
        <v>82.744450026504168</v>
      </c>
      <c r="CB119" s="22">
        <f t="shared" si="64"/>
        <v>763.70336446282818</v>
      </c>
      <c r="CC119" s="62">
        <f t="shared" si="65"/>
        <v>1057.0366977961614</v>
      </c>
      <c r="CD119" s="62">
        <f ca="1">AVERAGE(OFFSET($CC$3,0,0,'Données projet'!$E$12+1,1))-AVERAGE(OFFSET($H$3,0,0,'Données projet'!$E$12+1,1))</f>
        <v>287.12723448949828</v>
      </c>
      <c r="CE119" s="62">
        <f t="shared" si="94"/>
        <v>170.5203352323382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2.1049936832714886</v>
      </c>
      <c r="CL119" s="23">
        <f>EXP(-LN(2)/25)*CL118+(1-EXP(-LN(2)/25))/(LN(2)/25)*Calculateur!CG119*Calculateur!CI119*VLOOKUP('Données projet'!$B$12,Paramètres!$A$1:$I$89,3,0)*0.475*44/12</f>
        <v>8.5010363506280076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10.606030033899497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477.12000000000097</v>
      </c>
      <c r="CU119" s="18">
        <f>CT119*VLOOKUP('Données projet'!$B$13,Paramètres!$A$1:$I$89,3,0)*VLOOKUP('Données projet'!$B$13,Paramètres!$A$1:$I$89,5,0)</f>
        <v>461.47046400000096</v>
      </c>
      <c r="CV119" s="14">
        <f t="shared" si="95"/>
        <v>104.13329806929862</v>
      </c>
      <c r="CW119" s="22">
        <f t="shared" si="67"/>
        <v>985.09321893736342</v>
      </c>
      <c r="CX119" s="62">
        <f t="shared" si="68"/>
        <v>1278.4265522706967</v>
      </c>
      <c r="CY119" s="62">
        <f ca="1">AVERAGE(OFFSET($CX$3,0,0,'Données projet'!$E$13+1,1))-AVERAGE(OFFSET($H$3,0,0,'Données projet'!$E$13+1,1))</f>
        <v>467.37715054082025</v>
      </c>
      <c r="CZ119" s="62">
        <f t="shared" si="96"/>
        <v>443.35096563136415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1.8355120738679511</v>
      </c>
      <c r="DG119" s="23">
        <f>EXP(-LN(2)/25)*DG118+(1-EXP(-LN(2)/25))/(LN(2)/25)*Calculateur!DB119*Calculateur!DD119*VLOOKUP('Données projet'!$B$13,Paramètres!$A$1:$I$89,3,0)*0.475*44/12</f>
        <v>1.3481415059842035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3.1836535798521544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477.12000000000097</v>
      </c>
      <c r="DP119" s="18">
        <f>DO119*VLOOKUP('Données projet'!$B$14,Paramètres!$A$1:$I$89,3,0)*VLOOKUP('Données projet'!$B$14,Paramètres!$A$1:$I$89,5,0)</f>
        <v>513.57196800000099</v>
      </c>
      <c r="DQ119" s="14">
        <f t="shared" si="97"/>
        <v>114.45621584436451</v>
      </c>
      <c r="DR119" s="22">
        <f t="shared" si="70"/>
        <v>1093.8157535289363</v>
      </c>
      <c r="DS119" s="62">
        <f t="shared" si="71"/>
        <v>1387.1490868622695</v>
      </c>
      <c r="DT119" s="62">
        <f ca="1">AVERAGE(OFFSET($DS$3,0,0,'Données projet'!$E$14+1,1))-AVERAGE(OFFSET($H$3,0,0,'Données projet'!$E$14+1,1))</f>
        <v>524.51242549438939</v>
      </c>
      <c r="DU119" s="62">
        <f t="shared" si="98"/>
        <v>494.88778446576327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2.0427473080143304</v>
      </c>
      <c r="EB119" s="23">
        <f>EXP(-LN(2)/25)*EB118+(1-EXP(-LN(2)/25))/(LN(2)/25)*Calculateur!DW119*Calculateur!DY119*VLOOKUP('Données projet'!$B$14,Paramètres!$A$1:$I$89,3,0)*0.475*44/12</f>
        <v>1.5003510308533883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3.5430983388677184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486.49314812620531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2.550000000000002</v>
      </c>
      <c r="N120" s="14">
        <f>IF('Données projet'!$A$36&gt;35,N119+M120-V119,IF(A120&lt;'Données projet'!$A$36,$K$205^A120,IF(A120='Données projet'!$A$36,'Données projet'!$B$36,N119+M120-V119)))</f>
        <v>311.1699999999999</v>
      </c>
      <c r="O120" s="14">
        <f>N120*VLOOKUP('Données projet'!$B$9,Paramètres!$A$1:$I$89,3,0)*VLOOKUP('Données projet'!$B$9,Paramètres!$A$1:$I$89,5,0)</f>
        <v>281.54661599999991</v>
      </c>
      <c r="P120" s="14">
        <f t="shared" si="87"/>
        <v>67.293748444835956</v>
      </c>
      <c r="Q120" s="22">
        <f t="shared" si="107"/>
        <v>607.56363474142245</v>
      </c>
      <c r="R120" s="62">
        <f t="shared" si="55"/>
        <v>900.8969680747557</v>
      </c>
      <c r="S120" s="62">
        <f ca="1">AVERAGE(OFFSET($R$3,0,0,'Données projet'!$E$9+1,1))-AVERAGE(OFFSET($H$3,0,0,'Données projet'!$E$9+1,1))</f>
        <v>299.17641394512162</v>
      </c>
      <c r="T120" s="62">
        <f t="shared" si="88"/>
        <v>180.73046320039873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7.162185171843455</v>
      </c>
      <c r="AA120" s="23">
        <f>EXP(-LN(2)/25)*AA119+(1-EXP(-LN(2)/25))/(LN(2)/25)*Calculateur!V120*Calculateur!X120*VLOOKUP('Données projet'!$B$9,Paramètres!$A$1:$I$89,3,0)*0.475*44/12</f>
        <v>5.5447132792749274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12.706898451118382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4.4499999999999984</v>
      </c>
      <c r="AI120" s="14">
        <f>IF('Données projet'!$A$62&gt;35,AI119+AH120-AQ119,IF(A120&lt;'Données projet'!$A$62,$AF$205^A120,IF(A120='Données projet'!$A$62,'Données projet'!$B$62,AI119+AH120-AQ119)))</f>
        <v>334.21999999999906</v>
      </c>
      <c r="AJ120" s="14">
        <f>AI120*VLOOKUP('Données projet'!$B$10,Paramètres!$A$1:$I$89,3,0)*VLOOKUP('Données projet'!$B$10,Paramètres!$A$1:$I$89,5,0)</f>
        <v>338.89907999999906</v>
      </c>
      <c r="AK120" s="14">
        <f t="shared" si="89"/>
        <v>79.27244646310497</v>
      </c>
      <c r="AL120" s="22">
        <f t="shared" si="58"/>
        <v>728.31540858990627</v>
      </c>
      <c r="AM120" s="62">
        <f t="shared" si="59"/>
        <v>1021.6487419232396</v>
      </c>
      <c r="AN120" s="62">
        <f ca="1">AVERAGE(OFFSET($AM$3,0,0,'Données projet'!$E$10+1,1))-AVERAGE(OFFSET($H$3,0,0,'Données projet'!$E$10+1,1))</f>
        <v>384.66322295929552</v>
      </c>
      <c r="AO120" s="62">
        <f t="shared" si="90"/>
        <v>248.53970183513286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6.251694187090111</v>
      </c>
      <c r="AV120" s="23">
        <f>EXP(-LN(2)/25)*AV119+(1-EXP(-LN(2)/25))/(LN(2)/25)*Calculateur!AQ120*Calculateur!AS120*VLOOKUP('Données projet'!$B$10,Paramètres!$A$1:$I$89,3,0)*0.475*44/12</f>
        <v>4.9213745451191624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11.173068732209273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343.79999999999995</v>
      </c>
      <c r="BE120" s="14">
        <f>BD120*VLOOKUP('Données projet'!$B$11,Paramètres!$A$1:$I$89,3,0)*VLOOKUP('Données projet'!$B$11,Paramètres!$A$1:$I$89,5,0)</f>
        <v>205.5924</v>
      </c>
      <c r="BF120" s="14">
        <f t="shared" si="91"/>
        <v>50.971228364263673</v>
      </c>
      <c r="BG120" s="22">
        <f t="shared" si="61"/>
        <v>446.84831940109251</v>
      </c>
      <c r="BH120" s="62">
        <f t="shared" si="62"/>
        <v>740.18165273442582</v>
      </c>
      <c r="BI120" s="62">
        <f ca="1">AVERAGE(OFFSET($BH$3,0,0,'Données projet'!$E$11+1,1))-AVERAGE(OFFSET($H$3,0,0,'Données projet'!$E$11+1,1))</f>
        <v>146.25807703055079</v>
      </c>
      <c r="BJ120" s="62">
        <f t="shared" si="92"/>
        <v>177.40137940534413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1.7002603279338129</v>
      </c>
      <c r="BQ120" s="23">
        <f>EXP(-LN(2)/25)*BQ119+(1-EXP(-LN(2)/25))/(LN(2)/25)*Calculateur!BL120*Calculateur!BN120*VLOOKUP('Données projet'!$B$11,Paramètres!$A$1:$I$89,3,0)*0.475*44/12</f>
        <v>0.87435334209051974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2.5746136700243327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760.1400000000001</v>
      </c>
      <c r="BZ120" s="14">
        <f>BY120*VLOOKUP('Données projet'!$B$12,Paramètres!$A$1:$I$89,3,0)*VLOOKUP('Données projet'!$B$12,Paramètres!$A$1:$I$89,5,0)</f>
        <v>355.74552000000006</v>
      </c>
      <c r="CA120" s="14">
        <f t="shared" si="93"/>
        <v>82.744450026504168</v>
      </c>
      <c r="CB120" s="22">
        <f t="shared" si="64"/>
        <v>763.70336446282818</v>
      </c>
      <c r="CC120" s="62">
        <f t="shared" si="65"/>
        <v>1057.0366977961614</v>
      </c>
      <c r="CD120" s="62">
        <f ca="1">AVERAGE(OFFSET($CC$3,0,0,'Données projet'!$E$12+1,1))-AVERAGE(OFFSET($H$3,0,0,'Données projet'!$E$12+1,1))</f>
        <v>287.12723448949828</v>
      </c>
      <c r="CE120" s="62">
        <f t="shared" si="94"/>
        <v>170.5203352323382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2.0637160410619049</v>
      </c>
      <c r="CL120" s="23">
        <f>EXP(-LN(2)/25)*CL119+(1-EXP(-LN(2)/25))/(LN(2)/25)*Calculateur!CG120*Calculateur!CI120*VLOOKUP('Données projet'!$B$12,Paramètres!$A$1:$I$89,3,0)*0.475*44/12</f>
        <v>8.2685750645700118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10.332291105631917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477.12000000000097</v>
      </c>
      <c r="CU120" s="18">
        <f>CT120*VLOOKUP('Données projet'!$B$13,Paramètres!$A$1:$I$89,3,0)*VLOOKUP('Données projet'!$B$13,Paramètres!$A$1:$I$89,5,0)</f>
        <v>461.47046400000096</v>
      </c>
      <c r="CV120" s="14">
        <f t="shared" si="95"/>
        <v>104.13329806929862</v>
      </c>
      <c r="CW120" s="22">
        <f t="shared" si="67"/>
        <v>985.09321893736342</v>
      </c>
      <c r="CX120" s="62">
        <f t="shared" si="68"/>
        <v>1278.4265522706967</v>
      </c>
      <c r="CY120" s="62">
        <f ca="1">AVERAGE(OFFSET($CX$3,0,0,'Données projet'!$E$13+1,1))-AVERAGE(OFFSET($H$3,0,0,'Données projet'!$E$13+1,1))</f>
        <v>467.37715054082025</v>
      </c>
      <c r="CZ120" s="62">
        <f t="shared" si="96"/>
        <v>443.35096563136415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1.7995188016512191</v>
      </c>
      <c r="DG120" s="23">
        <f>EXP(-LN(2)/25)*DG119+(1-EXP(-LN(2)/25))/(LN(2)/25)*Calculateur!DB120*Calculateur!DD120*VLOOKUP('Données projet'!$B$13,Paramètres!$A$1:$I$89,3,0)*0.475*44/12</f>
        <v>1.3112765056073847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3.1107953072586039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477.12000000000097</v>
      </c>
      <c r="DP120" s="18">
        <f>DO120*VLOOKUP('Données projet'!$B$14,Paramètres!$A$1:$I$89,3,0)*VLOOKUP('Données projet'!$B$14,Paramètres!$A$1:$I$89,5,0)</f>
        <v>513.57196800000099</v>
      </c>
      <c r="DQ120" s="14">
        <f t="shared" si="97"/>
        <v>114.45621584436451</v>
      </c>
      <c r="DR120" s="22">
        <f t="shared" si="70"/>
        <v>1093.8157535289363</v>
      </c>
      <c r="DS120" s="62">
        <f t="shared" si="71"/>
        <v>1387.1490868622695</v>
      </c>
      <c r="DT120" s="62">
        <f ca="1">AVERAGE(OFFSET($DS$3,0,0,'Données projet'!$E$14+1,1))-AVERAGE(OFFSET($H$3,0,0,'Données projet'!$E$14+1,1))</f>
        <v>524.51242549438939</v>
      </c>
      <c r="DU120" s="62">
        <f t="shared" si="98"/>
        <v>494.88778446576327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2.0026902792569996</v>
      </c>
      <c r="EB120" s="23">
        <f>EXP(-LN(2)/25)*EB119+(1-EXP(-LN(2)/25))/(LN(2)/25)*Calculateur!DW120*Calculateur!DY120*VLOOKUP('Données projet'!$B$14,Paramètres!$A$1:$I$89,3,0)*0.475*44/12</f>
        <v>1.4593238530146708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3.4620141322716704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488.40891455031931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2.550000000000002</v>
      </c>
      <c r="N121" s="14">
        <f>IF('Données projet'!$A$36&gt;35,N120+M121-V120,IF(A121&lt;'Données projet'!$A$36,$K$205^A121,IF(A121='Données projet'!$A$36,'Données projet'!$B$36,N120+M121-V120)))</f>
        <v>313.71999999999991</v>
      </c>
      <c r="O121" s="14">
        <f>N121*VLOOKUP('Données projet'!$B$9,Paramètres!$A$1:$I$89,3,0)*VLOOKUP('Données projet'!$B$9,Paramètres!$A$1:$I$89,5,0)</f>
        <v>283.85385599999989</v>
      </c>
      <c r="P121" s="14">
        <f t="shared" si="87"/>
        <v>67.780790355779843</v>
      </c>
      <c r="Q121" s="22">
        <f t="shared" si="107"/>
        <v>612.43034240298311</v>
      </c>
      <c r="R121" s="62">
        <f t="shared" si="55"/>
        <v>905.76367573631637</v>
      </c>
      <c r="S121" s="62">
        <f ca="1">AVERAGE(OFFSET($R$3,0,0,'Données projet'!$E$9+1,1))-AVERAGE(OFFSET($H$3,0,0,'Données projet'!$E$9+1,1))</f>
        <v>299.17641394512162</v>
      </c>
      <c r="T121" s="62">
        <f t="shared" si="88"/>
        <v>180.73046320039873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7.0217390891252061</v>
      </c>
      <c r="AA121" s="23">
        <f>EXP(-LN(2)/25)*AA120+(1-EXP(-LN(2)/25))/(LN(2)/25)*Calculateur!V121*Calculateur!X121*VLOOKUP('Données projet'!$B$9,Paramètres!$A$1:$I$89,3,0)*0.475*44/12</f>
        <v>5.3930928030693561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12.414831892194563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4.4499999999999984</v>
      </c>
      <c r="AI121" s="14">
        <f>IF('Données projet'!$A$62&gt;35,AI120+AH121-AQ120,IF(A121&lt;'Données projet'!$A$62,$AF$205^A121,IF(A121='Données projet'!$A$62,'Données projet'!$B$62,AI120+AH121-AQ120)))</f>
        <v>338.66999999999905</v>
      </c>
      <c r="AJ121" s="14">
        <f>AI121*VLOOKUP('Données projet'!$B$10,Paramètres!$A$1:$I$89,3,0)*VLOOKUP('Données projet'!$B$10,Paramètres!$A$1:$I$89,5,0)</f>
        <v>343.41137999999904</v>
      </c>
      <c r="AK121" s="14">
        <f t="shared" si="89"/>
        <v>80.204349083089753</v>
      </c>
      <c r="AL121" s="22">
        <f t="shared" si="58"/>
        <v>737.79739481971285</v>
      </c>
      <c r="AM121" s="62">
        <f t="shared" si="59"/>
        <v>1031.1307281530462</v>
      </c>
      <c r="AN121" s="62">
        <f ca="1">AVERAGE(OFFSET($AM$3,0,0,'Données projet'!$E$10+1,1))-AVERAGE(OFFSET($H$3,0,0,'Données projet'!$E$10+1,1))</f>
        <v>384.66322295929552</v>
      </c>
      <c r="AO121" s="62">
        <f t="shared" si="90"/>
        <v>248.53970183513286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6.1291022772382098</v>
      </c>
      <c r="AV121" s="23">
        <f>EXP(-LN(2)/25)*AV120+(1-EXP(-LN(2)/25))/(LN(2)/25)*Calculateur!AQ121*Calculateur!AS121*VLOOKUP('Données projet'!$B$10,Paramètres!$A$1:$I$89,3,0)*0.475*44/12</f>
        <v>4.7867992993790391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10.915901576617248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343.79999999999995</v>
      </c>
      <c r="BE121" s="14">
        <f>BD121*VLOOKUP('Données projet'!$B$11,Paramètres!$A$1:$I$89,3,0)*VLOOKUP('Données projet'!$B$11,Paramètres!$A$1:$I$89,5,0)</f>
        <v>205.5924</v>
      </c>
      <c r="BF121" s="14">
        <f t="shared" si="91"/>
        <v>50.971228364263673</v>
      </c>
      <c r="BG121" s="22">
        <f t="shared" si="61"/>
        <v>446.84831940109251</v>
      </c>
      <c r="BH121" s="62">
        <f t="shared" si="62"/>
        <v>740.18165273442582</v>
      </c>
      <c r="BI121" s="62">
        <f ca="1">AVERAGE(OFFSET($BH$3,0,0,'Données projet'!$E$11+1,1))-AVERAGE(OFFSET($H$3,0,0,'Données projet'!$E$11+1,1))</f>
        <v>146.25807703055079</v>
      </c>
      <c r="BJ121" s="62">
        <f t="shared" si="92"/>
        <v>177.40137940534413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1.66691925995943</v>
      </c>
      <c r="BQ121" s="23">
        <f>EXP(-LN(2)/25)*BQ120+(1-EXP(-LN(2)/25))/(LN(2)/25)*Calculateur!BL121*Calculateur!BN121*VLOOKUP('Données projet'!$B$11,Paramètres!$A$1:$I$89,3,0)*0.475*44/12</f>
        <v>0.85044410397081061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2.5173633639302406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760.1400000000001</v>
      </c>
      <c r="BZ121" s="14">
        <f>BY121*VLOOKUP('Données projet'!$B$12,Paramètres!$A$1:$I$89,3,0)*VLOOKUP('Données projet'!$B$12,Paramètres!$A$1:$I$89,5,0)</f>
        <v>355.74552000000006</v>
      </c>
      <c r="CA121" s="14">
        <f t="shared" si="93"/>
        <v>82.744450026504168</v>
      </c>
      <c r="CB121" s="22">
        <f t="shared" si="64"/>
        <v>763.70336446282818</v>
      </c>
      <c r="CC121" s="62">
        <f t="shared" si="65"/>
        <v>1057.0366977961614</v>
      </c>
      <c r="CD121" s="62">
        <f ca="1">AVERAGE(OFFSET($CC$3,0,0,'Données projet'!$E$12+1,1))-AVERAGE(OFFSET($H$3,0,0,'Données projet'!$E$12+1,1))</f>
        <v>287.12723448949828</v>
      </c>
      <c r="CE121" s="62">
        <f t="shared" si="94"/>
        <v>170.5203352323382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2.0232478282391755</v>
      </c>
      <c r="CL121" s="23">
        <f>EXP(-LN(2)/25)*CL120+(1-EXP(-LN(2)/25))/(LN(2)/25)*Calculateur!CG121*Calculateur!CI121*VLOOKUP('Données projet'!$B$12,Paramètres!$A$1:$I$89,3,0)*0.475*44/12</f>
        <v>8.0424704446038806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10.065718272843057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477.12000000000097</v>
      </c>
      <c r="CU121" s="18">
        <f>CT121*VLOOKUP('Données projet'!$B$13,Paramètres!$A$1:$I$89,3,0)*VLOOKUP('Données projet'!$B$13,Paramètres!$A$1:$I$89,5,0)</f>
        <v>461.47046400000096</v>
      </c>
      <c r="CV121" s="14">
        <f t="shared" si="95"/>
        <v>104.13329806929862</v>
      </c>
      <c r="CW121" s="22">
        <f t="shared" si="67"/>
        <v>985.09321893736342</v>
      </c>
      <c r="CX121" s="62">
        <f t="shared" si="68"/>
        <v>1278.4265522706967</v>
      </c>
      <c r="CY121" s="62">
        <f ca="1">AVERAGE(OFFSET($CX$3,0,0,'Données projet'!$E$13+1,1))-AVERAGE(OFFSET($H$3,0,0,'Données projet'!$E$13+1,1))</f>
        <v>467.37715054082025</v>
      </c>
      <c r="CZ121" s="62">
        <f t="shared" si="96"/>
        <v>443.35096563136415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1.764231335548929</v>
      </c>
      <c r="DG121" s="23">
        <f>EXP(-LN(2)/25)*DG120+(1-EXP(-LN(2)/25))/(LN(2)/25)*Calculateur!DB121*Calculateur!DD121*VLOOKUP('Données projet'!$B$13,Paramètres!$A$1:$I$89,3,0)*0.475*44/12</f>
        <v>1.2754195806045163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3.0396509161534455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477.12000000000097</v>
      </c>
      <c r="DP121" s="18">
        <f>DO121*VLOOKUP('Données projet'!$B$14,Paramètres!$A$1:$I$89,3,0)*VLOOKUP('Données projet'!$B$14,Paramètres!$A$1:$I$89,5,0)</f>
        <v>513.57196800000099</v>
      </c>
      <c r="DQ121" s="14">
        <f t="shared" si="97"/>
        <v>114.45621584436451</v>
      </c>
      <c r="DR121" s="22">
        <f t="shared" si="70"/>
        <v>1093.8157535289363</v>
      </c>
      <c r="DS121" s="62">
        <f t="shared" si="71"/>
        <v>1387.1490868622695</v>
      </c>
      <c r="DT121" s="62">
        <f ca="1">AVERAGE(OFFSET($DS$3,0,0,'Données projet'!$E$14+1,1))-AVERAGE(OFFSET($H$3,0,0,'Données projet'!$E$14+1,1))</f>
        <v>524.51242549438939</v>
      </c>
      <c r="DU121" s="62">
        <f t="shared" si="98"/>
        <v>494.88778446576327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1.963418744401225</v>
      </c>
      <c r="EB121" s="23">
        <f>EXP(-LN(2)/25)*EB120+(1-EXP(-LN(2)/25))/(LN(2)/25)*Calculateur!DW121*Calculateur!DY121*VLOOKUP('Données projet'!$B$14,Paramètres!$A$1:$I$89,3,0)*0.475*44/12</f>
        <v>1.4194185655114786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3.3828373099127038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490.32431904927057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2.550000000000002</v>
      </c>
      <c r="N122" s="14">
        <f>IF('Données projet'!$A$36&gt;35,N121+M122-V121,IF(A122&lt;'Données projet'!$A$36,$K$205^A122,IF(A122='Données projet'!$A$36,'Données projet'!$B$36,N121+M122-V121)))</f>
        <v>316.26999999999992</v>
      </c>
      <c r="O122" s="14">
        <f>N122*VLOOKUP('Données projet'!$B$9,Paramètres!$A$1:$I$89,3,0)*VLOOKUP('Données projet'!$B$9,Paramètres!$A$1:$I$89,5,0)</f>
        <v>286.16109599999993</v>
      </c>
      <c r="P122" s="14">
        <f t="shared" si="87"/>
        <v>68.267371674168501</v>
      </c>
      <c r="Q122" s="22">
        <f t="shared" si="107"/>
        <v>617.29624786584327</v>
      </c>
      <c r="R122" s="62">
        <f t="shared" si="55"/>
        <v>910.62958119917653</v>
      </c>
      <c r="S122" s="62">
        <f ca="1">AVERAGE(OFFSET($R$3,0,0,'Données projet'!$E$9+1,1))-AVERAGE(OFFSET($H$3,0,0,'Données projet'!$E$9+1,1))</f>
        <v>299.17641394512162</v>
      </c>
      <c r="T122" s="62">
        <f t="shared" si="88"/>
        <v>180.73046320039873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6.88404706842541</v>
      </c>
      <c r="AA122" s="23">
        <f>EXP(-LN(2)/25)*AA121+(1-EXP(-LN(2)/25))/(LN(2)/25)*Calculateur!V122*Calculateur!X122*VLOOKUP('Données projet'!$B$9,Paramètres!$A$1:$I$89,3,0)*0.475*44/12</f>
        <v>5.2456183967590002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12.129665465184409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4.4499999999999984</v>
      </c>
      <c r="AI122" s="14">
        <f>IF('Données projet'!$A$62&gt;35,AI121+AH122-AQ121,IF(A122&lt;'Données projet'!$A$62,$AF$205^A122,IF(A122='Données projet'!$A$62,'Données projet'!$B$62,AI121+AH122-AQ121)))</f>
        <v>343.11999999999904</v>
      </c>
      <c r="AJ122" s="14">
        <f>AI122*VLOOKUP('Données projet'!$B$10,Paramètres!$A$1:$I$89,3,0)*VLOOKUP('Données projet'!$B$10,Paramètres!$A$1:$I$89,5,0)</f>
        <v>347.92367999999908</v>
      </c>
      <c r="AK122" s="14">
        <f t="shared" si="89"/>
        <v>81.134827447471082</v>
      </c>
      <c r="AL122" s="22">
        <f t="shared" si="58"/>
        <v>747.27690047101044</v>
      </c>
      <c r="AM122" s="62">
        <f t="shared" si="59"/>
        <v>1040.6102338043438</v>
      </c>
      <c r="AN122" s="62">
        <f ca="1">AVERAGE(OFFSET($AM$3,0,0,'Données projet'!$E$10+1,1))-AVERAGE(OFFSET($H$3,0,0,'Données projet'!$E$10+1,1))</f>
        <v>384.66322295929552</v>
      </c>
      <c r="AO122" s="62">
        <f t="shared" si="90"/>
        <v>248.53970183513286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6.0089143199648225</v>
      </c>
      <c r="AV122" s="23">
        <f>EXP(-LN(2)/25)*AV121+(1-EXP(-LN(2)/25))/(LN(2)/25)*Calculateur!AQ122*Calculateur!AS122*VLOOKUP('Données projet'!$B$10,Paramètres!$A$1:$I$89,3,0)*0.475*44/12</f>
        <v>4.6559040208106843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10.664818340775508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343.79999999999995</v>
      </c>
      <c r="BE122" s="14">
        <f>BD122*VLOOKUP('Données projet'!$B$11,Paramètres!$A$1:$I$89,3,0)*VLOOKUP('Données projet'!$B$11,Paramètres!$A$1:$I$89,5,0)</f>
        <v>205.5924</v>
      </c>
      <c r="BF122" s="14">
        <f t="shared" si="91"/>
        <v>50.971228364263673</v>
      </c>
      <c r="BG122" s="22">
        <f t="shared" si="61"/>
        <v>446.84831940109251</v>
      </c>
      <c r="BH122" s="62">
        <f t="shared" si="62"/>
        <v>740.18165273442582</v>
      </c>
      <c r="BI122" s="62">
        <f ca="1">AVERAGE(OFFSET($BH$3,0,0,'Données projet'!$E$11+1,1))-AVERAGE(OFFSET($H$3,0,0,'Données projet'!$E$11+1,1))</f>
        <v>146.25807703055079</v>
      </c>
      <c r="BJ122" s="62">
        <f t="shared" si="92"/>
        <v>177.40137940534413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1.6342319899919813</v>
      </c>
      <c r="BQ122" s="23">
        <f>EXP(-LN(2)/25)*BQ121+(1-EXP(-LN(2)/25))/(LN(2)/25)*Calculateur!BL122*Calculateur!BN122*VLOOKUP('Données projet'!$B$11,Paramètres!$A$1:$I$89,3,0)*0.475*44/12</f>
        <v>0.82718866522481704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2.4614206552167985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760.1400000000001</v>
      </c>
      <c r="BZ122" s="14">
        <f>BY122*VLOOKUP('Données projet'!$B$12,Paramètres!$A$1:$I$89,3,0)*VLOOKUP('Données projet'!$B$12,Paramètres!$A$1:$I$89,5,0)</f>
        <v>355.74552000000006</v>
      </c>
      <c r="CA122" s="14">
        <f t="shared" si="93"/>
        <v>82.744450026504168</v>
      </c>
      <c r="CB122" s="22">
        <f t="shared" si="64"/>
        <v>763.70336446282818</v>
      </c>
      <c r="CC122" s="62">
        <f t="shared" si="65"/>
        <v>1057.0366977961614</v>
      </c>
      <c r="CD122" s="62">
        <f ca="1">AVERAGE(OFFSET($CC$3,0,0,'Données projet'!$E$12+1,1))-AVERAGE(OFFSET($H$3,0,0,'Données projet'!$E$12+1,1))</f>
        <v>287.12723448949828</v>
      </c>
      <c r="CE122" s="62">
        <f t="shared" si="94"/>
        <v>170.5203352323382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1.9835731723867271</v>
      </c>
      <c r="CL122" s="23">
        <f>EXP(-LN(2)/25)*CL121+(1-EXP(-LN(2)/25))/(LN(2)/25)*Calculateur!CG122*Calculateur!CI122*VLOOKUP('Données projet'!$B$12,Paramètres!$A$1:$I$89,3,0)*0.475*44/12</f>
        <v>7.8225486673610485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9.8061218397477763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477.12000000000097</v>
      </c>
      <c r="CU122" s="18">
        <f>CT122*VLOOKUP('Données projet'!$B$13,Paramètres!$A$1:$I$89,3,0)*VLOOKUP('Données projet'!$B$13,Paramètres!$A$1:$I$89,5,0)</f>
        <v>461.47046400000096</v>
      </c>
      <c r="CV122" s="14">
        <f t="shared" si="95"/>
        <v>104.13329806929862</v>
      </c>
      <c r="CW122" s="22">
        <f t="shared" si="67"/>
        <v>985.09321893736342</v>
      </c>
      <c r="CX122" s="62">
        <f t="shared" si="68"/>
        <v>1278.4265522706967</v>
      </c>
      <c r="CY122" s="62">
        <f ca="1">AVERAGE(OFFSET($CX$3,0,0,'Données projet'!$E$13+1,1))-AVERAGE(OFFSET($H$3,0,0,'Données projet'!$E$13+1,1))</f>
        <v>467.37715054082025</v>
      </c>
      <c r="CZ122" s="62">
        <f t="shared" si="96"/>
        <v>443.35096563136415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1.7296358351336756</v>
      </c>
      <c r="DG122" s="23">
        <f>EXP(-LN(2)/25)*DG121+(1-EXP(-LN(2)/25))/(LN(2)/25)*Calculateur!DB122*Calculateur!DD122*VLOOKUP('Données projet'!$B$13,Paramètres!$A$1:$I$89,3,0)*0.475*44/12</f>
        <v>1.2405431651014851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2.9701790002351607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477.12000000000097</v>
      </c>
      <c r="DP122" s="18">
        <f>DO122*VLOOKUP('Données projet'!$B$14,Paramètres!$A$1:$I$89,3,0)*VLOOKUP('Données projet'!$B$14,Paramètres!$A$1:$I$89,5,0)</f>
        <v>513.57196800000099</v>
      </c>
      <c r="DQ122" s="14">
        <f t="shared" si="97"/>
        <v>114.45621584436451</v>
      </c>
      <c r="DR122" s="22">
        <f t="shared" si="70"/>
        <v>1093.8157535289363</v>
      </c>
      <c r="DS122" s="62">
        <f t="shared" si="71"/>
        <v>1387.1490868622695</v>
      </c>
      <c r="DT122" s="62">
        <f ca="1">AVERAGE(OFFSET($DS$3,0,0,'Données projet'!$E$14+1,1))-AVERAGE(OFFSET($H$3,0,0,'Données projet'!$E$14+1,1))</f>
        <v>524.51242549438939</v>
      </c>
      <c r="DU122" s="62">
        <f t="shared" si="98"/>
        <v>494.88778446576327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1.9249173003907012</v>
      </c>
      <c r="EB122" s="23">
        <f>EXP(-LN(2)/25)*EB121+(1-EXP(-LN(2)/25))/(LN(2)/25)*Calculateur!DW122*Calculateur!DY122*VLOOKUP('Données projet'!$B$14,Paramètres!$A$1:$I$89,3,0)*0.475*44/12</f>
        <v>1.380604490193589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3.3055217905842902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492.23936501688451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2.550000000000002</v>
      </c>
      <c r="N123" s="14">
        <f>IF('Données projet'!$A$36&gt;35,N122+M123-V122,IF(A123&lt;'Données projet'!$A$36,$K$205^A123,IF(A123='Données projet'!$A$36,'Données projet'!$B$36,N122+M123-V122)))</f>
        <v>318.81999999999994</v>
      </c>
      <c r="O123" s="14">
        <f>N123*VLOOKUP('Données projet'!$B$9,Paramètres!$A$1:$I$89,3,0)*VLOOKUP('Données projet'!$B$9,Paramètres!$A$1:$I$89,5,0)</f>
        <v>288.46833599999997</v>
      </c>
      <c r="P123" s="14">
        <f t="shared" si="87"/>
        <v>68.753496544048062</v>
      </c>
      <c r="Q123" s="22">
        <f t="shared" si="107"/>
        <v>622.16135834755028</v>
      </c>
      <c r="R123" s="62">
        <f t="shared" si="55"/>
        <v>915.49469168088353</v>
      </c>
      <c r="S123" s="62">
        <f ca="1">AVERAGE(OFFSET($R$3,0,0,'Données projet'!$E$9+1,1))-AVERAGE(OFFSET($H$3,0,0,'Données projet'!$E$9+1,1))</f>
        <v>299.17641394512162</v>
      </c>
      <c r="T123" s="62">
        <f t="shared" si="88"/>
        <v>180.73046320039873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6.7490551042676969</v>
      </c>
      <c r="AA123" s="23">
        <f>EXP(-LN(2)/25)*AA122+(1-EXP(-LN(2)/25))/(LN(2)/25)*Calculateur!V123*Calculateur!X123*VLOOKUP('Données projet'!$B$9,Paramètres!$A$1:$I$89,3,0)*0.475*44/12</f>
        <v>5.102176685844543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11.851231790112241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4.4499999999999984</v>
      </c>
      <c r="AI123" s="14">
        <f>IF('Données projet'!$A$62&gt;35,AI122+AH123-AQ122,IF(A123&lt;'Données projet'!$A$62,$AF$205^A123,IF(A123='Données projet'!$A$62,'Données projet'!$B$62,AI122+AH123-AQ122)))</f>
        <v>347.56999999999903</v>
      </c>
      <c r="AJ123" s="14">
        <f>AI123*VLOOKUP('Données projet'!$B$10,Paramètres!$A$1:$I$89,3,0)*VLOOKUP('Données projet'!$B$10,Paramètres!$A$1:$I$89,5,0)</f>
        <v>352.43597999999906</v>
      </c>
      <c r="AK123" s="14">
        <f t="shared" si="89"/>
        <v>82.063902163424331</v>
      </c>
      <c r="AL123" s="22">
        <f t="shared" si="58"/>
        <v>756.7539614346291</v>
      </c>
      <c r="AM123" s="62">
        <f t="shared" si="59"/>
        <v>1050.0872947679625</v>
      </c>
      <c r="AN123" s="62">
        <f ca="1">AVERAGE(OFFSET($AM$3,0,0,'Données projet'!$E$10+1,1))-AVERAGE(OFFSET($H$3,0,0,'Données projet'!$E$10+1,1))</f>
        <v>384.66322295929552</v>
      </c>
      <c r="AO123" s="62">
        <f t="shared" si="90"/>
        <v>248.53970183513286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5.891083175226151</v>
      </c>
      <c r="AV123" s="23">
        <f>EXP(-LN(2)/25)*AV122+(1-EXP(-LN(2)/25))/(LN(2)/25)*Calculateur!AQ123*Calculateur!AS123*VLOOKUP('Données projet'!$B$10,Paramètres!$A$1:$I$89,3,0)*0.475*44/12</f>
        <v>4.528588080518265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10.419671255744415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343.79999999999995</v>
      </c>
      <c r="BE123" s="14">
        <f>BD123*VLOOKUP('Données projet'!$B$11,Paramètres!$A$1:$I$89,3,0)*VLOOKUP('Données projet'!$B$11,Paramètres!$A$1:$I$89,5,0)</f>
        <v>205.5924</v>
      </c>
      <c r="BF123" s="14">
        <f t="shared" si="91"/>
        <v>50.971228364263673</v>
      </c>
      <c r="BG123" s="22">
        <f t="shared" si="61"/>
        <v>446.84831940109251</v>
      </c>
      <c r="BH123" s="62">
        <f t="shared" si="62"/>
        <v>740.18165273442582</v>
      </c>
      <c r="BI123" s="62">
        <f ca="1">AVERAGE(OFFSET($BH$3,0,0,'Données projet'!$E$11+1,1))-AVERAGE(OFFSET($H$3,0,0,'Données projet'!$E$11+1,1))</f>
        <v>146.25807703055079</v>
      </c>
      <c r="BJ123" s="62">
        <f t="shared" si="92"/>
        <v>177.40137940534413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1.6021856974513282</v>
      </c>
      <c r="BQ123" s="23">
        <f>EXP(-LN(2)/25)*BQ122+(1-EXP(-LN(2)/25))/(LN(2)/25)*Calculateur!BL123*Calculateur!BN123*VLOOKUP('Données projet'!$B$11,Paramètres!$A$1:$I$89,3,0)*0.475*44/12</f>
        <v>0.80456914767428311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2.4067548451256116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760.1400000000001</v>
      </c>
      <c r="BZ123" s="14">
        <f>BY123*VLOOKUP('Données projet'!$B$12,Paramètres!$A$1:$I$89,3,0)*VLOOKUP('Données projet'!$B$12,Paramètres!$A$1:$I$89,5,0)</f>
        <v>355.74552000000006</v>
      </c>
      <c r="CA123" s="14">
        <f t="shared" si="93"/>
        <v>82.744450026504168</v>
      </c>
      <c r="CB123" s="22">
        <f t="shared" si="64"/>
        <v>763.70336446282818</v>
      </c>
      <c r="CC123" s="62">
        <f t="shared" si="65"/>
        <v>1057.0366977961614</v>
      </c>
      <c r="CD123" s="62">
        <f ca="1">AVERAGE(OFFSET($CC$3,0,0,'Données projet'!$E$12+1,1))-AVERAGE(OFFSET($H$3,0,0,'Données projet'!$E$12+1,1))</f>
        <v>287.12723448949828</v>
      </c>
      <c r="CE123" s="62">
        <f t="shared" si="94"/>
        <v>170.5203352323382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1.9446765123363947</v>
      </c>
      <c r="CL123" s="23">
        <f>EXP(-LN(2)/25)*CL122+(1-EXP(-LN(2)/25))/(LN(2)/25)*Calculateur!CG123*Calculateur!CI123*VLOOKUP('Données projet'!$B$12,Paramètres!$A$1:$I$89,3,0)*0.475*44/12</f>
        <v>7.608640662682105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9.5533171750184991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477.12000000000097</v>
      </c>
      <c r="CU123" s="18">
        <f>CT123*VLOOKUP('Données projet'!$B$13,Paramètres!$A$1:$I$89,3,0)*VLOOKUP('Données projet'!$B$13,Paramètres!$A$1:$I$89,5,0)</f>
        <v>461.47046400000096</v>
      </c>
      <c r="CV123" s="14">
        <f t="shared" si="95"/>
        <v>104.13329806929862</v>
      </c>
      <c r="CW123" s="22">
        <f t="shared" si="67"/>
        <v>985.09321893736342</v>
      </c>
      <c r="CX123" s="62">
        <f t="shared" si="68"/>
        <v>1278.4265522706967</v>
      </c>
      <c r="CY123" s="62">
        <f ca="1">AVERAGE(OFFSET($CX$3,0,0,'Données projet'!$E$13+1,1))-AVERAGE(OFFSET($H$3,0,0,'Données projet'!$E$13+1,1))</f>
        <v>467.37715054082025</v>
      </c>
      <c r="CZ123" s="62">
        <f t="shared" si="96"/>
        <v>443.35096563136415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1.6957187313803936</v>
      </c>
      <c r="DG123" s="23">
        <f>EXP(-LN(2)/25)*DG122+(1-EXP(-LN(2)/25))/(LN(2)/25)*Calculateur!DB123*Calculateur!DD123*VLOOKUP('Données projet'!$B$13,Paramètres!$A$1:$I$89,3,0)*0.475*44/12</f>
        <v>1.2066204470144553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2.9023391783948487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477.12000000000097</v>
      </c>
      <c r="DP123" s="18">
        <f>DO123*VLOOKUP('Données projet'!$B$14,Paramètres!$A$1:$I$89,3,0)*VLOOKUP('Données projet'!$B$14,Paramètres!$A$1:$I$89,5,0)</f>
        <v>513.57196800000099</v>
      </c>
      <c r="DQ123" s="14">
        <f t="shared" si="97"/>
        <v>114.45621584436451</v>
      </c>
      <c r="DR123" s="22">
        <f t="shared" si="70"/>
        <v>1093.8157535289363</v>
      </c>
      <c r="DS123" s="62">
        <f t="shared" si="71"/>
        <v>1387.1490868622695</v>
      </c>
      <c r="DT123" s="62">
        <f ca="1">AVERAGE(OFFSET($DS$3,0,0,'Données projet'!$E$14+1,1))-AVERAGE(OFFSET($H$3,0,0,'Données projet'!$E$14+1,1))</f>
        <v>524.51242549438939</v>
      </c>
      <c r="DU123" s="62">
        <f t="shared" si="98"/>
        <v>494.88778446576327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1.8871708462136616</v>
      </c>
      <c r="EB123" s="23">
        <f>EXP(-LN(2)/25)*EB122+(1-EXP(-LN(2)/25))/(LN(2)/25)*Calculateur!DW123*Calculateur!DY123*VLOOKUP('Données projet'!$B$14,Paramètres!$A$1:$I$89,3,0)*0.475*44/12</f>
        <v>1.3428517878064106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3.2300226340200719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494.15405578715797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>
        <f>VLOOKUP(A124,'Données projet'!$A$35:$I$55,2,0)</f>
        <v>321.37</v>
      </c>
      <c r="L124" s="13">
        <f>VLOOKUP(A124,'Données projet'!$A$35:$I$55,9,0)</f>
        <v>2.550000000000002</v>
      </c>
      <c r="M124" s="13">
        <f t="array" ref="M124">INDEX(L:L,MIN(IF(ISNUMBER(L124:L320),ROW(L124:L320),"")))</f>
        <v>2.550000000000002</v>
      </c>
      <c r="N124" s="14">
        <f>IF('Données projet'!$A$36&gt;35,N123+M124-V123,IF(A124&lt;'Données projet'!$A$36,$K$205^A124,IF(A124='Données projet'!$A$36,'Données projet'!$B$36,N123+M124-V123)))</f>
        <v>321.36999999999995</v>
      </c>
      <c r="O124" s="14">
        <f>N124*VLOOKUP('Données projet'!$B$9,Paramètres!$A$1:$I$89,3,0)*VLOOKUP('Données projet'!$B$9,Paramètres!$A$1:$I$89,5,0)</f>
        <v>290.77557599999994</v>
      </c>
      <c r="P124" s="14">
        <f t="shared" si="87"/>
        <v>69.239169039347018</v>
      </c>
      <c r="Q124" s="22">
        <f t="shared" si="107"/>
        <v>627.02568094352932</v>
      </c>
      <c r="R124" s="62">
        <f t="shared" si="55"/>
        <v>920.35901427686258</v>
      </c>
      <c r="S124" s="62">
        <f ca="1">AVERAGE(OFFSET($R$3,0,0,'Données projet'!$E$9+1,1))-AVERAGE(OFFSET($H$3,0,0,'Données projet'!$E$9+1,1))</f>
        <v>299.17641394512162</v>
      </c>
      <c r="T124" s="62">
        <f t="shared" si="88"/>
        <v>180.73046320039873</v>
      </c>
      <c r="U124" s="16">
        <f>IF(ISNA(VLOOKUP(A124,'Données projet'!$A$35:$I$55,3,0)),0,VLOOKUP(A124,'Données projet'!$A$35:$I$55,3,0))</f>
        <v>9</v>
      </c>
      <c r="V124" s="16">
        <f>IF(ISNA(VLOOKUP(A124,'Données projet'!$A$35:$I$55,4,0)),0,VLOOKUP(A124,'Données projet'!$A$35:$I$55,4,0))</f>
        <v>32.14</v>
      </c>
      <c r="W124" s="17">
        <f>IF(ISNA(VLOOKUP(A124,'Données projet'!$A$35:$I$55,5,0)),0%,VLOOKUP(A124,'Données projet'!$A$35:$I$55,5,0)*VLOOKUP('Données projet'!$B$9,Paramètres!$A$1:$I$89,7,0))</f>
        <v>9.0299999999999991E-2</v>
      </c>
      <c r="X124" s="17">
        <f>IF(ISNA(VLOOKUP(A124,'Données projet'!$A$35:$I$55,6,0)),0%,VLOOKUP(A124,'Données projet'!$A$35:$I$55,6,0)*VLOOKUP('Données projet'!$B$9,Paramètres!$A$1:$I$89,7,0))</f>
        <v>8.1699999999999995E-2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9.5196186032161059</v>
      </c>
      <c r="AA124" s="23">
        <f>EXP(-LN(2)/25)*AA123+(1-EXP(-LN(2)/25))/(LN(2)/25)*Calculateur!V124*Calculateur!X124*VLOOKUP('Données projet'!$B$9,Paramètres!$A$1:$I$89,3,0)*0.475*44/12</f>
        <v>7.5787569883516746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17.09837559156778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>
        <f>VLOOKUP(A124,'Données projet'!$A$61:$I$81,2,0)</f>
        <v>352.02</v>
      </c>
      <c r="AG124" s="13">
        <f>VLOOKUP(A124,'Données projet'!$A$61:$I$81,9,0)</f>
        <v>4.4499999999999984</v>
      </c>
      <c r="AH124" s="13">
        <f t="array" ref="AH124">INDEX(AG:AG,MIN(IF(ISNUMBER(AG124:AG320),ROW(AG124:AG320),"")))</f>
        <v>4.4499999999999984</v>
      </c>
      <c r="AI124" s="14">
        <f>IF('Données projet'!$A$62&gt;35,AI123+AH124-AQ123,IF(A124&lt;'Données projet'!$A$62,$AF$205^A124,IF(A124='Données projet'!$A$62,'Données projet'!$B$62,AI123+AH124-AQ123)))</f>
        <v>352.01999999999902</v>
      </c>
      <c r="AJ124" s="14">
        <f>AI124*VLOOKUP('Données projet'!$B$10,Paramètres!$A$1:$I$89,3,0)*VLOOKUP('Données projet'!$B$10,Paramètres!$A$1:$I$89,5,0)</f>
        <v>356.94827999999904</v>
      </c>
      <c r="AK124" s="14">
        <f t="shared" si="89"/>
        <v>82.991593280110081</v>
      </c>
      <c r="AL124" s="22">
        <f t="shared" si="58"/>
        <v>766.22861262952335</v>
      </c>
      <c r="AM124" s="62">
        <f t="shared" si="59"/>
        <v>1059.5619459628567</v>
      </c>
      <c r="AN124" s="62">
        <f ca="1">AVERAGE(OFFSET($AM$3,0,0,'Données projet'!$E$10+1,1))-AVERAGE(OFFSET($H$3,0,0,'Données projet'!$E$10+1,1))</f>
        <v>384.66322295929552</v>
      </c>
      <c r="AO124" s="62">
        <f t="shared" si="90"/>
        <v>248.53970183513286</v>
      </c>
      <c r="AP124" s="16">
        <f>IF(ISNA(VLOOKUP(A124,'Données projet'!$A$61:$I$81,3,0)),0,VLOOKUP(A124,'Données projet'!$A$61:$I$81,3,0))</f>
        <v>9</v>
      </c>
      <c r="AQ124" s="16">
        <f>IF(ISNA(VLOOKUP(A124,'Données projet'!$A$61:$I$81,4,0)),0,VLOOKUP(A124,'Données projet'!$A$61:$I$81,4,0))</f>
        <v>35.200000000000003</v>
      </c>
      <c r="AR124" s="17">
        <f>IF(ISNA(VLOOKUP(A124,'Données projet'!$A$61:$I$81,5,0)),0%,VLOOKUP(A124,'Données projet'!$A$61:$I$81,5,0)*VLOOKUP('Données projet'!$B$10,Paramètres!$A$1:$I$89,7,0))</f>
        <v>7.3099999999999998E-2</v>
      </c>
      <c r="AS124" s="17">
        <f>IF(ISNA(VLOOKUP(A124,'Données projet'!$A$61:$I$81,6,0)),0%,VLOOKUP(A124,'Données projet'!$A$61:$I$81,6,0)*VLOOKUP('Données projet'!$B$10,Paramètres!$A$1:$I$89,7,0))</f>
        <v>6.4500000000000002E-2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8.6598936815515017</v>
      </c>
      <c r="AV124" s="23">
        <f>EXP(-LN(2)/25)*AV123+(1-EXP(-LN(2)/25))/(LN(2)/25)*Calculateur!AQ124*Calculateur!AS124*VLOOKUP('Données projet'!$B$10,Paramètres!$A$1:$I$89,3,0)*0.475*44/12</f>
        <v>6.9397309634927868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15.599624645044289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343.79999999999995</v>
      </c>
      <c r="BE124" s="14">
        <f>BD124*VLOOKUP('Données projet'!$B$11,Paramètres!$A$1:$I$89,3,0)*VLOOKUP('Données projet'!$B$11,Paramètres!$A$1:$I$89,5,0)</f>
        <v>205.5924</v>
      </c>
      <c r="BF124" s="14">
        <f t="shared" si="91"/>
        <v>50.971228364263673</v>
      </c>
      <c r="BG124" s="22">
        <f t="shared" si="61"/>
        <v>446.84831940109251</v>
      </c>
      <c r="BH124" s="62">
        <f t="shared" si="62"/>
        <v>740.18165273442582</v>
      </c>
      <c r="BI124" s="62">
        <f ca="1">AVERAGE(OFFSET($BH$3,0,0,'Données projet'!$E$11+1,1))-AVERAGE(OFFSET($H$3,0,0,'Données projet'!$E$11+1,1))</f>
        <v>146.25807703055079</v>
      </c>
      <c r="BJ124" s="62">
        <f t="shared" si="92"/>
        <v>177.40137940534413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1.5707678131610889</v>
      </c>
      <c r="BQ124" s="23">
        <f>EXP(-LN(2)/25)*BQ123+(1-EXP(-LN(2)/25))/(LN(2)/25)*Calculateur!BL124*Calculateur!BN124*VLOOKUP('Données projet'!$B$11,Paramètres!$A$1:$I$89,3,0)*0.475*44/12</f>
        <v>0.78256816202067725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2.353335975181766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760.1400000000001</v>
      </c>
      <c r="BZ124" s="14">
        <f>BY124*VLOOKUP('Données projet'!$B$12,Paramètres!$A$1:$I$89,3,0)*VLOOKUP('Données projet'!$B$12,Paramètres!$A$1:$I$89,5,0)</f>
        <v>355.74552000000006</v>
      </c>
      <c r="CA124" s="14">
        <f t="shared" si="93"/>
        <v>82.744450026504168</v>
      </c>
      <c r="CB124" s="22">
        <f t="shared" si="64"/>
        <v>763.70336446282818</v>
      </c>
      <c r="CC124" s="62">
        <f t="shared" si="65"/>
        <v>1057.0366977961614</v>
      </c>
      <c r="CD124" s="62">
        <f ca="1">AVERAGE(OFFSET($CC$3,0,0,'Données projet'!$E$12+1,1))-AVERAGE(OFFSET($H$3,0,0,'Données projet'!$E$12+1,1))</f>
        <v>287.12723448949828</v>
      </c>
      <c r="CE124" s="62">
        <f t="shared" si="94"/>
        <v>170.5203352323382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1.9065425920650294</v>
      </c>
      <c r="CL124" s="23">
        <f>EXP(-LN(2)/25)*CL123+(1-EXP(-LN(2)/25))/(LN(2)/25)*Calculateur!CG124*Calculateur!CI124*VLOOKUP('Données projet'!$B$12,Paramètres!$A$1:$I$89,3,0)*0.475*44/12</f>
        <v>7.4005819836400404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9.3071245757050693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477.12000000000097</v>
      </c>
      <c r="CU124" s="18">
        <f>CT124*VLOOKUP('Données projet'!$B$13,Paramètres!$A$1:$I$89,3,0)*VLOOKUP('Données projet'!$B$13,Paramètres!$A$1:$I$89,5,0)</f>
        <v>461.47046400000096</v>
      </c>
      <c r="CV124" s="14">
        <f t="shared" si="95"/>
        <v>104.13329806929862</v>
      </c>
      <c r="CW124" s="22">
        <f t="shared" si="67"/>
        <v>985.09321893736342</v>
      </c>
      <c r="CX124" s="62">
        <f t="shared" si="68"/>
        <v>1278.4265522706967</v>
      </c>
      <c r="CY124" s="62">
        <f ca="1">AVERAGE(OFFSET($CX$3,0,0,'Données projet'!$E$13+1,1))-AVERAGE(OFFSET($H$3,0,0,'Données projet'!$E$13+1,1))</f>
        <v>467.37715054082025</v>
      </c>
      <c r="CZ124" s="62">
        <f t="shared" si="96"/>
        <v>443.35096563136415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1.6624667213443229</v>
      </c>
      <c r="DG124" s="23">
        <f>EXP(-LN(2)/25)*DG123+(1-EXP(-LN(2)/25))/(LN(2)/25)*Calculateur!DB124*Calculateur!DD124*VLOOKUP('Données projet'!$B$13,Paramètres!$A$1:$I$89,3,0)*0.475*44/12</f>
        <v>1.1736253474374334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2.8360920687817561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477.12000000000097</v>
      </c>
      <c r="DP124" s="18">
        <f>DO124*VLOOKUP('Données projet'!$B$14,Paramètres!$A$1:$I$89,3,0)*VLOOKUP('Données projet'!$B$14,Paramètres!$A$1:$I$89,5,0)</f>
        <v>513.57196800000099</v>
      </c>
      <c r="DQ124" s="14">
        <f t="shared" si="97"/>
        <v>114.45621584436451</v>
      </c>
      <c r="DR124" s="22">
        <f t="shared" si="70"/>
        <v>1093.8157535289363</v>
      </c>
      <c r="DS124" s="62">
        <f t="shared" si="71"/>
        <v>1387.1490868622695</v>
      </c>
      <c r="DT124" s="62">
        <f ca="1">AVERAGE(OFFSET($DS$3,0,0,'Données projet'!$E$14+1,1))-AVERAGE(OFFSET($H$3,0,0,'Données projet'!$E$14+1,1))</f>
        <v>524.51242549438939</v>
      </c>
      <c r="DU124" s="62">
        <f t="shared" si="98"/>
        <v>494.88778446576327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1.8501645769799702</v>
      </c>
      <c r="EB124" s="23">
        <f>EXP(-LN(2)/25)*EB123+(1-EXP(-LN(2)/25))/(LN(2)/25)*Calculateur!DW124*Calculateur!DY124*VLOOKUP('Données projet'!$B$14,Paramètres!$A$1:$I$89,3,0)*0.475*44/12</f>
        <v>1.3061314350513378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3.1562960120313077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496.06839463579934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2.0174999999999983</v>
      </c>
      <c r="N125" s="14">
        <f>IF('Données projet'!$A$36&gt;35,N124+M125-V124,IF(A125&lt;'Données projet'!$A$36,$K$205^A125,IF(A125='Données projet'!$A$36,'Données projet'!$B$36,N124+M125-V124)))</f>
        <v>291.24749999999995</v>
      </c>
      <c r="O125" s="14">
        <f>N125*VLOOKUP('Données projet'!$B$9,Paramètres!$A$1:$I$89,3,0)*VLOOKUP('Données projet'!$B$9,Paramètres!$A$1:$I$89,5,0)</f>
        <v>263.52073799999994</v>
      </c>
      <c r="P125" s="14">
        <f t="shared" si="87"/>
        <v>63.472268525487799</v>
      </c>
      <c r="Q125" s="22">
        <f t="shared" si="107"/>
        <v>569.51281969855779</v>
      </c>
      <c r="R125" s="62">
        <f t="shared" si="55"/>
        <v>862.84615303189116</v>
      </c>
      <c r="S125" s="62">
        <f ca="1">AVERAGE(OFFSET($R$3,0,0,'Données projet'!$E$9+1,1))-AVERAGE(OFFSET($H$3,0,0,'Données projet'!$E$9+1,1))</f>
        <v>299.17641394512162</v>
      </c>
      <c r="T125" s="62">
        <f t="shared" si="88"/>
        <v>180.73046320039873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9.332944688801053</v>
      </c>
      <c r="AA125" s="23">
        <f>EXP(-LN(2)/25)*AA124+(1-EXP(-LN(2)/25))/(LN(2)/25)*Calculateur!V125*Calculateur!X125*VLOOKUP('Données projet'!$B$9,Paramètres!$A$1:$I$89,3,0)*0.475*44/12</f>
        <v>7.3715154799556899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16.704460168756743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4.4500000000000028</v>
      </c>
      <c r="AI125" s="14">
        <f>IF('Données projet'!$A$62&gt;35,AI124+AH125-AQ124,IF(A125&lt;'Données projet'!$A$62,$AF$205^A125,IF(A125='Données projet'!$A$62,'Données projet'!$B$62,AI124+AH125-AQ124)))</f>
        <v>321.26999999999902</v>
      </c>
      <c r="AJ125" s="14">
        <f>AI125*VLOOKUP('Données projet'!$B$10,Paramètres!$A$1:$I$89,3,0)*VLOOKUP('Données projet'!$B$10,Paramètres!$A$1:$I$89,5,0)</f>
        <v>325.76777999999905</v>
      </c>
      <c r="AK125" s="14">
        <f t="shared" si="89"/>
        <v>76.552201905357364</v>
      </c>
      <c r="AL125" s="22">
        <f t="shared" si="58"/>
        <v>700.70730181849569</v>
      </c>
      <c r="AM125" s="62">
        <f t="shared" si="59"/>
        <v>994.04063515182906</v>
      </c>
      <c r="AN125" s="62">
        <f ca="1">AVERAGE(OFFSET($AM$3,0,0,'Données projet'!$E$10+1,1))-AVERAGE(OFFSET($H$3,0,0,'Données projet'!$E$10+1,1))</f>
        <v>384.66322295929552</v>
      </c>
      <c r="AO125" s="62">
        <f t="shared" si="90"/>
        <v>248.53970183513286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8.4900784484698661</v>
      </c>
      <c r="AV125" s="23">
        <f>EXP(-LN(2)/25)*AV124+(1-EXP(-LN(2)/25))/(LN(2)/25)*Calculateur!AQ125*Calculateur!AS125*VLOOKUP('Données projet'!$B$10,Paramètres!$A$1:$I$89,3,0)*0.475*44/12</f>
        <v>6.7499636553514861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15.240042103821352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343.79999999999995</v>
      </c>
      <c r="BE125" s="14">
        <f>BD125*VLOOKUP('Données projet'!$B$11,Paramètres!$A$1:$I$89,3,0)*VLOOKUP('Données projet'!$B$11,Paramètres!$A$1:$I$89,5,0)</f>
        <v>205.5924</v>
      </c>
      <c r="BF125" s="14">
        <f t="shared" si="91"/>
        <v>50.971228364263673</v>
      </c>
      <c r="BG125" s="22">
        <f t="shared" si="61"/>
        <v>446.84831940109251</v>
      </c>
      <c r="BH125" s="62">
        <f t="shared" si="62"/>
        <v>740.18165273442582</v>
      </c>
      <c r="BI125" s="62">
        <f ca="1">AVERAGE(OFFSET($BH$3,0,0,'Données projet'!$E$11+1,1))-AVERAGE(OFFSET($H$3,0,0,'Données projet'!$E$11+1,1))</f>
        <v>146.25807703055079</v>
      </c>
      <c r="BJ125" s="62">
        <f t="shared" si="92"/>
        <v>177.40137940534413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1.5399660144187641</v>
      </c>
      <c r="BQ125" s="23">
        <f>EXP(-LN(2)/25)*BQ124+(1-EXP(-LN(2)/25))/(LN(2)/25)*Calculateur!BL125*Calculateur!BN125*VLOOKUP('Données projet'!$B$11,Paramètres!$A$1:$I$89,3,0)*0.475*44/12</f>
        <v>0.76116879447675079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2.3011348088955148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760.1400000000001</v>
      </c>
      <c r="BZ125" s="14">
        <f>BY125*VLOOKUP('Données projet'!$B$12,Paramètres!$A$1:$I$89,3,0)*VLOOKUP('Données projet'!$B$12,Paramètres!$A$1:$I$89,5,0)</f>
        <v>355.74552000000006</v>
      </c>
      <c r="CA125" s="14">
        <f t="shared" si="93"/>
        <v>82.744450026504168</v>
      </c>
      <c r="CB125" s="22">
        <f t="shared" si="64"/>
        <v>763.70336446282818</v>
      </c>
      <c r="CC125" s="62">
        <f t="shared" si="65"/>
        <v>1057.0366977961614</v>
      </c>
      <c r="CD125" s="62">
        <f ca="1">AVERAGE(OFFSET($CC$3,0,0,'Données projet'!$E$12+1,1))-AVERAGE(OFFSET($H$3,0,0,'Données projet'!$E$12+1,1))</f>
        <v>287.12723448949828</v>
      </c>
      <c r="CE125" s="62">
        <f t="shared" si="94"/>
        <v>170.5203352323382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1.8691564547107908</v>
      </c>
      <c r="CL125" s="23">
        <f>EXP(-LN(2)/25)*CL124+(1-EXP(-LN(2)/25))/(LN(2)/25)*Calculateur!CG125*Calculateur!CI125*VLOOKUP('Données projet'!$B$12,Paramètres!$A$1:$I$89,3,0)*0.475*44/12</f>
        <v>7.1982126801177113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9.0673691348285015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477.12000000000097</v>
      </c>
      <c r="CU125" s="18">
        <f>CT125*VLOOKUP('Données projet'!$B$13,Paramètres!$A$1:$I$89,3,0)*VLOOKUP('Données projet'!$B$13,Paramètres!$A$1:$I$89,5,0)</f>
        <v>461.47046400000096</v>
      </c>
      <c r="CV125" s="14">
        <f t="shared" si="95"/>
        <v>104.13329806929862</v>
      </c>
      <c r="CW125" s="22">
        <f t="shared" si="67"/>
        <v>985.09321893736342</v>
      </c>
      <c r="CX125" s="62">
        <f t="shared" si="68"/>
        <v>1278.4265522706967</v>
      </c>
      <c r="CY125" s="62">
        <f ca="1">AVERAGE(OFFSET($CX$3,0,0,'Données projet'!$E$13+1,1))-AVERAGE(OFFSET($H$3,0,0,'Données projet'!$E$13+1,1))</f>
        <v>467.37715054082025</v>
      </c>
      <c r="CZ125" s="62">
        <f t="shared" si="96"/>
        <v>443.35096563136415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1.6298667629433361</v>
      </c>
      <c r="DG125" s="23">
        <f>EXP(-LN(2)/25)*DG124+(1-EXP(-LN(2)/25))/(LN(2)/25)*Calculateur!DB125*Calculateur!DD125*VLOOKUP('Données projet'!$B$13,Paramètres!$A$1:$I$89,3,0)*0.475*44/12</f>
        <v>1.1415325005934822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2.7713992635368183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477.12000000000097</v>
      </c>
      <c r="DP125" s="18">
        <f>DO125*VLOOKUP('Données projet'!$B$14,Paramètres!$A$1:$I$89,3,0)*VLOOKUP('Données projet'!$B$14,Paramètres!$A$1:$I$89,5,0)</f>
        <v>513.57196800000099</v>
      </c>
      <c r="DQ125" s="14">
        <f t="shared" si="97"/>
        <v>114.45621584436451</v>
      </c>
      <c r="DR125" s="22">
        <f t="shared" si="70"/>
        <v>1093.8157535289363</v>
      </c>
      <c r="DS125" s="62">
        <f t="shared" si="71"/>
        <v>1387.1490868622695</v>
      </c>
      <c r="DT125" s="62">
        <f ca="1">AVERAGE(OFFSET($DS$3,0,0,'Données projet'!$E$14+1,1))-AVERAGE(OFFSET($H$3,0,0,'Données projet'!$E$14+1,1))</f>
        <v>524.51242549438939</v>
      </c>
      <c r="DU125" s="62">
        <f t="shared" si="98"/>
        <v>494.88778446576327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1.8138839781143559</v>
      </c>
      <c r="EB125" s="23">
        <f>EXP(-LN(2)/25)*EB124+(1-EXP(-LN(2)/25))/(LN(2)/25)*Calculateur!DW125*Calculateur!DY125*VLOOKUP('Données projet'!$B$14,Paramètres!$A$1:$I$89,3,0)*0.475*44/12</f>
        <v>1.2704152022733919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3.084299180387748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497.98238478171629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2.0174999999999983</v>
      </c>
      <c r="N126" s="14">
        <f>IF('Données projet'!$A$36&gt;35,N125+M126-V125,IF(A126&lt;'Données projet'!$A$36,$K$205^A126,IF(A126='Données projet'!$A$36,'Données projet'!$B$36,N125+M126-V125)))</f>
        <v>293.26499999999993</v>
      </c>
      <c r="O126" s="14">
        <f>N126*VLOOKUP('Données projet'!$B$9,Paramètres!$A$1:$I$89,3,0)*VLOOKUP('Données projet'!$B$9,Paramètres!$A$1:$I$89,5,0)</f>
        <v>265.34617199999997</v>
      </c>
      <c r="P126" s="14">
        <f t="shared" si="87"/>
        <v>63.860612338559577</v>
      </c>
      <c r="Q126" s="22">
        <f t="shared" si="107"/>
        <v>573.36848272299119</v>
      </c>
      <c r="R126" s="62">
        <f t="shared" si="55"/>
        <v>866.70181605632456</v>
      </c>
      <c r="S126" s="62">
        <f ca="1">AVERAGE(OFFSET($R$3,0,0,'Données projet'!$E$9+1,1))-AVERAGE(OFFSET($H$3,0,0,'Données projet'!$E$9+1,1))</f>
        <v>299.17641394512162</v>
      </c>
      <c r="T126" s="62">
        <f t="shared" si="88"/>
        <v>180.73046320039873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9.1499313359878336</v>
      </c>
      <c r="AA126" s="23">
        <f>EXP(-LN(2)/25)*AA125+(1-EXP(-LN(2)/25))/(LN(2)/25)*Calculateur!V126*Calculateur!X126*VLOOKUP('Données projet'!$B$9,Paramètres!$A$1:$I$89,3,0)*0.475*44/12</f>
        <v>7.1699410015051503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16.319872337492985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4.4500000000000028</v>
      </c>
      <c r="AI126" s="14">
        <f>IF('Données projet'!$A$62&gt;35,AI125+AH126-AQ125,IF(A126&lt;'Données projet'!$A$62,$AF$205^A126,IF(A126='Données projet'!$A$62,'Données projet'!$B$62,AI125+AH126-AQ125)))</f>
        <v>325.719999999999</v>
      </c>
      <c r="AJ126" s="14">
        <f>AI126*VLOOKUP('Données projet'!$B$10,Paramètres!$A$1:$I$89,3,0)*VLOOKUP('Données projet'!$B$10,Paramètres!$A$1:$I$89,5,0)</f>
        <v>330.28007999999903</v>
      </c>
      <c r="AK126" s="14">
        <f t="shared" si="89"/>
        <v>77.488372034206705</v>
      </c>
      <c r="AL126" s="22">
        <f t="shared" si="58"/>
        <v>710.19672062624159</v>
      </c>
      <c r="AM126" s="62">
        <f t="shared" si="59"/>
        <v>1003.5300539595748</v>
      </c>
      <c r="AN126" s="62">
        <f ca="1">AVERAGE(OFFSET($AM$3,0,0,'Données projet'!$E$10+1,1))-AVERAGE(OFFSET($H$3,0,0,'Données projet'!$E$10+1,1))</f>
        <v>384.66322295929552</v>
      </c>
      <c r="AO126" s="62">
        <f t="shared" si="90"/>
        <v>248.53970183513286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8.3235931885318983</v>
      </c>
      <c r="AV126" s="23">
        <f>EXP(-LN(2)/25)*AV125+(1-EXP(-LN(2)/25))/(LN(2)/25)*Calculateur!AQ126*Calculateur!AS126*VLOOKUP('Données projet'!$B$10,Paramètres!$A$1:$I$89,3,0)*0.475*44/12</f>
        <v>6.5653855442307387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14.888978732762638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343.79999999999995</v>
      </c>
      <c r="BE126" s="14">
        <f>BD126*VLOOKUP('Données projet'!$B$11,Paramètres!$A$1:$I$89,3,0)*VLOOKUP('Données projet'!$B$11,Paramètres!$A$1:$I$89,5,0)</f>
        <v>205.5924</v>
      </c>
      <c r="BF126" s="14">
        <f t="shared" si="91"/>
        <v>50.971228364263673</v>
      </c>
      <c r="BG126" s="22">
        <f t="shared" si="61"/>
        <v>446.84831940109251</v>
      </c>
      <c r="BH126" s="62">
        <f t="shared" si="62"/>
        <v>740.18165273442582</v>
      </c>
      <c r="BI126" s="62">
        <f ca="1">AVERAGE(OFFSET($BH$3,0,0,'Données projet'!$E$11+1,1))-AVERAGE(OFFSET($H$3,0,0,'Données projet'!$E$11+1,1))</f>
        <v>146.25807703055079</v>
      </c>
      <c r="BJ126" s="62">
        <f t="shared" si="92"/>
        <v>177.40137940534413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1.5097682201625342</v>
      </c>
      <c r="BQ126" s="23">
        <f>EXP(-LN(2)/25)*BQ125+(1-EXP(-LN(2)/25))/(LN(2)/25)*Calculateur!BL126*Calculateur!BN126*VLOOKUP('Données projet'!$B$11,Paramètres!$A$1:$I$89,3,0)*0.475*44/12</f>
        <v>0.74035459376365687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2.2501228139261911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760.1400000000001</v>
      </c>
      <c r="BZ126" s="14">
        <f>BY126*VLOOKUP('Données projet'!$B$12,Paramètres!$A$1:$I$89,3,0)*VLOOKUP('Données projet'!$B$12,Paramètres!$A$1:$I$89,5,0)</f>
        <v>355.74552000000006</v>
      </c>
      <c r="CA126" s="14">
        <f t="shared" si="93"/>
        <v>82.744450026504168</v>
      </c>
      <c r="CB126" s="22">
        <f t="shared" si="64"/>
        <v>763.70336446282818</v>
      </c>
      <c r="CC126" s="62">
        <f t="shared" si="65"/>
        <v>1057.0366977961614</v>
      </c>
      <c r="CD126" s="62">
        <f ca="1">AVERAGE(OFFSET($CC$3,0,0,'Données projet'!$E$12+1,1))-AVERAGE(OFFSET($H$3,0,0,'Données projet'!$E$12+1,1))</f>
        <v>287.12723448949828</v>
      </c>
      <c r="CE126" s="62">
        <f t="shared" si="94"/>
        <v>170.5203352323382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1.8325034367067767</v>
      </c>
      <c r="CL126" s="23">
        <f>EXP(-LN(2)/25)*CL125+(1-EXP(-LN(2)/25))/(LN(2)/25)*Calculateur!CG126*Calculateur!CI126*VLOOKUP('Données projet'!$B$12,Paramètres!$A$1:$I$89,3,0)*0.475*44/12</f>
        <v>7.0013771758423395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8.8338806125491161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477.12000000000097</v>
      </c>
      <c r="CU126" s="18">
        <f>CT126*VLOOKUP('Données projet'!$B$13,Paramètres!$A$1:$I$89,3,0)*VLOOKUP('Données projet'!$B$13,Paramètres!$A$1:$I$89,5,0)</f>
        <v>461.47046400000096</v>
      </c>
      <c r="CV126" s="14">
        <f t="shared" si="95"/>
        <v>104.13329806929862</v>
      </c>
      <c r="CW126" s="22">
        <f t="shared" si="67"/>
        <v>985.09321893736342</v>
      </c>
      <c r="CX126" s="62">
        <f t="shared" si="68"/>
        <v>1278.4265522706967</v>
      </c>
      <c r="CY126" s="62">
        <f ca="1">AVERAGE(OFFSET($CX$3,0,0,'Données projet'!$E$13+1,1))-AVERAGE(OFFSET($H$3,0,0,'Données projet'!$E$13+1,1))</f>
        <v>467.37715054082025</v>
      </c>
      <c r="CZ126" s="62">
        <f t="shared" si="96"/>
        <v>443.35096563136415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1.5979060698425813</v>
      </c>
      <c r="DG126" s="23">
        <f>EXP(-LN(2)/25)*DG125+(1-EXP(-LN(2)/25))/(LN(2)/25)*Calculateur!DB126*Calculateur!DD126*VLOOKUP('Données projet'!$B$13,Paramètres!$A$1:$I$89,3,0)*0.475*44/12</f>
        <v>1.1103172343341683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2.7082233041767498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477.12000000000097</v>
      </c>
      <c r="DP126" s="18">
        <f>DO126*VLOOKUP('Données projet'!$B$14,Paramètres!$A$1:$I$89,3,0)*VLOOKUP('Données projet'!$B$14,Paramètres!$A$1:$I$89,5,0)</f>
        <v>513.57196800000099</v>
      </c>
      <c r="DQ126" s="14">
        <f t="shared" si="97"/>
        <v>114.45621584436451</v>
      </c>
      <c r="DR126" s="22">
        <f t="shared" si="70"/>
        <v>1093.8157535289363</v>
      </c>
      <c r="DS126" s="62">
        <f t="shared" si="71"/>
        <v>1387.1490868622695</v>
      </c>
      <c r="DT126" s="62">
        <f ca="1">AVERAGE(OFFSET($DS$3,0,0,'Données projet'!$E$14+1,1))-AVERAGE(OFFSET($H$3,0,0,'Données projet'!$E$14+1,1))</f>
        <v>524.51242549438939</v>
      </c>
      <c r="DU126" s="62">
        <f t="shared" si="98"/>
        <v>494.88778446576327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1.7783148196635161</v>
      </c>
      <c r="EB126" s="23">
        <f>EXP(-LN(2)/25)*EB125+(1-EXP(-LN(2)/25))/(LN(2)/25)*Calculateur!DW126*Calculateur!DY126*VLOOKUP('Données projet'!$B$14,Paramètres!$A$1:$I$89,3,0)*0.475*44/12</f>
        <v>1.2356756317589941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3.0139904514225102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499.89602938845536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2.0174999999999983</v>
      </c>
      <c r="N127" s="14">
        <f>IF('Données projet'!$A$36&gt;35,N126+M127-V126,IF(A127&lt;'Données projet'!$A$36,$K$205^A127,IF(A127='Données projet'!$A$36,'Données projet'!$B$36,N126+M127-V126)))</f>
        <v>295.28249999999991</v>
      </c>
      <c r="O127" s="14">
        <f>N127*VLOOKUP('Données projet'!$B$9,Paramètres!$A$1:$I$89,3,0)*VLOOKUP('Données projet'!$B$9,Paramètres!$A$1:$I$89,5,0)</f>
        <v>267.17160599999988</v>
      </c>
      <c r="P127" s="14">
        <f t="shared" si="87"/>
        <v>64.24864530051569</v>
      </c>
      <c r="Q127" s="22">
        <f t="shared" si="107"/>
        <v>577.223604348398</v>
      </c>
      <c r="R127" s="62">
        <f t="shared" si="55"/>
        <v>870.55693768173137</v>
      </c>
      <c r="S127" s="62">
        <f ca="1">AVERAGE(OFFSET($R$3,0,0,'Données projet'!$E$9+1,1))-AVERAGE(OFFSET($H$3,0,0,'Données projet'!$E$9+1,1))</f>
        <v>299.17641394512162</v>
      </c>
      <c r="T127" s="62">
        <f t="shared" si="88"/>
        <v>180.73046320039873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8.970506763396159</v>
      </c>
      <c r="AA127" s="23">
        <f>EXP(-LN(2)/25)*AA126+(1-EXP(-LN(2)/25))/(LN(2)/25)*Calculateur!V127*Calculateur!X127*VLOOKUP('Données projet'!$B$9,Paramètres!$A$1:$I$89,3,0)*0.475*44/12</f>
        <v>6.9738785877681817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15.944385351164341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4.4500000000000028</v>
      </c>
      <c r="AI127" s="14">
        <f>IF('Données projet'!$A$62&gt;35,AI126+AH127-AQ126,IF(A127&lt;'Données projet'!$A$62,$AF$205^A127,IF(A127='Données projet'!$A$62,'Données projet'!$B$62,AI126+AH127-AQ126)))</f>
        <v>330.16999999999899</v>
      </c>
      <c r="AJ127" s="14">
        <f>AI127*VLOOKUP('Données projet'!$B$10,Paramètres!$A$1:$I$89,3,0)*VLOOKUP('Données projet'!$B$10,Paramètres!$A$1:$I$89,5,0)</f>
        <v>334.79237999999901</v>
      </c>
      <c r="AK127" s="14">
        <f t="shared" si="89"/>
        <v>78.423054541866605</v>
      </c>
      <c r="AL127" s="22">
        <f t="shared" si="58"/>
        <v>719.6835484937493</v>
      </c>
      <c r="AM127" s="62">
        <f t="shared" si="59"/>
        <v>1013.0168818270827</v>
      </c>
      <c r="AN127" s="62">
        <f ca="1">AVERAGE(OFFSET($AM$3,0,0,'Données projet'!$E$10+1,1))-AVERAGE(OFFSET($H$3,0,0,'Données projet'!$E$10+1,1))</f>
        <v>384.66322295929552</v>
      </c>
      <c r="AO127" s="62">
        <f t="shared" si="90"/>
        <v>248.53970183513286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8.1603726029953307</v>
      </c>
      <c r="AV127" s="23">
        <f>EXP(-LN(2)/25)*AV126+(1-EXP(-LN(2)/25))/(LN(2)/25)*Calculateur!AQ127*Calculateur!AS127*VLOOKUP('Données projet'!$B$10,Paramètres!$A$1:$I$89,3,0)*0.475*44/12</f>
        <v>6.3858547312651286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14.546227334260459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343.79999999999995</v>
      </c>
      <c r="BE127" s="14">
        <f>BD127*VLOOKUP('Données projet'!$B$11,Paramètres!$A$1:$I$89,3,0)*VLOOKUP('Données projet'!$B$11,Paramètres!$A$1:$I$89,5,0)</f>
        <v>205.5924</v>
      </c>
      <c r="BF127" s="14">
        <f t="shared" si="91"/>
        <v>50.971228364263673</v>
      </c>
      <c r="BG127" s="22">
        <f t="shared" si="61"/>
        <v>446.84831940109251</v>
      </c>
      <c r="BH127" s="62">
        <f t="shared" si="62"/>
        <v>740.18165273442582</v>
      </c>
      <c r="BI127" s="62">
        <f ca="1">AVERAGE(OFFSET($BH$3,0,0,'Données projet'!$E$11+1,1))-AVERAGE(OFFSET($H$3,0,0,'Données projet'!$E$11+1,1))</f>
        <v>146.25807703055079</v>
      </c>
      <c r="BJ127" s="62">
        <f t="shared" si="92"/>
        <v>177.40137940534413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1.4801625862328331</v>
      </c>
      <c r="BQ127" s="23">
        <f>EXP(-LN(2)/25)*BQ126+(1-EXP(-LN(2)/25))/(LN(2)/25)*Calculateur!BL127*Calculateur!BN127*VLOOKUP('Données projet'!$B$11,Paramètres!$A$1:$I$89,3,0)*0.475*44/12</f>
        <v>0.72010955846363367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2.2002721446964668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760.1400000000001</v>
      </c>
      <c r="BZ127" s="14">
        <f>BY127*VLOOKUP('Données projet'!$B$12,Paramètres!$A$1:$I$89,3,0)*VLOOKUP('Données projet'!$B$12,Paramètres!$A$1:$I$89,5,0)</f>
        <v>355.74552000000006</v>
      </c>
      <c r="CA127" s="14">
        <f t="shared" si="93"/>
        <v>82.744450026504168</v>
      </c>
      <c r="CB127" s="22">
        <f t="shared" si="64"/>
        <v>763.70336446282818</v>
      </c>
      <c r="CC127" s="62">
        <f t="shared" si="65"/>
        <v>1057.0366977961614</v>
      </c>
      <c r="CD127" s="62">
        <f ca="1">AVERAGE(OFFSET($CC$3,0,0,'Données projet'!$E$12+1,1))-AVERAGE(OFFSET($H$3,0,0,'Données projet'!$E$12+1,1))</f>
        <v>287.12723448949828</v>
      </c>
      <c r="CE127" s="62">
        <f t="shared" si="94"/>
        <v>170.5203352323382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1.796569162029688</v>
      </c>
      <c r="CL127" s="23">
        <f>EXP(-LN(2)/25)*CL126+(1-EXP(-LN(2)/25))/(LN(2)/25)*Calculateur!CG127*Calculateur!CI127*VLOOKUP('Données projet'!$B$12,Paramètres!$A$1:$I$89,3,0)*0.475*44/12</f>
        <v>6.8099241487825068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8.6064933108121942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477.12000000000097</v>
      </c>
      <c r="CU127" s="18">
        <f>CT127*VLOOKUP('Données projet'!$B$13,Paramètres!$A$1:$I$89,3,0)*VLOOKUP('Données projet'!$B$13,Paramètres!$A$1:$I$89,5,0)</f>
        <v>461.47046400000096</v>
      </c>
      <c r="CV127" s="14">
        <f t="shared" si="95"/>
        <v>104.13329806929862</v>
      </c>
      <c r="CW127" s="22">
        <f t="shared" si="67"/>
        <v>985.09321893736342</v>
      </c>
      <c r="CX127" s="62">
        <f t="shared" si="68"/>
        <v>1278.4265522706967</v>
      </c>
      <c r="CY127" s="62">
        <f ca="1">AVERAGE(OFFSET($CX$3,0,0,'Données projet'!$E$13+1,1))-AVERAGE(OFFSET($H$3,0,0,'Données projet'!$E$13+1,1))</f>
        <v>467.37715054082025</v>
      </c>
      <c r="CZ127" s="62">
        <f t="shared" si="96"/>
        <v>443.35096563136415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1.5665721064394345</v>
      </c>
      <c r="DG127" s="23">
        <f>EXP(-LN(2)/25)*DG126+(1-EXP(-LN(2)/25))/(LN(2)/25)*Calculateur!DB127*Calculateur!DD127*VLOOKUP('Données projet'!$B$13,Paramètres!$A$1:$I$89,3,0)*0.475*44/12</f>
        <v>1.0799555511722547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2.6465276576116894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477.12000000000097</v>
      </c>
      <c r="DP127" s="18">
        <f>DO127*VLOOKUP('Données projet'!$B$14,Paramètres!$A$1:$I$89,3,0)*VLOOKUP('Données projet'!$B$14,Paramètres!$A$1:$I$89,5,0)</f>
        <v>513.57196800000099</v>
      </c>
      <c r="DQ127" s="14">
        <f t="shared" si="97"/>
        <v>114.45621584436451</v>
      </c>
      <c r="DR127" s="22">
        <f t="shared" si="70"/>
        <v>1093.8157535289363</v>
      </c>
      <c r="DS127" s="62">
        <f t="shared" si="71"/>
        <v>1387.1490868622695</v>
      </c>
      <c r="DT127" s="62">
        <f ca="1">AVERAGE(OFFSET($DS$3,0,0,'Données projet'!$E$14+1,1))-AVERAGE(OFFSET($H$3,0,0,'Données projet'!$E$14+1,1))</f>
        <v>524.51242549438939</v>
      </c>
      <c r="DU127" s="62">
        <f t="shared" si="98"/>
        <v>494.88778446576327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1.7434431507148529</v>
      </c>
      <c r="EB127" s="23">
        <f>EXP(-LN(2)/25)*EB126+(1-EXP(-LN(2)/25))/(LN(2)/25)*Calculateur!DW127*Calculateur!DY127*VLOOKUP('Données projet'!$B$14,Paramètres!$A$1:$I$89,3,0)*0.475*44/12</f>
        <v>1.2018860166271872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2.9453291673420399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501.80933156559138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2.0174999999999983</v>
      </c>
      <c r="N128" s="14">
        <f>IF('Données projet'!$A$36&gt;35,N127+M128-V127,IF(A128&lt;'Données projet'!$A$36,$K$205^A128,IF(A128='Données projet'!$A$36,'Données projet'!$B$36,N127+M128-V127)))</f>
        <v>297.2999999999999</v>
      </c>
      <c r="O128" s="14">
        <f>N128*VLOOKUP('Données projet'!$B$9,Paramètres!$A$1:$I$89,3,0)*VLOOKUP('Données projet'!$B$9,Paramètres!$A$1:$I$89,5,0)</f>
        <v>268.99703999999991</v>
      </c>
      <c r="P128" s="14">
        <f t="shared" si="87"/>
        <v>64.636369781540935</v>
      </c>
      <c r="Q128" s="22">
        <f t="shared" si="107"/>
        <v>581.0781887028503</v>
      </c>
      <c r="R128" s="62">
        <f t="shared" si="55"/>
        <v>874.41152203618367</v>
      </c>
      <c r="S128" s="62">
        <f ca="1">AVERAGE(OFFSET($R$3,0,0,'Données projet'!$E$9+1,1))-AVERAGE(OFFSET($H$3,0,0,'Données projet'!$E$9+1,1))</f>
        <v>299.17641394512162</v>
      </c>
      <c r="T128" s="62">
        <f t="shared" si="88"/>
        <v>180.73046320039873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8.7946005972348242</v>
      </c>
      <c r="AA128" s="23">
        <f>EXP(-LN(2)/25)*AA127+(1-EXP(-LN(2)/25))/(LN(2)/25)*Calculateur!V128*Calculateur!X128*VLOOKUP('Données projet'!$B$9,Paramètres!$A$1:$I$89,3,0)*0.475*44/12</f>
        <v>6.7831775110453245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15.57777810828015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4.4500000000000028</v>
      </c>
      <c r="AI128" s="14">
        <f>IF('Données projet'!$A$62&gt;35,AI127+AH128-AQ127,IF(A128&lt;'Données projet'!$A$62,$AF$205^A128,IF(A128='Données projet'!$A$62,'Données projet'!$B$62,AI127+AH128-AQ127)))</f>
        <v>334.61999999999898</v>
      </c>
      <c r="AJ128" s="14">
        <f>AI128*VLOOKUP('Données projet'!$B$10,Paramètres!$A$1:$I$89,3,0)*VLOOKUP('Données projet'!$B$10,Paramètres!$A$1:$I$89,5,0)</f>
        <v>339.304679999999</v>
      </c>
      <c r="AK128" s="14">
        <f t="shared" si="89"/>
        <v>79.356271795990196</v>
      </c>
      <c r="AL128" s="22">
        <f t="shared" si="58"/>
        <v>729.16782437801464</v>
      </c>
      <c r="AM128" s="62">
        <f t="shared" si="59"/>
        <v>1022.501157711348</v>
      </c>
      <c r="AN128" s="62">
        <f ca="1">AVERAGE(OFFSET($AM$3,0,0,'Données projet'!$E$10+1,1))-AVERAGE(OFFSET($H$3,0,0,'Données projet'!$E$10+1,1))</f>
        <v>384.66322295929552</v>
      </c>
      <c r="AO128" s="62">
        <f t="shared" si="90"/>
        <v>248.53970183513286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8.0003526735864092</v>
      </c>
      <c r="AV128" s="23">
        <f>EXP(-LN(2)/25)*AV127+(1-EXP(-LN(2)/25))/(LN(2)/25)*Calculateur!AQ128*Calculateur!AS128*VLOOKUP('Données projet'!$B$10,Paramètres!$A$1:$I$89,3,0)*0.475*44/12</f>
        <v>6.2112331978211781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14.211585871407587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343.79999999999995</v>
      </c>
      <c r="BE128" s="14">
        <f>BD128*VLOOKUP('Données projet'!$B$11,Paramètres!$A$1:$I$89,3,0)*VLOOKUP('Données projet'!$B$11,Paramètres!$A$1:$I$89,5,0)</f>
        <v>205.5924</v>
      </c>
      <c r="BF128" s="14">
        <f t="shared" si="91"/>
        <v>50.971228364263673</v>
      </c>
      <c r="BG128" s="22">
        <f t="shared" si="61"/>
        <v>446.84831940109251</v>
      </c>
      <c r="BH128" s="62">
        <f t="shared" si="62"/>
        <v>740.18165273442582</v>
      </c>
      <c r="BI128" s="62">
        <f ca="1">AVERAGE(OFFSET($BH$3,0,0,'Données projet'!$E$11+1,1))-AVERAGE(OFFSET($H$3,0,0,'Données projet'!$E$11+1,1))</f>
        <v>146.25807703055079</v>
      </c>
      <c r="BJ128" s="62">
        <f t="shared" si="92"/>
        <v>177.40137940534413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1.4511375007268399</v>
      </c>
      <c r="BQ128" s="23">
        <f>EXP(-LN(2)/25)*BQ127+(1-EXP(-LN(2)/25))/(LN(2)/25)*Calculateur!BL128*Calculateur!BN128*VLOOKUP('Données projet'!$B$11,Paramètres!$A$1:$I$89,3,0)*0.475*44/12</f>
        <v>0.70041812471852971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2.1515556254453694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760.1400000000001</v>
      </c>
      <c r="BZ128" s="14">
        <f>BY128*VLOOKUP('Données projet'!$B$12,Paramètres!$A$1:$I$89,3,0)*VLOOKUP('Données projet'!$B$12,Paramètres!$A$1:$I$89,5,0)</f>
        <v>355.74552000000006</v>
      </c>
      <c r="CA128" s="14">
        <f t="shared" si="93"/>
        <v>82.744450026504168</v>
      </c>
      <c r="CB128" s="22">
        <f t="shared" si="64"/>
        <v>763.70336446282818</v>
      </c>
      <c r="CC128" s="62">
        <f t="shared" si="65"/>
        <v>1057.0366977961614</v>
      </c>
      <c r="CD128" s="62">
        <f ca="1">AVERAGE(OFFSET($CC$3,0,0,'Données projet'!$E$12+1,1))-AVERAGE(OFFSET($H$3,0,0,'Données projet'!$E$12+1,1))</f>
        <v>287.12723448949828</v>
      </c>
      <c r="CE128" s="62">
        <f t="shared" si="94"/>
        <v>170.5203352323382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1.7613395365612734</v>
      </c>
      <c r="CL128" s="23">
        <f>EXP(-LN(2)/25)*CL127+(1-EXP(-LN(2)/25))/(LN(2)/25)*Calculateur!CG128*Calculateur!CI128*VLOOKUP('Données projet'!$B$12,Paramètres!$A$1:$I$89,3,0)*0.475*44/12</f>
        <v>6.6237064148157021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8.3850459513769753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477.12000000000097</v>
      </c>
      <c r="CU128" s="18">
        <f>CT128*VLOOKUP('Données projet'!$B$13,Paramètres!$A$1:$I$89,3,0)*VLOOKUP('Données projet'!$B$13,Paramètres!$A$1:$I$89,5,0)</f>
        <v>461.47046400000096</v>
      </c>
      <c r="CV128" s="14">
        <f t="shared" si="95"/>
        <v>104.13329806929862</v>
      </c>
      <c r="CW128" s="22">
        <f t="shared" si="67"/>
        <v>985.09321893736342</v>
      </c>
      <c r="CX128" s="62">
        <f t="shared" si="68"/>
        <v>1278.4265522706967</v>
      </c>
      <c r="CY128" s="62">
        <f ca="1">AVERAGE(OFFSET($CX$3,0,0,'Données projet'!$E$13+1,1))-AVERAGE(OFFSET($H$3,0,0,'Données projet'!$E$13+1,1))</f>
        <v>467.37715054082025</v>
      </c>
      <c r="CZ128" s="62">
        <f t="shared" si="96"/>
        <v>443.35096563136415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1.5358525829467928</v>
      </c>
      <c r="DG128" s="23">
        <f>EXP(-LN(2)/25)*DG127+(1-EXP(-LN(2)/25))/(LN(2)/25)*Calculateur!DB128*Calculateur!DD128*VLOOKUP('Données projet'!$B$13,Paramètres!$A$1:$I$89,3,0)*0.475*44/12</f>
        <v>1.0504241098330553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2.5862766927798484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477.12000000000097</v>
      </c>
      <c r="DP128" s="18">
        <f>DO128*VLOOKUP('Données projet'!$B$14,Paramètres!$A$1:$I$89,3,0)*VLOOKUP('Données projet'!$B$14,Paramètres!$A$1:$I$89,5,0)</f>
        <v>513.57196800000099</v>
      </c>
      <c r="DQ128" s="14">
        <f t="shared" si="97"/>
        <v>114.45621584436451</v>
      </c>
      <c r="DR128" s="22">
        <f t="shared" si="70"/>
        <v>1093.8157535289363</v>
      </c>
      <c r="DS128" s="62">
        <f t="shared" si="71"/>
        <v>1387.1490868622695</v>
      </c>
      <c r="DT128" s="62">
        <f ca="1">AVERAGE(OFFSET($DS$3,0,0,'Données projet'!$E$14+1,1))-AVERAGE(OFFSET($H$3,0,0,'Données projet'!$E$14+1,1))</f>
        <v>524.51242549438939</v>
      </c>
      <c r="DU128" s="62">
        <f t="shared" si="98"/>
        <v>494.88778446576327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1.709255293924655</v>
      </c>
      <c r="EB128" s="23">
        <f>EXP(-LN(2)/25)*EB127+(1-EXP(-LN(2)/25))/(LN(2)/25)*Calculateur!DW128*Calculateur!DY128*VLOOKUP('Données projet'!$B$14,Paramètres!$A$1:$I$89,3,0)*0.475*44/12</f>
        <v>1.1690203802980781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2.8782756742227331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503.72229437007394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2.0174999999999983</v>
      </c>
      <c r="N129" s="14">
        <f>IF('Données projet'!$A$36&gt;35,N128+M129-V128,IF(A129&lt;'Données projet'!$A$36,$K$205^A129,IF(A129='Données projet'!$A$36,'Données projet'!$B$36,N128+M129-V128)))</f>
        <v>299.31749999999988</v>
      </c>
      <c r="O129" s="14">
        <f>N129*VLOOKUP('Données projet'!$B$9,Paramètres!$A$1:$I$89,3,0)*VLOOKUP('Données projet'!$B$9,Paramètres!$A$1:$I$89,5,0)</f>
        <v>270.82247399999989</v>
      </c>
      <c r="P129" s="14">
        <f t="shared" si="87"/>
        <v>65.023788117791938</v>
      </c>
      <c r="Q129" s="22">
        <f t="shared" si="107"/>
        <v>584.93223985515408</v>
      </c>
      <c r="R129" s="62">
        <f t="shared" si="55"/>
        <v>878.26557318848745</v>
      </c>
      <c r="S129" s="62">
        <f ca="1">AVERAGE(OFFSET($R$3,0,0,'Données projet'!$E$9+1,1))-AVERAGE(OFFSET($H$3,0,0,'Données projet'!$E$9+1,1))</f>
        <v>299.17641394512162</v>
      </c>
      <c r="T129" s="62">
        <f t="shared" si="88"/>
        <v>180.73046320039873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8.622143843699746</v>
      </c>
      <c r="AA129" s="23">
        <f>EXP(-LN(2)/25)*AA128+(1-EXP(-LN(2)/25))/(LN(2)/25)*Calculateur!V129*Calculateur!X129*VLOOKUP('Données projet'!$B$9,Paramètres!$A$1:$I$89,3,0)*0.475*44/12</f>
        <v>6.5976911652939876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15.219835008993734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4.4500000000000028</v>
      </c>
      <c r="AI129" s="14">
        <f>IF('Données projet'!$A$62&gt;35,AI128+AH129-AQ128,IF(A129&lt;'Données projet'!$A$62,$AF$205^A129,IF(A129='Données projet'!$A$62,'Données projet'!$B$62,AI128+AH129-AQ128)))</f>
        <v>339.06999999999897</v>
      </c>
      <c r="AJ129" s="14">
        <f>AI129*VLOOKUP('Données projet'!$B$10,Paramètres!$A$1:$I$89,3,0)*VLOOKUP('Données projet'!$B$10,Paramètres!$A$1:$I$89,5,0)</f>
        <v>343.81697999999898</v>
      </c>
      <c r="AK129" s="14">
        <f t="shared" si="89"/>
        <v>80.288045535118371</v>
      </c>
      <c r="AL129" s="22">
        <f t="shared" si="58"/>
        <v>738.64958614032946</v>
      </c>
      <c r="AM129" s="62">
        <f t="shared" si="59"/>
        <v>1031.9829194736628</v>
      </c>
      <c r="AN129" s="62">
        <f ca="1">AVERAGE(OFFSET($AM$3,0,0,'Données projet'!$E$10+1,1))-AVERAGE(OFFSET($H$3,0,0,'Données projet'!$E$10+1,1))</f>
        <v>384.66322295929552</v>
      </c>
      <c r="AO129" s="62">
        <f t="shared" si="90"/>
        <v>248.53970183513286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7.8434706373906771</v>
      </c>
      <c r="AV129" s="23">
        <f>EXP(-LN(2)/25)*AV128+(1-EXP(-LN(2)/25))/(LN(2)/25)*Calculateur!AQ129*Calculateur!AS129*VLOOKUP('Données projet'!$B$10,Paramètres!$A$1:$I$89,3,0)*0.475*44/12</f>
        <v>6.0413866993922003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13.884857336782877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343.79999999999995</v>
      </c>
      <c r="BE129" s="14">
        <f>BD129*VLOOKUP('Données projet'!$B$11,Paramètres!$A$1:$I$89,3,0)*VLOOKUP('Données projet'!$B$11,Paramètres!$A$1:$I$89,5,0)</f>
        <v>205.5924</v>
      </c>
      <c r="BF129" s="14">
        <f t="shared" si="91"/>
        <v>50.971228364263673</v>
      </c>
      <c r="BG129" s="22">
        <f t="shared" si="61"/>
        <v>446.84831940109251</v>
      </c>
      <c r="BH129" s="62">
        <f t="shared" si="62"/>
        <v>740.18165273442582</v>
      </c>
      <c r="BI129" s="62">
        <f ca="1">AVERAGE(OFFSET($BH$3,0,0,'Données projet'!$E$11+1,1))-AVERAGE(OFFSET($H$3,0,0,'Données projet'!$E$11+1,1))</f>
        <v>146.25807703055079</v>
      </c>
      <c r="BJ129" s="62">
        <f t="shared" si="92"/>
        <v>177.40137940534413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1.422681579444065</v>
      </c>
      <c r="BQ129" s="23">
        <f>EXP(-LN(2)/25)*BQ128+(1-EXP(-LN(2)/25))/(LN(2)/25)*Calculateur!BL129*Calculateur!BN129*VLOOKUP('Données projet'!$B$11,Paramètres!$A$1:$I$89,3,0)*0.475*44/12</f>
        <v>0.68126515426471312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2.1039467337087783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760.1400000000001</v>
      </c>
      <c r="BZ129" s="14">
        <f>BY129*VLOOKUP('Données projet'!$B$12,Paramètres!$A$1:$I$89,3,0)*VLOOKUP('Données projet'!$B$12,Paramètres!$A$1:$I$89,5,0)</f>
        <v>355.74552000000006</v>
      </c>
      <c r="CA129" s="14">
        <f t="shared" si="93"/>
        <v>82.744450026504168</v>
      </c>
      <c r="CB129" s="22">
        <f t="shared" si="64"/>
        <v>763.70336446282818</v>
      </c>
      <c r="CC129" s="62">
        <f t="shared" si="65"/>
        <v>1057.0366977961614</v>
      </c>
      <c r="CD129" s="62">
        <f ca="1">AVERAGE(OFFSET($CC$3,0,0,'Données projet'!$E$12+1,1))-AVERAGE(OFFSET($H$3,0,0,'Données projet'!$E$12+1,1))</f>
        <v>287.12723448949828</v>
      </c>
      <c r="CE129" s="62">
        <f t="shared" si="94"/>
        <v>170.5203352323382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1.7268007425603447</v>
      </c>
      <c r="CL129" s="23">
        <f>EXP(-LN(2)/25)*CL128+(1-EXP(-LN(2)/25))/(LN(2)/25)*Calculateur!CG129*Calculateur!CI129*VLOOKUP('Données projet'!$B$12,Paramètres!$A$1:$I$89,3,0)*0.475*44/12</f>
        <v>6.4425808145769849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8.1693815571373296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477.12000000000097</v>
      </c>
      <c r="CU129" s="18">
        <f>CT129*VLOOKUP('Données projet'!$B$13,Paramètres!$A$1:$I$89,3,0)*VLOOKUP('Données projet'!$B$13,Paramètres!$A$1:$I$89,5,0)</f>
        <v>461.47046400000096</v>
      </c>
      <c r="CV129" s="14">
        <f t="shared" si="95"/>
        <v>104.13329806929862</v>
      </c>
      <c r="CW129" s="22">
        <f t="shared" si="67"/>
        <v>985.09321893736342</v>
      </c>
      <c r="CX129" s="62">
        <f t="shared" si="68"/>
        <v>1278.4265522706967</v>
      </c>
      <c r="CY129" s="62">
        <f ca="1">AVERAGE(OFFSET($CX$3,0,0,'Données projet'!$E$13+1,1))-AVERAGE(OFFSET($H$3,0,0,'Données projet'!$E$13+1,1))</f>
        <v>467.37715054082025</v>
      </c>
      <c r="CZ129" s="62">
        <f t="shared" si="96"/>
        <v>443.35096563136415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1.5057354505727827</v>
      </c>
      <c r="DG129" s="23">
        <f>EXP(-LN(2)/25)*DG128+(1-EXP(-LN(2)/25))/(LN(2)/25)*Calculateur!DB129*Calculateur!DD129*VLOOKUP('Données projet'!$B$13,Paramètres!$A$1:$I$89,3,0)*0.475*44/12</f>
        <v>1.0217002073102672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2.5274356578830499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477.12000000000097</v>
      </c>
      <c r="DP129" s="18">
        <f>DO129*VLOOKUP('Données projet'!$B$14,Paramètres!$A$1:$I$89,3,0)*VLOOKUP('Données projet'!$B$14,Paramètres!$A$1:$I$89,5,0)</f>
        <v>513.57196800000099</v>
      </c>
      <c r="DQ129" s="14">
        <f t="shared" si="97"/>
        <v>114.45621584436451</v>
      </c>
      <c r="DR129" s="22">
        <f t="shared" si="70"/>
        <v>1093.8157535289363</v>
      </c>
      <c r="DS129" s="62">
        <f t="shared" si="71"/>
        <v>1387.1490868622695</v>
      </c>
      <c r="DT129" s="62">
        <f ca="1">AVERAGE(OFFSET($DS$3,0,0,'Données projet'!$E$14+1,1))-AVERAGE(OFFSET($H$3,0,0,'Données projet'!$E$14+1,1))</f>
        <v>524.51242549438939</v>
      </c>
      <c r="DU129" s="62">
        <f t="shared" si="98"/>
        <v>494.88778446576327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1.6757378401535792</v>
      </c>
      <c r="EB129" s="23">
        <f>EXP(-LN(2)/25)*EB128+(1-EXP(-LN(2)/25))/(LN(2)/25)*Calculateur!DW129*Calculateur!DY129*VLOOKUP('Données projet'!$B$14,Paramètres!$A$1:$I$89,3,0)*0.475*44/12</f>
        <v>1.1370534565227173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2.8127912966762967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505.63492080752712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2.0174999999999983</v>
      </c>
      <c r="N130" s="14">
        <f>IF('Données projet'!$A$36&gt;35,N129+M130-V129,IF(A130&lt;'Données projet'!$A$36,$K$205^A130,IF(A130='Données projet'!$A$36,'Données projet'!$B$36,N129+M130-V129)))</f>
        <v>301.33499999999987</v>
      </c>
      <c r="O130" s="14">
        <f>N130*VLOOKUP('Données projet'!$B$9,Paramètres!$A$1:$I$89,3,0)*VLOOKUP('Données projet'!$B$9,Paramètres!$A$1:$I$89,5,0)</f>
        <v>272.64790799999986</v>
      </c>
      <c r="P130" s="14">
        <f t="shared" si="87"/>
        <v>65.410902612111656</v>
      </c>
      <c r="Q130" s="22">
        <f t="shared" si="107"/>
        <v>588.78576181609424</v>
      </c>
      <c r="R130" s="62">
        <f t="shared" si="55"/>
        <v>882.11909514942749</v>
      </c>
      <c r="S130" s="62">
        <f ca="1">AVERAGE(OFFSET($R$3,0,0,'Données projet'!$E$9+1,1))-AVERAGE(OFFSET($H$3,0,0,'Données projet'!$E$9+1,1))</f>
        <v>299.17641394512162</v>
      </c>
      <c r="T130" s="62">
        <f t="shared" si="88"/>
        <v>180.73046320039873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8.4530688619132572</v>
      </c>
      <c r="AA130" s="23">
        <f>EXP(-LN(2)/25)*AA129+(1-EXP(-LN(2)/25))/(LN(2)/25)*Calculateur!V130*Calculateur!X130*VLOOKUP('Données projet'!$B$9,Paramètres!$A$1:$I$89,3,0)*0.475*44/12</f>
        <v>6.4172769534215242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14.870345815334781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4.4500000000000028</v>
      </c>
      <c r="AI130" s="14">
        <f>IF('Données projet'!$A$62&gt;35,AI129+AH130-AQ129,IF(A130&lt;'Données projet'!$A$62,$AF$205^A130,IF(A130='Données projet'!$A$62,'Données projet'!$B$62,AI129+AH130-AQ129)))</f>
        <v>343.51999999999896</v>
      </c>
      <c r="AJ130" s="14">
        <f>AI130*VLOOKUP('Données projet'!$B$10,Paramètres!$A$1:$I$89,3,0)*VLOOKUP('Données projet'!$B$10,Paramètres!$A$1:$I$89,5,0)</f>
        <v>348.32927999999896</v>
      </c>
      <c r="AK130" s="14">
        <f t="shared" si="89"/>
        <v>81.218396894393152</v>
      </c>
      <c r="AL130" s="22">
        <f t="shared" si="58"/>
        <v>748.12887059106617</v>
      </c>
      <c r="AM130" s="62">
        <f t="shared" si="59"/>
        <v>1041.4622039243995</v>
      </c>
      <c r="AN130" s="62">
        <f ca="1">AVERAGE(OFFSET($AM$3,0,0,'Données projet'!$E$10+1,1))-AVERAGE(OFFSET($H$3,0,0,'Données projet'!$E$10+1,1))</f>
        <v>384.66322295929552</v>
      </c>
      <c r="AO130" s="62">
        <f t="shared" si="90"/>
        <v>248.53970183513286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7.6896649622361499</v>
      </c>
      <c r="AV130" s="23">
        <f>EXP(-LN(2)/25)*AV129+(1-EXP(-LN(2)/25))/(LN(2)/25)*Calculateur!AQ130*Calculateur!AS130*VLOOKUP('Données projet'!$B$10,Paramètres!$A$1:$I$89,3,0)*0.475*44/12</f>
        <v>5.8761846623946017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13.565849624630751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343.79999999999995</v>
      </c>
      <c r="BE130" s="14">
        <f>BD130*VLOOKUP('Données projet'!$B$11,Paramètres!$A$1:$I$89,3,0)*VLOOKUP('Données projet'!$B$11,Paramètres!$A$1:$I$89,5,0)</f>
        <v>205.5924</v>
      </c>
      <c r="BF130" s="14">
        <f t="shared" si="91"/>
        <v>50.971228364263673</v>
      </c>
      <c r="BG130" s="22">
        <f t="shared" si="61"/>
        <v>446.84831940109251</v>
      </c>
      <c r="BH130" s="62">
        <f t="shared" si="62"/>
        <v>740.18165273442582</v>
      </c>
      <c r="BI130" s="62">
        <f ca="1">AVERAGE(OFFSET($BH$3,0,0,'Données projet'!$E$11+1,1))-AVERAGE(OFFSET($H$3,0,0,'Données projet'!$E$11+1,1))</f>
        <v>146.25807703055079</v>
      </c>
      <c r="BJ130" s="62">
        <f t="shared" si="92"/>
        <v>177.40137940534413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1.3947836614212472</v>
      </c>
      <c r="BQ130" s="23">
        <f>EXP(-LN(2)/25)*BQ129+(1-EXP(-LN(2)/25))/(LN(2)/25)*Calculateur!BL130*Calculateur!BN130*VLOOKUP('Données projet'!$B$11,Paramètres!$A$1:$I$89,3,0)*0.475*44/12</f>
        <v>0.66263592279516714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2.0574195842164142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760.1400000000001</v>
      </c>
      <c r="BZ130" s="14">
        <f>BY130*VLOOKUP('Données projet'!$B$12,Paramètres!$A$1:$I$89,3,0)*VLOOKUP('Données projet'!$B$12,Paramètres!$A$1:$I$89,5,0)</f>
        <v>355.74552000000006</v>
      </c>
      <c r="CA130" s="14">
        <f t="shared" si="93"/>
        <v>82.744450026504168</v>
      </c>
      <c r="CB130" s="22">
        <f t="shared" si="64"/>
        <v>763.70336446282818</v>
      </c>
      <c r="CC130" s="62">
        <f t="shared" si="65"/>
        <v>1057.0366977961614</v>
      </c>
      <c r="CD130" s="62">
        <f ca="1">AVERAGE(OFFSET($CC$3,0,0,'Données projet'!$E$12+1,1))-AVERAGE(OFFSET($H$3,0,0,'Données projet'!$E$12+1,1))</f>
        <v>287.12723448949828</v>
      </c>
      <c r="CE130" s="62">
        <f t="shared" si="94"/>
        <v>170.5203352323382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1.6929392332431901</v>
      </c>
      <c r="CL130" s="23">
        <f>EXP(-LN(2)/25)*CL129+(1-EXP(-LN(2)/25))/(LN(2)/25)*Calculateur!CG130*Calculateur!CI130*VLOOKUP('Données projet'!$B$12,Paramètres!$A$1:$I$89,3,0)*0.475*44/12</f>
        <v>6.2664081034017771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7.9593473366449672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477.12000000000097</v>
      </c>
      <c r="CU130" s="18">
        <f>CT130*VLOOKUP('Données projet'!$B$13,Paramètres!$A$1:$I$89,3,0)*VLOOKUP('Données projet'!$B$13,Paramètres!$A$1:$I$89,5,0)</f>
        <v>461.47046400000096</v>
      </c>
      <c r="CV130" s="14">
        <f t="shared" si="95"/>
        <v>104.13329806929862</v>
      </c>
      <c r="CW130" s="22">
        <f t="shared" si="67"/>
        <v>985.09321893736342</v>
      </c>
      <c r="CX130" s="62">
        <f t="shared" si="68"/>
        <v>1278.4265522706967</v>
      </c>
      <c r="CY130" s="62">
        <f ca="1">AVERAGE(OFFSET($CX$3,0,0,'Données projet'!$E$13+1,1))-AVERAGE(OFFSET($H$3,0,0,'Données projet'!$E$13+1,1))</f>
        <v>467.37715054082025</v>
      </c>
      <c r="CZ130" s="62">
        <f t="shared" si="96"/>
        <v>443.35096563136415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1.47620889679499</v>
      </c>
      <c r="DG130" s="23">
        <f>EXP(-LN(2)/25)*DG129+(1-EXP(-LN(2)/25))/(LN(2)/25)*Calculateur!DB130*Calculateur!DD130*VLOOKUP('Données projet'!$B$13,Paramètres!$A$1:$I$89,3,0)*0.475*44/12</f>
        <v>0.99376176141248918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2.4699706582074792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477.12000000000097</v>
      </c>
      <c r="DP130" s="18">
        <f>DO130*VLOOKUP('Données projet'!$B$14,Paramètres!$A$1:$I$89,3,0)*VLOOKUP('Données projet'!$B$14,Paramètres!$A$1:$I$89,5,0)</f>
        <v>513.57196800000099</v>
      </c>
      <c r="DQ130" s="14">
        <f t="shared" si="97"/>
        <v>114.45621584436451</v>
      </c>
      <c r="DR130" s="22">
        <f t="shared" si="70"/>
        <v>1093.8157535289363</v>
      </c>
      <c r="DS130" s="62">
        <f t="shared" si="71"/>
        <v>1387.1490868622695</v>
      </c>
      <c r="DT130" s="62">
        <f ca="1">AVERAGE(OFFSET($DS$3,0,0,'Données projet'!$E$14+1,1))-AVERAGE(OFFSET($H$3,0,0,'Données projet'!$E$14+1,1))</f>
        <v>524.51242549438939</v>
      </c>
      <c r="DU130" s="62">
        <f t="shared" si="98"/>
        <v>494.88778446576327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1.642877643207326</v>
      </c>
      <c r="EB130" s="23">
        <f>EXP(-LN(2)/25)*EB129+(1-EXP(-LN(2)/25))/(LN(2)/25)*Calculateur!DW130*Calculateur!DY130*VLOOKUP('Données projet'!$B$14,Paramètres!$A$1:$I$89,3,0)*0.475*44/12</f>
        <v>1.1059606699590612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2.7488383131663872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507.5472138335092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2.0174999999999983</v>
      </c>
      <c r="N131" s="14">
        <f>IF('Données projet'!$A$36&gt;35,N130+M131-V130,IF(A131&lt;'Données projet'!$A$36,$K$205^A131,IF(A131='Données projet'!$A$36,'Données projet'!$B$36,N130+M131-V130)))</f>
        <v>303.35249999999985</v>
      </c>
      <c r="O131" s="14">
        <f>N131*VLOOKUP('Données projet'!$B$9,Paramètres!$A$1:$I$89,3,0)*VLOOKUP('Données projet'!$B$9,Paramètres!$A$1:$I$89,5,0)</f>
        <v>274.47334199999983</v>
      </c>
      <c r="P131" s="14">
        <f t="shared" si="87"/>
        <v>65.797715534724787</v>
      </c>
      <c r="Q131" s="22">
        <f t="shared" ref="Q131:Q153" si="108">(O131+P131)*0.475*44/12</f>
        <v>592.63875853964532</v>
      </c>
      <c r="R131" s="62">
        <f t="shared" ref="R131:R194" si="109">Q131+(I131+J131)*44/12</f>
        <v>885.97209187297858</v>
      </c>
      <c r="S131" s="62">
        <f ca="1">AVERAGE(OFFSET($R$3,0,0,'Données projet'!$E$9+1,1))-AVERAGE(OFFSET($H$3,0,0,'Données projet'!$E$9+1,1))</f>
        <v>299.17641394512162</v>
      </c>
      <c r="T131" s="62">
        <f t="shared" si="88"/>
        <v>180.73046320039873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8.2873093373940456</v>
      </c>
      <c r="AA131" s="23">
        <f>EXP(-LN(2)/25)*AA130+(1-EXP(-LN(2)/25))/(LN(2)/25)*Calculateur!V131*Calculateur!X131*VLOOKUP('Données projet'!$B$9,Paramètres!$A$1:$I$89,3,0)*0.475*44/12</f>
        <v>6.2417961776602846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14.529105515054329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4.4500000000000028</v>
      </c>
      <c r="AI131" s="14">
        <f>IF('Données projet'!$A$62&gt;35,AI130+AH131-AQ130,IF(A131&lt;'Données projet'!$A$62,$AF$205^A131,IF(A131='Données projet'!$A$62,'Données projet'!$B$62,AI130+AH131-AQ130)))</f>
        <v>347.96999999999895</v>
      </c>
      <c r="AJ131" s="14">
        <f>AI131*VLOOKUP('Données projet'!$B$10,Paramètres!$A$1:$I$89,3,0)*VLOOKUP('Données projet'!$B$10,Paramètres!$A$1:$I$89,5,0)</f>
        <v>352.84157999999894</v>
      </c>
      <c r="AK131" s="14">
        <f t="shared" si="89"/>
        <v>82.147346429901674</v>
      </c>
      <c r="AL131" s="22">
        <f t="shared" si="58"/>
        <v>757.60571353207695</v>
      </c>
      <c r="AM131" s="62">
        <f t="shared" si="59"/>
        <v>1050.9390468654103</v>
      </c>
      <c r="AN131" s="62">
        <f ca="1">AVERAGE(OFFSET($AM$3,0,0,'Données projet'!$E$10+1,1))-AVERAGE(OFFSET($H$3,0,0,'Données projet'!$E$10+1,1))</f>
        <v>384.66322295929552</v>
      </c>
      <c r="AO131" s="62">
        <f t="shared" si="90"/>
        <v>248.53970183513286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7.5388753225592042</v>
      </c>
      <c r="AV131" s="23">
        <f>EXP(-LN(2)/25)*AV130+(1-EXP(-LN(2)/25))/(LN(2)/25)*Calculateur!AQ131*Calculateur!AS131*VLOOKUP('Données projet'!$B$10,Paramètres!$A$1:$I$89,3,0)*0.475*44/12</f>
        <v>5.7155000837863001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13.254375406345504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343.79999999999995</v>
      </c>
      <c r="BE131" s="14">
        <f>BD131*VLOOKUP('Données projet'!$B$11,Paramètres!$A$1:$I$89,3,0)*VLOOKUP('Données projet'!$B$11,Paramètres!$A$1:$I$89,5,0)</f>
        <v>205.5924</v>
      </c>
      <c r="BF131" s="14">
        <f t="shared" si="91"/>
        <v>50.971228364263673</v>
      </c>
      <c r="BG131" s="22">
        <f t="shared" si="61"/>
        <v>446.84831940109251</v>
      </c>
      <c r="BH131" s="62">
        <f t="shared" si="62"/>
        <v>740.18165273442582</v>
      </c>
      <c r="BI131" s="62">
        <f ca="1">AVERAGE(OFFSET($BH$3,0,0,'Données projet'!$E$11+1,1))-AVERAGE(OFFSET($H$3,0,0,'Données projet'!$E$11+1,1))</f>
        <v>146.25807703055079</v>
      </c>
      <c r="BJ131" s="62">
        <f t="shared" si="92"/>
        <v>177.40137940534413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1.367432804554807</v>
      </c>
      <c r="BQ131" s="23">
        <f>EXP(-LN(2)/25)*BQ130+(1-EXP(-LN(2)/25))/(LN(2)/25)*Calculateur!BL131*Calculateur!BN131*VLOOKUP('Données projet'!$B$11,Paramètres!$A$1:$I$89,3,0)*0.475*44/12</f>
        <v>0.64451610863982456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2.0119489131946313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760.1400000000001</v>
      </c>
      <c r="BZ131" s="14">
        <f>BY131*VLOOKUP('Données projet'!$B$12,Paramètres!$A$1:$I$89,3,0)*VLOOKUP('Données projet'!$B$12,Paramètres!$A$1:$I$89,5,0)</f>
        <v>355.74552000000006</v>
      </c>
      <c r="CA131" s="14">
        <f t="shared" si="93"/>
        <v>82.744450026504168</v>
      </c>
      <c r="CB131" s="22">
        <f t="shared" si="64"/>
        <v>763.70336446282818</v>
      </c>
      <c r="CC131" s="62">
        <f t="shared" si="65"/>
        <v>1057.0366977961614</v>
      </c>
      <c r="CD131" s="62">
        <f ca="1">AVERAGE(OFFSET($CC$3,0,0,'Données projet'!$E$12+1,1))-AVERAGE(OFFSET($H$3,0,0,'Données projet'!$E$12+1,1))</f>
        <v>287.12723448949828</v>
      </c>
      <c r="CE131" s="62">
        <f t="shared" si="94"/>
        <v>170.5203352323382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1.6597417274702635</v>
      </c>
      <c r="CL131" s="23">
        <f>EXP(-LN(2)/25)*CL130+(1-EXP(-LN(2)/25))/(LN(2)/25)*Calculateur!CG131*Calculateur!CI131*VLOOKUP('Données projet'!$B$12,Paramètres!$A$1:$I$89,3,0)*0.475*44/12</f>
        <v>6.0950528442781753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7.7547945717484392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477.12000000000097</v>
      </c>
      <c r="CU131" s="18">
        <f>CT131*VLOOKUP('Données projet'!$B$13,Paramètres!$A$1:$I$89,3,0)*VLOOKUP('Données projet'!$B$13,Paramètres!$A$1:$I$89,5,0)</f>
        <v>461.47046400000096</v>
      </c>
      <c r="CV131" s="14">
        <f t="shared" si="95"/>
        <v>104.13329806929862</v>
      </c>
      <c r="CW131" s="22">
        <f t="shared" si="67"/>
        <v>985.09321893736342</v>
      </c>
      <c r="CX131" s="62">
        <f t="shared" si="68"/>
        <v>1278.4265522706967</v>
      </c>
      <c r="CY131" s="62">
        <f ca="1">AVERAGE(OFFSET($CX$3,0,0,'Données projet'!$E$13+1,1))-AVERAGE(OFFSET($H$3,0,0,'Données projet'!$E$13+1,1))</f>
        <v>467.37715054082025</v>
      </c>
      <c r="CZ131" s="62">
        <f t="shared" si="96"/>
        <v>443.35096563136415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1.4472613407273602</v>
      </c>
      <c r="DG131" s="23">
        <f>EXP(-LN(2)/25)*DG130+(1-EXP(-LN(2)/25))/(LN(2)/25)*Calculateur!DB131*Calculateur!DD131*VLOOKUP('Données projet'!$B$13,Paramètres!$A$1:$I$89,3,0)*0.475*44/12</f>
        <v>0.96658729378700492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2.4138486345143653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477.12000000000097</v>
      </c>
      <c r="DP131" s="18">
        <f>DO131*VLOOKUP('Données projet'!$B$14,Paramètres!$A$1:$I$89,3,0)*VLOOKUP('Données projet'!$B$14,Paramètres!$A$1:$I$89,5,0)</f>
        <v>513.57196800000099</v>
      </c>
      <c r="DQ131" s="14">
        <f t="shared" si="97"/>
        <v>114.45621584436451</v>
      </c>
      <c r="DR131" s="22">
        <f t="shared" si="70"/>
        <v>1093.8157535289363</v>
      </c>
      <c r="DS131" s="62">
        <f t="shared" si="71"/>
        <v>1387.1490868622695</v>
      </c>
      <c r="DT131" s="62">
        <f ca="1">AVERAGE(OFFSET($DS$3,0,0,'Données projet'!$E$14+1,1))-AVERAGE(OFFSET($H$3,0,0,'Données projet'!$E$14+1,1))</f>
        <v>524.51242549438939</v>
      </c>
      <c r="DU131" s="62">
        <f t="shared" si="98"/>
        <v>494.88778446576327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1.6106618146804479</v>
      </c>
      <c r="EB131" s="23">
        <f>EXP(-LN(2)/25)*EB130+(1-EXP(-LN(2)/25))/(LN(2)/25)*Calculateur!DW131*Calculateur!DY131*VLOOKUP('Données projet'!$B$14,Paramètres!$A$1:$I$89,3,0)*0.475*44/12</f>
        <v>1.0757181172790866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2.6863799319595345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509.45917635473086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2.0174999999999983</v>
      </c>
      <c r="N132" s="14">
        <f>IF('Données projet'!$A$36&gt;35,N131+M132-V131,IF(A132&lt;'Données projet'!$A$36,$K$205^A132,IF(A132='Données projet'!$A$36,'Données projet'!$B$36,N131+M132-V131)))</f>
        <v>305.36999999999983</v>
      </c>
      <c r="O132" s="14">
        <f>N132*VLOOKUP('Données projet'!$B$9,Paramètres!$A$1:$I$89,3,0)*VLOOKUP('Données projet'!$B$9,Paramètres!$A$1:$I$89,5,0)</f>
        <v>276.2987759999998</v>
      </c>
      <c r="P132" s="14">
        <f t="shared" si="87"/>
        <v>66.184229123912701</v>
      </c>
      <c r="Q132" s="22">
        <f t="shared" si="108"/>
        <v>596.49123392414754</v>
      </c>
      <c r="R132" s="62">
        <f t="shared" si="109"/>
        <v>889.82456725748079</v>
      </c>
      <c r="S132" s="62">
        <f ca="1">AVERAGE(OFFSET($R$3,0,0,'Données projet'!$E$9+1,1))-AVERAGE(OFFSET($H$3,0,0,'Données projet'!$E$9+1,1))</f>
        <v>299.17641394512162</v>
      </c>
      <c r="T132" s="62">
        <f t="shared" si="88"/>
        <v>180.73046320039873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8.1248002560473278</v>
      </c>
      <c r="AA132" s="23">
        <f>EXP(-LN(2)/25)*AA131+(1-EXP(-LN(2)/25))/(LN(2)/25)*Calculateur!V132*Calculateur!X132*VLOOKUP('Données projet'!$B$9,Paramètres!$A$1:$I$89,3,0)*0.475*44/12</f>
        <v>6.0711139329403689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14.195914188987697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4.4500000000000028</v>
      </c>
      <c r="AI132" s="14">
        <f>IF('Données projet'!$A$62&gt;35,AI131+AH132-AQ131,IF(A132&lt;'Données projet'!$A$62,$AF$205^A132,IF(A132='Données projet'!$A$62,'Données projet'!$B$62,AI131+AH132-AQ131)))</f>
        <v>352.41999999999894</v>
      </c>
      <c r="AJ132" s="14">
        <f>AI132*VLOOKUP('Données projet'!$B$10,Paramètres!$A$1:$I$89,3,0)*VLOOKUP('Données projet'!$B$10,Paramètres!$A$1:$I$89,5,0)</f>
        <v>357.35387999999898</v>
      </c>
      <c r="AK132" s="14">
        <f t="shared" si="89"/>
        <v>83.074914141739541</v>
      </c>
      <c r="AL132" s="22">
        <f t="shared" ref="AL132:AL153" si="112">(AJ132+AK132)*0.475*44/12</f>
        <v>767.08014979686129</v>
      </c>
      <c r="AM132" s="62">
        <f t="shared" ref="AM132:AM195" si="113">AL132+(AD132+AE132)*44/12</f>
        <v>1060.4134831301947</v>
      </c>
      <c r="AN132" s="62">
        <f ca="1">AVERAGE(OFFSET($AM$3,0,0,'Données projet'!$E$10+1,1))-AVERAGE(OFFSET($H$3,0,0,'Données projet'!$E$10+1,1))</f>
        <v>384.66322295929552</v>
      </c>
      <c r="AO132" s="62">
        <f t="shared" si="90"/>
        <v>248.53970183513286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7.3910425757437244</v>
      </c>
      <c r="AV132" s="23">
        <f>EXP(-LN(2)/25)*AV131+(1-EXP(-LN(2)/25))/(LN(2)/25)*Calculateur!AQ132*Calculateur!AS132*VLOOKUP('Données projet'!$B$10,Paramètres!$A$1:$I$89,3,0)*0.475*44/12</f>
        <v>5.5592094334300777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12.950252009173802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343.79999999999995</v>
      </c>
      <c r="BE132" s="14">
        <f>BD132*VLOOKUP('Données projet'!$B$11,Paramètres!$A$1:$I$89,3,0)*VLOOKUP('Données projet'!$B$11,Paramètres!$A$1:$I$89,5,0)</f>
        <v>205.5924</v>
      </c>
      <c r="BF132" s="14">
        <f t="shared" si="91"/>
        <v>50.971228364263673</v>
      </c>
      <c r="BG132" s="22">
        <f t="shared" ref="BG132:BG153" si="115">(BE132+BF132)*0.475*44/12</f>
        <v>446.84831940109251</v>
      </c>
      <c r="BH132" s="62">
        <f t="shared" ref="BH132:BH195" si="116">BG132+(AY132+AZ132)*44/12</f>
        <v>740.18165273442582</v>
      </c>
      <c r="BI132" s="62">
        <f ca="1">AVERAGE(OFFSET($BH$3,0,0,'Données projet'!$E$11+1,1))-AVERAGE(OFFSET($H$3,0,0,'Données projet'!$E$11+1,1))</f>
        <v>146.25807703055079</v>
      </c>
      <c r="BJ132" s="62">
        <f t="shared" si="92"/>
        <v>177.40137940534413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1.3406182813091423</v>
      </c>
      <c r="BQ132" s="23">
        <f>EXP(-LN(2)/25)*BQ131+(1-EXP(-LN(2)/25))/(LN(2)/25)*Calculateur!BL132*Calculateur!BN132*VLOOKUP('Données projet'!$B$11,Paramètres!$A$1:$I$89,3,0)*0.475*44/12</f>
        <v>0.62689178175543947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1.9675100630645819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760.1400000000001</v>
      </c>
      <c r="BZ132" s="14">
        <f>BY132*VLOOKUP('Données projet'!$B$12,Paramètres!$A$1:$I$89,3,0)*VLOOKUP('Données projet'!$B$12,Paramètres!$A$1:$I$89,5,0)</f>
        <v>355.74552000000006</v>
      </c>
      <c r="CA132" s="14">
        <f t="shared" si="93"/>
        <v>82.744450026504168</v>
      </c>
      <c r="CB132" s="22">
        <f t="shared" ref="CB132:CB153" si="118">(BZ132+CA132)*0.475*44/12</f>
        <v>763.70336446282818</v>
      </c>
      <c r="CC132" s="62">
        <f t="shared" ref="CC132:CC195" si="119">CB132+(BT132+BU132)*44/12</f>
        <v>1057.0366977961614</v>
      </c>
      <c r="CD132" s="62">
        <f ca="1">AVERAGE(OFFSET($CC$3,0,0,'Données projet'!$E$12+1,1))-AVERAGE(OFFSET($H$3,0,0,'Données projet'!$E$12+1,1))</f>
        <v>287.12723448949828</v>
      </c>
      <c r="CE132" s="62">
        <f t="shared" si="94"/>
        <v>170.5203352323382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1.6271952045370648</v>
      </c>
      <c r="CL132" s="23">
        <f>EXP(-LN(2)/25)*CL131+(1-EXP(-LN(2)/25))/(LN(2)/25)*Calculateur!CG132*Calculateur!CI132*VLOOKUP('Données projet'!$B$12,Paramètres!$A$1:$I$89,3,0)*0.475*44/12</f>
        <v>5.9283833037264904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7.5555785082635554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477.12000000000097</v>
      </c>
      <c r="CU132" s="18">
        <f>CT132*VLOOKUP('Données projet'!$B$13,Paramètres!$A$1:$I$89,3,0)*VLOOKUP('Données projet'!$B$13,Paramètres!$A$1:$I$89,5,0)</f>
        <v>461.47046400000096</v>
      </c>
      <c r="CV132" s="14">
        <f t="shared" si="95"/>
        <v>104.13329806929862</v>
      </c>
      <c r="CW132" s="22">
        <f t="shared" ref="CW132:CW153" si="121">(CU132+CV132)*0.475*44/12</f>
        <v>985.09321893736342</v>
      </c>
      <c r="CX132" s="62">
        <f t="shared" ref="CX132:CX195" si="122">CW132+(CO132+CP132)*44/12</f>
        <v>1278.4265522706967</v>
      </c>
      <c r="CY132" s="62">
        <f ca="1">AVERAGE(OFFSET($CX$3,0,0,'Données projet'!$E$13+1,1))-AVERAGE(OFFSET($H$3,0,0,'Données projet'!$E$13+1,1))</f>
        <v>467.37715054082025</v>
      </c>
      <c r="CZ132" s="62">
        <f t="shared" si="96"/>
        <v>443.35096563136415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1.418881428577951</v>
      </c>
      <c r="DG132" s="23">
        <f>EXP(-LN(2)/25)*DG131+(1-EXP(-LN(2)/25))/(LN(2)/25)*Calculateur!DB132*Calculateur!DD132*VLOOKUP('Données projet'!$B$13,Paramètres!$A$1:$I$89,3,0)*0.475*44/12</f>
        <v>0.94015591340778271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2.3590373419857338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477.12000000000097</v>
      </c>
      <c r="DP132" s="18">
        <f>DO132*VLOOKUP('Données projet'!$B$14,Paramètres!$A$1:$I$89,3,0)*VLOOKUP('Données projet'!$B$14,Paramètres!$A$1:$I$89,5,0)</f>
        <v>513.57196800000099</v>
      </c>
      <c r="DQ132" s="14">
        <f t="shared" si="97"/>
        <v>114.45621584436451</v>
      </c>
      <c r="DR132" s="22">
        <f t="shared" ref="DR132:DR153" si="124">(DP132+DQ132)*0.475*44/12</f>
        <v>1093.8157535289363</v>
      </c>
      <c r="DS132" s="62">
        <f t="shared" ref="DS132:DS195" si="125">DR132+(DJ132+DK132)*44/12</f>
        <v>1387.1490868622695</v>
      </c>
      <c r="DT132" s="62">
        <f ca="1">AVERAGE(OFFSET($DS$3,0,0,'Données projet'!$E$14+1,1))-AVERAGE(OFFSET($H$3,0,0,'Données projet'!$E$14+1,1))</f>
        <v>524.51242549438939</v>
      </c>
      <c r="DU132" s="62">
        <f t="shared" si="98"/>
        <v>494.88778446576327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1.5790777189012666</v>
      </c>
      <c r="EB132" s="23">
        <f>EXP(-LN(2)/25)*EB131+(1-EXP(-LN(2)/25))/(LN(2)/25)*Calculateur!DW132*Calculateur!DY132*VLOOKUP('Données projet'!$B$14,Paramètres!$A$1:$I$89,3,0)*0.475*44/12</f>
        <v>1.0463025487925328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2.6253802676937994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511.37081123023484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2.0174999999999983</v>
      </c>
      <c r="N133" s="14">
        <f>IF('Données projet'!$A$36&gt;35,N132+M133-V132,IF(A133&lt;'Données projet'!$A$36,$K$205^A133,IF(A133='Données projet'!$A$36,'Données projet'!$B$36,N132+M133-V132)))</f>
        <v>307.38749999999982</v>
      </c>
      <c r="O133" s="14">
        <f>N133*VLOOKUP('Données projet'!$B$9,Paramètres!$A$1:$I$89,3,0)*VLOOKUP('Données projet'!$B$9,Paramètres!$A$1:$I$89,5,0)</f>
        <v>278.12420999999983</v>
      </c>
      <c r="P133" s="14">
        <f t="shared" ref="P133:P196" si="141">EXP(-1.0587+0.8836*LN(O133)+0.284)</f>
        <v>66.570445586671696</v>
      </c>
      <c r="Q133" s="22">
        <f t="shared" si="108"/>
        <v>600.3431918134529</v>
      </c>
      <c r="R133" s="62">
        <f t="shared" si="109"/>
        <v>893.67652514678616</v>
      </c>
      <c r="S133" s="62">
        <f ca="1">AVERAGE(OFFSET($R$3,0,0,'Données projet'!$E$9+1,1))-AVERAGE(OFFSET($H$3,0,0,'Données projet'!$E$9+1,1))</f>
        <v>299.17641394512162</v>
      </c>
      <c r="T133" s="62">
        <f t="shared" ref="T133:T196" si="142">$T$3</f>
        <v>180.73046320039873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7.9654778786650668</v>
      </c>
      <c r="AA133" s="23">
        <f>EXP(-LN(2)/25)*AA132+(1-EXP(-LN(2)/25))/(LN(2)/25)*Calculateur!V133*Calculateur!X133*VLOOKUP('Données projet'!$B$9,Paramètres!$A$1:$I$89,3,0)*0.475*44/12</f>
        <v>5.9050990031781083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13.870576881843174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4.4500000000000028</v>
      </c>
      <c r="AI133" s="14">
        <f>IF('Données projet'!$A$62&gt;35,AI132+AH133-AQ132,IF(A133&lt;'Données projet'!$A$62,$AF$205^A133,IF(A133='Données projet'!$A$62,'Données projet'!$B$62,AI132+AH133-AQ132)))</f>
        <v>356.86999999999892</v>
      </c>
      <c r="AJ133" s="14">
        <f>AI133*VLOOKUP('Données projet'!$B$10,Paramètres!$A$1:$I$89,3,0)*VLOOKUP('Données projet'!$B$10,Paramètres!$A$1:$I$89,5,0)</f>
        <v>361.86617999999896</v>
      </c>
      <c r="AK133" s="14">
        <f t="shared" ref="AK133:AK153" si="143">EXP(-1.0587+0.8836*LN(AJ133)+0.284)</f>
        <v>84.001119495874903</v>
      </c>
      <c r="AL133" s="22">
        <f t="shared" si="112"/>
        <v>776.55221328864707</v>
      </c>
      <c r="AM133" s="62">
        <f t="shared" si="113"/>
        <v>1069.8855466219804</v>
      </c>
      <c r="AN133" s="62">
        <f ca="1">AVERAGE(OFFSET($AM$3,0,0,'Données projet'!$E$10+1,1))-AVERAGE(OFFSET($H$3,0,0,'Données projet'!$E$10+1,1))</f>
        <v>384.66322295929552</v>
      </c>
      <c r="AO133" s="62">
        <f t="shared" ref="AO133:AO196" si="144">$AO$3</f>
        <v>248.53970183513286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7.2461087389242245</v>
      </c>
      <c r="AV133" s="23">
        <f>EXP(-LN(2)/25)*AV132+(1-EXP(-LN(2)/25))/(LN(2)/25)*Calculateur!AQ133*Calculateur!AS133*VLOOKUP('Données projet'!$B$10,Paramètres!$A$1:$I$89,3,0)*0.475*44/12</f>
        <v>5.4071925591268135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12.653301298051037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343.79999999999995</v>
      </c>
      <c r="BE133" s="14">
        <f>BD133*VLOOKUP('Données projet'!$B$11,Paramètres!$A$1:$I$89,3,0)*VLOOKUP('Données projet'!$B$11,Paramètres!$A$1:$I$89,5,0)</f>
        <v>205.5924</v>
      </c>
      <c r="BF133" s="14">
        <f t="shared" ref="BF133:BF153" si="145">EXP(-1.0587+0.8836*LN(BE133)+0.284)</f>
        <v>50.971228364263673</v>
      </c>
      <c r="BG133" s="22">
        <f t="shared" si="115"/>
        <v>446.84831940109251</v>
      </c>
      <c r="BH133" s="62">
        <f t="shared" si="116"/>
        <v>740.18165273442582</v>
      </c>
      <c r="BI133" s="62">
        <f ca="1">AVERAGE(OFFSET($BH$3,0,0,'Données projet'!$E$11+1,1))-AVERAGE(OFFSET($H$3,0,0,'Données projet'!$E$11+1,1))</f>
        <v>146.25807703055079</v>
      </c>
      <c r="BJ133" s="62">
        <f t="shared" ref="BJ133:BJ196" si="146">$BJ$3</f>
        <v>177.40137940534413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1.3143295745090808</v>
      </c>
      <c r="BQ133" s="23">
        <f>EXP(-LN(2)/25)*BQ132+(1-EXP(-LN(2)/25))/(LN(2)/25)*Calculateur!BL133*Calculateur!BN133*VLOOKUP('Données projet'!$B$11,Paramètres!$A$1:$I$89,3,0)*0.475*44/12</f>
        <v>0.60974939301653097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1.9240789675256118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760.1400000000001</v>
      </c>
      <c r="BZ133" s="14">
        <f>BY133*VLOOKUP('Données projet'!$B$12,Paramètres!$A$1:$I$89,3,0)*VLOOKUP('Données projet'!$B$12,Paramètres!$A$1:$I$89,5,0)</f>
        <v>355.74552000000006</v>
      </c>
      <c r="CA133" s="14">
        <f t="shared" ref="CA133:CA153" si="147">EXP(-1.0587+0.8836*LN(BZ133)+0.284)</f>
        <v>82.744450026504168</v>
      </c>
      <c r="CB133" s="22">
        <f t="shared" si="118"/>
        <v>763.70336446282818</v>
      </c>
      <c r="CC133" s="62">
        <f t="shared" si="119"/>
        <v>1057.0366977961614</v>
      </c>
      <c r="CD133" s="62">
        <f ca="1">AVERAGE(OFFSET($CC$3,0,0,'Données projet'!$E$12+1,1))-AVERAGE(OFFSET($H$3,0,0,'Données projet'!$E$12+1,1))</f>
        <v>287.12723448949828</v>
      </c>
      <c r="CE133" s="62">
        <f t="shared" ref="CE133:CE196" si="148">$CE$3</f>
        <v>170.5203352323382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1.5952868990671674</v>
      </c>
      <c r="CL133" s="23">
        <f>EXP(-LN(2)/25)*CL132+(1-EXP(-LN(2)/25))/(LN(2)/25)*Calculateur!CG133*Calculateur!CI133*VLOOKUP('Données projet'!$B$12,Paramètres!$A$1:$I$89,3,0)*0.475*44/12</f>
        <v>5.7662713505259608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7.361558249593128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477.12000000000097</v>
      </c>
      <c r="CU133" s="18">
        <f>CT133*VLOOKUP('Données projet'!$B$13,Paramètres!$A$1:$I$89,3,0)*VLOOKUP('Données projet'!$B$13,Paramètres!$A$1:$I$89,5,0)</f>
        <v>461.47046400000096</v>
      </c>
      <c r="CV133" s="14">
        <f t="shared" ref="CV133:CV153" si="149">EXP(-1.0587+0.8836*LN(CU133)+0.284)</f>
        <v>104.13329806929862</v>
      </c>
      <c r="CW133" s="22">
        <f t="shared" si="121"/>
        <v>985.09321893736342</v>
      </c>
      <c r="CX133" s="62">
        <f t="shared" si="122"/>
        <v>1278.4265522706967</v>
      </c>
      <c r="CY133" s="62">
        <f ca="1">AVERAGE(OFFSET($CX$3,0,0,'Données projet'!$E$13+1,1))-AVERAGE(OFFSET($H$3,0,0,'Données projet'!$E$13+1,1))</f>
        <v>467.37715054082025</v>
      </c>
      <c r="CZ133" s="62">
        <f t="shared" ref="CZ133:CZ196" si="150">$CZ$3</f>
        <v>443.35096563136415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1.3910580291957544</v>
      </c>
      <c r="DG133" s="23">
        <f>EXP(-LN(2)/25)*DG132+(1-EXP(-LN(2)/25))/(LN(2)/25)*Calculateur!DB133*Calculateur!DD133*VLOOKUP('Données projet'!$B$13,Paramètres!$A$1:$I$89,3,0)*0.475*44/12</f>
        <v>0.91444730051499612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2.3055053297107504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477.12000000000097</v>
      </c>
      <c r="DP133" s="18">
        <f>DO133*VLOOKUP('Données projet'!$B$14,Paramètres!$A$1:$I$89,3,0)*VLOOKUP('Données projet'!$B$14,Paramètres!$A$1:$I$89,5,0)</f>
        <v>513.57196800000099</v>
      </c>
      <c r="DQ133" s="14">
        <f t="shared" ref="DQ133:DQ153" si="151">EXP(-1.0587+0.8836*LN(DP133)+0.284)</f>
        <v>114.45621584436451</v>
      </c>
      <c r="DR133" s="22">
        <f t="shared" si="124"/>
        <v>1093.8157535289363</v>
      </c>
      <c r="DS133" s="62">
        <f t="shared" si="125"/>
        <v>1387.1490868622695</v>
      </c>
      <c r="DT133" s="62">
        <f ca="1">AVERAGE(OFFSET($DS$3,0,0,'Données projet'!$E$14+1,1))-AVERAGE(OFFSET($H$3,0,0,'Données projet'!$E$14+1,1))</f>
        <v>524.51242549438939</v>
      </c>
      <c r="DU133" s="62">
        <f t="shared" ref="DU133:DU196" si="152">$DU$3</f>
        <v>494.88778446576327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1.5481129679759189</v>
      </c>
      <c r="EB133" s="23">
        <f>EXP(-LN(2)/25)*EB132+(1-EXP(-LN(2)/25))/(LN(2)/25)*Calculateur!DW133*Calculateur!DY133*VLOOKUP('Données projet'!$B$14,Paramètres!$A$1:$I$89,3,0)*0.475*44/12</f>
        <v>1.0176913505731413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2.56580431854906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513.28212127253823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2.0174999999999983</v>
      </c>
      <c r="N134" s="14">
        <f>IF('Données projet'!$A$36&gt;35,N133+M134-V133,IF(A134&lt;'Données projet'!$A$36,$K$205^A134,IF(A134='Données projet'!$A$36,'Données projet'!$B$36,N133+M134-V133)))</f>
        <v>309.4049999999998</v>
      </c>
      <c r="O134" s="14">
        <f>N134*VLOOKUP('Données projet'!$B$9,Paramètres!$A$1:$I$89,3,0)*VLOOKUP('Données projet'!$B$9,Paramètres!$A$1:$I$89,5,0)</f>
        <v>279.94964399999981</v>
      </c>
      <c r="P134" s="14">
        <f t="shared" si="141"/>
        <v>66.956367099351993</v>
      </c>
      <c r="Q134" s="22">
        <f t="shared" si="108"/>
        <v>604.19463599803771</v>
      </c>
      <c r="R134" s="62">
        <f t="shared" si="109"/>
        <v>897.52796933137097</v>
      </c>
      <c r="S134" s="62">
        <f ca="1">AVERAGE(OFFSET($R$3,0,0,'Données projet'!$E$9+1,1))-AVERAGE(OFFSET($H$3,0,0,'Données projet'!$E$9+1,1))</f>
        <v>299.17641394512162</v>
      </c>
      <c r="T134" s="62">
        <f t="shared" si="142"/>
        <v>180.73046320039873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7.8092797159262179</v>
      </c>
      <c r="AA134" s="23">
        <f>EXP(-LN(2)/25)*AA133+(1-EXP(-LN(2)/25))/(LN(2)/25)*Calculateur!V134*Calculateur!X134*VLOOKUP('Données projet'!$B$9,Paramètres!$A$1:$I$89,3,0)*0.475*44/12</f>
        <v>5.7436237604005429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13.552903476326762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4.4500000000000028</v>
      </c>
      <c r="AI134" s="14">
        <f>IF('Données projet'!$A$62&gt;35,AI133+AH134-AQ133,IF(A134&lt;'Données projet'!$A$62,$AF$205^A134,IF(A134='Données projet'!$A$62,'Données projet'!$B$62,AI133+AH134-AQ133)))</f>
        <v>361.31999999999891</v>
      </c>
      <c r="AJ134" s="14">
        <f>AI134*VLOOKUP('Données projet'!$B$10,Paramètres!$A$1:$I$89,3,0)*VLOOKUP('Données projet'!$B$10,Paramètres!$A$1:$I$89,5,0)</f>
        <v>366.37847999999889</v>
      </c>
      <c r="AK134" s="14">
        <f t="shared" si="143"/>
        <v>84.925981444892585</v>
      </c>
      <c r="AL134" s="22">
        <f t="shared" si="112"/>
        <v>786.02193701651925</v>
      </c>
      <c r="AM134" s="62">
        <f t="shared" si="113"/>
        <v>1079.3552703498526</v>
      </c>
      <c r="AN134" s="62">
        <f ca="1">AVERAGE(OFFSET($AM$3,0,0,'Données projet'!$E$10+1,1))-AVERAGE(OFFSET($H$3,0,0,'Données projet'!$E$10+1,1))</f>
        <v>384.66322295929552</v>
      </c>
      <c r="AO134" s="62">
        <f t="shared" si="144"/>
        <v>248.53970183513286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7.1040169662438428</v>
      </c>
      <c r="AV134" s="23">
        <f>EXP(-LN(2)/25)*AV133+(1-EXP(-LN(2)/25))/(LN(2)/25)*Calculateur!AQ134*Calculateur!AS134*VLOOKUP('Données projet'!$B$10,Paramètres!$A$1:$I$89,3,0)*0.475*44/12</f>
        <v>5.2593325942455929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12.363349560489436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343.79999999999995</v>
      </c>
      <c r="BE134" s="14">
        <f>BD134*VLOOKUP('Données projet'!$B$11,Paramètres!$A$1:$I$89,3,0)*VLOOKUP('Données projet'!$B$11,Paramètres!$A$1:$I$89,5,0)</f>
        <v>205.5924</v>
      </c>
      <c r="BF134" s="14">
        <f t="shared" si="145"/>
        <v>50.971228364263673</v>
      </c>
      <c r="BG134" s="22">
        <f t="shared" si="115"/>
        <v>446.84831940109251</v>
      </c>
      <c r="BH134" s="62">
        <f t="shared" si="116"/>
        <v>740.18165273442582</v>
      </c>
      <c r="BI134" s="62">
        <f ca="1">AVERAGE(OFFSET($BH$3,0,0,'Données projet'!$E$11+1,1))-AVERAGE(OFFSET($H$3,0,0,'Données projet'!$E$11+1,1))</f>
        <v>146.25807703055079</v>
      </c>
      <c r="BJ134" s="62">
        <f t="shared" si="146"/>
        <v>177.40137940534413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1.2885563732148406</v>
      </c>
      <c r="BQ134" s="23">
        <f>EXP(-LN(2)/25)*BQ133+(1-EXP(-LN(2)/25))/(LN(2)/25)*Calculateur!BL134*Calculateur!BN134*VLOOKUP('Données projet'!$B$11,Paramètres!$A$1:$I$89,3,0)*0.475*44/12</f>
        <v>0.59307576379916693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1.8816321370140074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760.1400000000001</v>
      </c>
      <c r="BZ134" s="14">
        <f>BY134*VLOOKUP('Données projet'!$B$12,Paramètres!$A$1:$I$89,3,0)*VLOOKUP('Données projet'!$B$12,Paramètres!$A$1:$I$89,5,0)</f>
        <v>355.74552000000006</v>
      </c>
      <c r="CA134" s="14">
        <f t="shared" si="147"/>
        <v>82.744450026504168</v>
      </c>
      <c r="CB134" s="22">
        <f t="shared" si="118"/>
        <v>763.70336446282818</v>
      </c>
      <c r="CC134" s="62">
        <f t="shared" si="119"/>
        <v>1057.0366977961614</v>
      </c>
      <c r="CD134" s="62">
        <f ca="1">AVERAGE(OFFSET($CC$3,0,0,'Données projet'!$E$12+1,1))-AVERAGE(OFFSET($H$3,0,0,'Données projet'!$E$12+1,1))</f>
        <v>287.12723448949828</v>
      </c>
      <c r="CE134" s="62">
        <f t="shared" si="148"/>
        <v>170.5203352323382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1.5640042960053899</v>
      </c>
      <c r="CL134" s="23">
        <f>EXP(-LN(2)/25)*CL133+(1-EXP(-LN(2)/25))/(LN(2)/25)*Calculateur!CG134*Calculateur!CI134*VLOOKUP('Données projet'!$B$12,Paramètres!$A$1:$I$89,3,0)*0.475*44/12</f>
        <v>5.6085923572107967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7.1725966532161864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477.12000000000097</v>
      </c>
      <c r="CU134" s="18">
        <f>CT134*VLOOKUP('Données projet'!$B$13,Paramètres!$A$1:$I$89,3,0)*VLOOKUP('Données projet'!$B$13,Paramètres!$A$1:$I$89,5,0)</f>
        <v>461.47046400000096</v>
      </c>
      <c r="CV134" s="14">
        <f t="shared" si="149"/>
        <v>104.13329806929862</v>
      </c>
      <c r="CW134" s="22">
        <f t="shared" si="121"/>
        <v>985.09321893736342</v>
      </c>
      <c r="CX134" s="62">
        <f t="shared" si="122"/>
        <v>1278.4265522706967</v>
      </c>
      <c r="CY134" s="62">
        <f ca="1">AVERAGE(OFFSET($CX$3,0,0,'Données projet'!$E$13+1,1))-AVERAGE(OFFSET($H$3,0,0,'Données projet'!$E$13+1,1))</f>
        <v>467.37715054082025</v>
      </c>
      <c r="CZ134" s="62">
        <f t="shared" si="150"/>
        <v>443.35096563136415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1.3637802297048449</v>
      </c>
      <c r="DG134" s="23">
        <f>EXP(-LN(2)/25)*DG133+(1-EXP(-LN(2)/25))/(LN(2)/25)*Calculateur!DB134*Calculateur!DD134*VLOOKUP('Données projet'!$B$13,Paramètres!$A$1:$I$89,3,0)*0.475*44/12</f>
        <v>0.88944169099372006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2.2532219206985649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477.12000000000097</v>
      </c>
      <c r="DP134" s="18">
        <f>DO134*VLOOKUP('Données projet'!$B$14,Paramètres!$A$1:$I$89,3,0)*VLOOKUP('Données projet'!$B$14,Paramètres!$A$1:$I$89,5,0)</f>
        <v>513.57196800000099</v>
      </c>
      <c r="DQ134" s="14">
        <f t="shared" si="151"/>
        <v>114.45621584436451</v>
      </c>
      <c r="DR134" s="22">
        <f t="shared" si="124"/>
        <v>1093.8157535289363</v>
      </c>
      <c r="DS134" s="62">
        <f t="shared" si="125"/>
        <v>1387.1490868622695</v>
      </c>
      <c r="DT134" s="62">
        <f ca="1">AVERAGE(OFFSET($DS$3,0,0,'Données projet'!$E$14+1,1))-AVERAGE(OFFSET($H$3,0,0,'Données projet'!$E$14+1,1))</f>
        <v>524.51242549438939</v>
      </c>
      <c r="DU134" s="62">
        <f t="shared" si="152"/>
        <v>494.88778446576327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1.5177554169295842</v>
      </c>
      <c r="EB134" s="23">
        <f>EXP(-LN(2)/25)*EB133+(1-EXP(-LN(2)/25))/(LN(2)/25)*Calculateur!DW134*Calculateur!DY134*VLOOKUP('Données projet'!$B$14,Paramètres!$A$1:$I$89,3,0)*0.475*44/12</f>
        <v>0.98986252707365663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2.5076179440032407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515.19310924873832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2.0174999999999983</v>
      </c>
      <c r="N135" s="14">
        <f>IF('Données projet'!$A$36&gt;35,N134+M135-V134,IF(A135&lt;'Données projet'!$A$36,$K$205^A135,IF(A135='Données projet'!$A$36,'Données projet'!$B$36,N134+M135-V134)))</f>
        <v>311.42249999999979</v>
      </c>
      <c r="O135" s="14">
        <f>N135*VLOOKUP('Données projet'!$B$9,Paramètres!$A$1:$I$89,3,0)*VLOOKUP('Données projet'!$B$9,Paramètres!$A$1:$I$89,5,0)</f>
        <v>281.77507799999984</v>
      </c>
      <c r="P135" s="14">
        <f t="shared" si="141"/>
        <v>67.341995808280984</v>
      </c>
      <c r="Q135" s="22">
        <f t="shared" si="108"/>
        <v>608.045570216089</v>
      </c>
      <c r="R135" s="62">
        <f t="shared" si="109"/>
        <v>901.37890354942238</v>
      </c>
      <c r="S135" s="62">
        <f ca="1">AVERAGE(OFFSET($R$3,0,0,'Données projet'!$E$9+1,1))-AVERAGE(OFFSET($H$3,0,0,'Données projet'!$E$9+1,1))</f>
        <v>299.17641394512162</v>
      </c>
      <c r="T135" s="62">
        <f t="shared" si="142"/>
        <v>180.73046320039873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7.6561445038872051</v>
      </c>
      <c r="AA135" s="23">
        <f>EXP(-LN(2)/25)*AA134+(1-EXP(-LN(2)/25))/(LN(2)/25)*Calculateur!V135*Calculateur!X135*VLOOKUP('Données projet'!$B$9,Paramètres!$A$1:$I$89,3,0)*0.475*44/12</f>
        <v>5.5865640666283438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13.24270857051555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4.4500000000000028</v>
      </c>
      <c r="AI135" s="14">
        <f>IF('Données projet'!$A$62&gt;35,AI134+AH135-AQ134,IF(A135&lt;'Données projet'!$A$62,$AF$205^A135,IF(A135='Données projet'!$A$62,'Données projet'!$B$62,AI134+AH135-AQ134)))</f>
        <v>365.7699999999989</v>
      </c>
      <c r="AJ135" s="14">
        <f>AI135*VLOOKUP('Données projet'!$B$10,Paramètres!$A$1:$I$89,3,0)*VLOOKUP('Données projet'!$B$10,Paramètres!$A$1:$I$89,5,0)</f>
        <v>370.89077999999893</v>
      </c>
      <c r="AK135" s="14">
        <f t="shared" si="143"/>
        <v>85.84951844768554</v>
      </c>
      <c r="AL135" s="22">
        <f t="shared" si="112"/>
        <v>795.48935312971707</v>
      </c>
      <c r="AM135" s="62">
        <f t="shared" si="113"/>
        <v>1088.8226864630503</v>
      </c>
      <c r="AN135" s="62">
        <f ca="1">AVERAGE(OFFSET($AM$3,0,0,'Données projet'!$E$10+1,1))-AVERAGE(OFFSET($H$3,0,0,'Données projet'!$E$10+1,1))</f>
        <v>384.66322295929552</v>
      </c>
      <c r="AO135" s="62">
        <f t="shared" si="144"/>
        <v>248.53970183513286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6.9647115265583004</v>
      </c>
      <c r="AV135" s="23">
        <f>EXP(-LN(2)/25)*AV134+(1-EXP(-LN(2)/25))/(LN(2)/25)*Calculateur!AQ135*Calculateur!AS135*VLOOKUP('Données projet'!$B$10,Paramètres!$A$1:$I$89,3,0)*0.475*44/12</f>
        <v>5.1155158678796662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12.080227394437966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343.79999999999995</v>
      </c>
      <c r="BE135" s="14">
        <f>BD135*VLOOKUP('Données projet'!$B$11,Paramètres!$A$1:$I$89,3,0)*VLOOKUP('Données projet'!$B$11,Paramètres!$A$1:$I$89,5,0)</f>
        <v>205.5924</v>
      </c>
      <c r="BF135" s="14">
        <f t="shared" si="145"/>
        <v>50.971228364263673</v>
      </c>
      <c r="BG135" s="22">
        <f t="shared" si="115"/>
        <v>446.84831940109251</v>
      </c>
      <c r="BH135" s="62">
        <f t="shared" si="116"/>
        <v>740.18165273442582</v>
      </c>
      <c r="BI135" s="62">
        <f ca="1">AVERAGE(OFFSET($BH$3,0,0,'Données projet'!$E$11+1,1))-AVERAGE(OFFSET($H$3,0,0,'Données projet'!$E$11+1,1))</f>
        <v>146.25807703055079</v>
      </c>
      <c r="BJ135" s="62">
        <f t="shared" si="146"/>
        <v>177.40137940534413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1.2632885686778799</v>
      </c>
      <c r="BQ135" s="23">
        <f>EXP(-LN(2)/25)*BQ134+(1-EXP(-LN(2)/25))/(LN(2)/25)*Calculateur!BL135*Calculateur!BN135*VLOOKUP('Données projet'!$B$11,Paramètres!$A$1:$I$89,3,0)*0.475*44/12</f>
        <v>0.57685807584957982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1.8401466445274597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760.1400000000001</v>
      </c>
      <c r="BZ135" s="14">
        <f>BY135*VLOOKUP('Données projet'!$B$12,Paramètres!$A$1:$I$89,3,0)*VLOOKUP('Données projet'!$B$12,Paramètres!$A$1:$I$89,5,0)</f>
        <v>355.74552000000006</v>
      </c>
      <c r="CA135" s="14">
        <f t="shared" si="147"/>
        <v>82.744450026504168</v>
      </c>
      <c r="CB135" s="22">
        <f t="shared" si="118"/>
        <v>763.70336446282818</v>
      </c>
      <c r="CC135" s="62">
        <f t="shared" si="119"/>
        <v>1057.0366977961614</v>
      </c>
      <c r="CD135" s="62">
        <f ca="1">AVERAGE(OFFSET($CC$3,0,0,'Données projet'!$E$12+1,1))-AVERAGE(OFFSET($H$3,0,0,'Données projet'!$E$12+1,1))</f>
        <v>287.12723448949828</v>
      </c>
      <c r="CE135" s="62">
        <f t="shared" si="148"/>
        <v>170.5203352323382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1.5333351257091503</v>
      </c>
      <c r="CL135" s="23">
        <f>EXP(-LN(2)/25)*CL134+(1-EXP(-LN(2)/25))/(LN(2)/25)*Calculateur!CG135*Calculateur!CI135*VLOOKUP('Données projet'!$B$12,Paramètres!$A$1:$I$89,3,0)*0.475*44/12</f>
        <v>5.4552251042598137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6.9885602299689644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477.12000000000097</v>
      </c>
      <c r="CU135" s="18">
        <f>CT135*VLOOKUP('Données projet'!$B$13,Paramètres!$A$1:$I$89,3,0)*VLOOKUP('Données projet'!$B$13,Paramètres!$A$1:$I$89,5,0)</f>
        <v>461.47046400000096</v>
      </c>
      <c r="CV135" s="14">
        <f t="shared" si="149"/>
        <v>104.13329806929862</v>
      </c>
      <c r="CW135" s="22">
        <f t="shared" si="121"/>
        <v>985.09321893736342</v>
      </c>
      <c r="CX135" s="62">
        <f t="shared" si="122"/>
        <v>1278.4265522706967</v>
      </c>
      <c r="CY135" s="62">
        <f ca="1">AVERAGE(OFFSET($CX$3,0,0,'Données projet'!$E$13+1,1))-AVERAGE(OFFSET($H$3,0,0,'Données projet'!$E$13+1,1))</f>
        <v>467.37715054082025</v>
      </c>
      <c r="CZ135" s="62">
        <f t="shared" si="150"/>
        <v>443.35096563136415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1.3370373312241373</v>
      </c>
      <c r="DG135" s="23">
        <f>EXP(-LN(2)/25)*DG134+(1-EXP(-LN(2)/25))/(LN(2)/25)*Calculateur!DB135*Calculateur!DD135*VLOOKUP('Données projet'!$B$13,Paramètres!$A$1:$I$89,3,0)*0.475*44/12</f>
        <v>0.86511986117979112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2.2021571924039285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477.12000000000097</v>
      </c>
      <c r="DP135" s="18">
        <f>DO135*VLOOKUP('Données projet'!$B$14,Paramètres!$A$1:$I$89,3,0)*VLOOKUP('Données projet'!$B$14,Paramètres!$A$1:$I$89,5,0)</f>
        <v>513.57196800000099</v>
      </c>
      <c r="DQ135" s="14">
        <f t="shared" si="151"/>
        <v>114.45621584436451</v>
      </c>
      <c r="DR135" s="22">
        <f t="shared" si="124"/>
        <v>1093.8157535289363</v>
      </c>
      <c r="DS135" s="62">
        <f t="shared" si="125"/>
        <v>1387.1490868622695</v>
      </c>
      <c r="DT135" s="62">
        <f ca="1">AVERAGE(OFFSET($DS$3,0,0,'Données projet'!$E$14+1,1))-AVERAGE(OFFSET($H$3,0,0,'Données projet'!$E$14+1,1))</f>
        <v>524.51242549438939</v>
      </c>
      <c r="DU135" s="62">
        <f t="shared" si="152"/>
        <v>494.88778446576327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1.4879931589429902</v>
      </c>
      <c r="EB135" s="23">
        <f>EXP(-LN(2)/25)*EB134+(1-EXP(-LN(2)/25))/(LN(2)/25)*Calculateur!DW135*Calculateur!DY135*VLOOKUP('Données projet'!$B$14,Paramètres!$A$1:$I$89,3,0)*0.475*44/12</f>
        <v>0.9627946842162195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2.4507878431592096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517.10377788158553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>
        <f>VLOOKUP(A136,'Données projet'!$A$35:$I$55,2,0)</f>
        <v>313.44</v>
      </c>
      <c r="L136" s="13">
        <f>VLOOKUP(A136,'Données projet'!$A$35:$I$55,9,0)</f>
        <v>2.0174999999999983</v>
      </c>
      <c r="M136" s="13">
        <f t="array" ref="M136">INDEX(L:L,MIN(IF(ISNUMBER(L136:L332),ROW(L136:L332),"")))</f>
        <v>2.0174999999999983</v>
      </c>
      <c r="N136" s="14">
        <f>IF('Données projet'!$A$36&gt;35,N135+M136-V135,IF(A136&lt;'Données projet'!$A$36,$K$205^A136,IF(A136='Données projet'!$A$36,'Données projet'!$B$36,N135+M136-V135)))</f>
        <v>313.43999999999977</v>
      </c>
      <c r="O136" s="14">
        <f>N136*VLOOKUP('Données projet'!$B$9,Paramètres!$A$1:$I$89,3,0)*VLOOKUP('Données projet'!$B$9,Paramètres!$A$1:$I$89,5,0)</f>
        <v>283.60051199999975</v>
      </c>
      <c r="P136" s="14">
        <f t="shared" si="141"/>
        <v>67.727333830368366</v>
      </c>
      <c r="Q136" s="22">
        <f t="shared" si="108"/>
        <v>611.89599815455779</v>
      </c>
      <c r="R136" s="62">
        <f t="shared" si="109"/>
        <v>905.22933148789116</v>
      </c>
      <c r="S136" s="62">
        <f ca="1">AVERAGE(OFFSET($R$3,0,0,'Données projet'!$E$9+1,1))-AVERAGE(OFFSET($H$3,0,0,'Données projet'!$E$9+1,1))</f>
        <v>299.17641394512162</v>
      </c>
      <c r="T136" s="62">
        <f t="shared" si="142"/>
        <v>180.73046320039873</v>
      </c>
      <c r="U136" s="16">
        <f>IF(ISNA(VLOOKUP(A136,'Données projet'!$A$35:$I$55,3,0)),0,VLOOKUP(A136,'Données projet'!$A$35:$I$55,3,0))</f>
        <v>10</v>
      </c>
      <c r="V136" s="16">
        <f>IF(ISNA(VLOOKUP(A136,'Données projet'!$A$35:$I$55,4,0)),0,VLOOKUP(A136,'Données projet'!$A$35:$I$55,4,0))</f>
        <v>31.34</v>
      </c>
      <c r="W136" s="17">
        <f>IF(ISNA(VLOOKUP(A136,'Données projet'!$A$35:$I$55,5,0)),0%,VLOOKUP(A136,'Données projet'!$A$35:$I$55,5,0)*VLOOKUP('Données projet'!$B$9,Paramètres!$A$1:$I$89,7,0))</f>
        <v>9.0299999999999991E-2</v>
      </c>
      <c r="X136" s="17">
        <f>IF(ISNA(VLOOKUP(A136,'Données projet'!$A$35:$I$55,6,0)),0%,VLOOKUP(A136,'Données projet'!$A$35:$I$55,6,0)*VLOOKUP('Données projet'!$B$9,Paramètres!$A$1:$I$89,7,0))</f>
        <v>8.1699999999999995E-2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10.33666394671822</v>
      </c>
      <c r="AA136" s="23">
        <f>EXP(-LN(2)/25)*AA135+(1-EXP(-LN(2)/25))/(LN(2)/25)*Calculateur!V136*Calculateur!X136*VLOOKUP('Données projet'!$B$9,Paramètres!$A$1:$I$89,3,0)*0.475*44/12</f>
        <v>7.9847811704291223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18.321445117147341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>
        <f>VLOOKUP(A136,'Données projet'!$A$61:$I$81,2,0)</f>
        <v>370.22</v>
      </c>
      <c r="AG136" s="13">
        <f>VLOOKUP(A136,'Données projet'!$A$61:$I$81,9,0)</f>
        <v>4.4500000000000028</v>
      </c>
      <c r="AH136" s="13">
        <f t="array" ref="AH136">INDEX(AG:AG,MIN(IF(ISNUMBER(AG136:AG332),ROW(AG136:AG332),"")))</f>
        <v>4.4500000000000028</v>
      </c>
      <c r="AI136" s="14">
        <f>IF('Données projet'!$A$62&gt;35,AI135+AH136-AQ135,IF(A136&lt;'Données projet'!$A$62,$AF$205^A136,IF(A136='Données projet'!$A$62,'Données projet'!$B$62,AI135+AH136-AQ135)))</f>
        <v>370.21999999999889</v>
      </c>
      <c r="AJ136" s="14">
        <f>AI136*VLOOKUP('Données projet'!$B$10,Paramètres!$A$1:$I$89,3,0)*VLOOKUP('Données projet'!$B$10,Paramètres!$A$1:$I$89,5,0)</f>
        <v>375.40307999999891</v>
      </c>
      <c r="AK136" s="14">
        <f t="shared" si="143"/>
        <v>86.771748488162302</v>
      </c>
      <c r="AL136" s="22">
        <f t="shared" si="112"/>
        <v>804.95449295021399</v>
      </c>
      <c r="AM136" s="62">
        <f t="shared" si="113"/>
        <v>1098.2878262835472</v>
      </c>
      <c r="AN136" s="62">
        <f ca="1">AVERAGE(OFFSET($AM$3,0,0,'Données projet'!$E$10+1,1))-AVERAGE(OFFSET($H$3,0,0,'Données projet'!$E$10+1,1))</f>
        <v>384.66322295929552</v>
      </c>
      <c r="AO136" s="62">
        <f t="shared" si="144"/>
        <v>248.53970183513286</v>
      </c>
      <c r="AP136" s="16">
        <f>IF(ISNA(VLOOKUP(A136,'Données projet'!$A$61:$I$81,3,0)),0,VLOOKUP(A136,'Données projet'!$A$61:$I$81,3,0))</f>
        <v>10</v>
      </c>
      <c r="AQ136" s="16">
        <f>IF(ISNA(VLOOKUP(A136,'Données projet'!$A$61:$I$81,4,0)),0,VLOOKUP(A136,'Données projet'!$A$61:$I$81,4,0))</f>
        <v>37.020000000000003</v>
      </c>
      <c r="AR136" s="17">
        <f>IF(ISNA(VLOOKUP(A136,'Données projet'!$A$61:$I$81,5,0)),0%,VLOOKUP(A136,'Données projet'!$A$61:$I$81,5,0)*VLOOKUP('Données projet'!$B$10,Paramètres!$A$1:$I$89,7,0))</f>
        <v>7.3099999999999998E-2</v>
      </c>
      <c r="AS136" s="17">
        <f>IF(ISNA(VLOOKUP(A136,'Données projet'!$A$61:$I$81,6,0)),0%,VLOOKUP(A136,'Données projet'!$A$61:$I$81,6,0)*VLOOKUP('Données projet'!$B$10,Paramètres!$A$1:$I$89,7,0))</f>
        <v>6.4500000000000002E-2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9.8616018618597572</v>
      </c>
      <c r="AV136" s="23">
        <f>EXP(-LN(2)/25)*AV135+(1-EXP(-LN(2)/25))/(LN(2)/25)*Calculateur!AQ136*Calculateur!AS136*VLOOKUP('Données projet'!$B$10,Paramètres!$A$1:$I$89,3,0)*0.475*44/12</f>
        <v>7.6416790318929069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17.503280893752663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343.79999999999995</v>
      </c>
      <c r="BE136" s="14">
        <f>BD136*VLOOKUP('Données projet'!$B$11,Paramètres!$A$1:$I$89,3,0)*VLOOKUP('Données projet'!$B$11,Paramètres!$A$1:$I$89,5,0)</f>
        <v>205.5924</v>
      </c>
      <c r="BF136" s="14">
        <f t="shared" si="145"/>
        <v>50.971228364263673</v>
      </c>
      <c r="BG136" s="22">
        <f t="shared" si="115"/>
        <v>446.84831940109251</v>
      </c>
      <c r="BH136" s="62">
        <f t="shared" si="116"/>
        <v>740.18165273442582</v>
      </c>
      <c r="BI136" s="62">
        <f ca="1">AVERAGE(OFFSET($BH$3,0,0,'Données projet'!$E$11+1,1))-AVERAGE(OFFSET($H$3,0,0,'Données projet'!$E$11+1,1))</f>
        <v>146.25807703055079</v>
      </c>
      <c r="BJ136" s="62">
        <f t="shared" si="146"/>
        <v>177.40137940534413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1.2385162503760501</v>
      </c>
      <c r="BQ136" s="23">
        <f>EXP(-LN(2)/25)*BQ135+(1-EXP(-LN(2)/25))/(LN(2)/25)*Calculateur!BL136*Calculateur!BN136*VLOOKUP('Données projet'!$B$11,Paramètres!$A$1:$I$89,3,0)*0.475*44/12</f>
        <v>0.56108386142982525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1.7996001118058753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760.1400000000001</v>
      </c>
      <c r="BZ136" s="14">
        <f>BY136*VLOOKUP('Données projet'!$B$12,Paramètres!$A$1:$I$89,3,0)*VLOOKUP('Données projet'!$B$12,Paramètres!$A$1:$I$89,5,0)</f>
        <v>355.74552000000006</v>
      </c>
      <c r="CA136" s="14">
        <f t="shared" si="147"/>
        <v>82.744450026504168</v>
      </c>
      <c r="CB136" s="22">
        <f t="shared" si="118"/>
        <v>763.70336446282818</v>
      </c>
      <c r="CC136" s="62">
        <f t="shared" si="119"/>
        <v>1057.0366977961614</v>
      </c>
      <c r="CD136" s="62">
        <f ca="1">AVERAGE(OFFSET($CC$3,0,0,'Données projet'!$E$12+1,1))-AVERAGE(OFFSET($H$3,0,0,'Données projet'!$E$12+1,1))</f>
        <v>287.12723448949828</v>
      </c>
      <c r="CE136" s="62">
        <f t="shared" si="148"/>
        <v>170.5203352323382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1.503267359136073</v>
      </c>
      <c r="CL136" s="23">
        <f>EXP(-LN(2)/25)*CL135+(1-EXP(-LN(2)/25))/(LN(2)/25)*Calculateur!CG136*Calculateur!CI136*VLOOKUP('Données projet'!$B$12,Paramètres!$A$1:$I$89,3,0)*0.475*44/12</f>
        <v>5.3060516869060086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6.8093190460420816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477.12000000000097</v>
      </c>
      <c r="CU136" s="18">
        <f>CT136*VLOOKUP('Données projet'!$B$13,Paramètres!$A$1:$I$89,3,0)*VLOOKUP('Données projet'!$B$13,Paramètres!$A$1:$I$89,5,0)</f>
        <v>461.47046400000096</v>
      </c>
      <c r="CV136" s="14">
        <f t="shared" si="149"/>
        <v>104.13329806929862</v>
      </c>
      <c r="CW136" s="22">
        <f t="shared" si="121"/>
        <v>985.09321893736342</v>
      </c>
      <c r="CX136" s="62">
        <f t="shared" si="122"/>
        <v>1278.4265522706967</v>
      </c>
      <c r="CY136" s="62">
        <f ca="1">AVERAGE(OFFSET($CX$3,0,0,'Données projet'!$E$13+1,1))-AVERAGE(OFFSET($H$3,0,0,'Données projet'!$E$13+1,1))</f>
        <v>467.37715054082025</v>
      </c>
      <c r="CZ136" s="62">
        <f t="shared" si="150"/>
        <v>443.35096563136415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1.3108188446710789</v>
      </c>
      <c r="DG136" s="23">
        <f>EXP(-LN(2)/25)*DG135+(1-EXP(-LN(2)/25))/(LN(2)/25)*Calculateur!DB136*Calculateur!DD136*VLOOKUP('Données projet'!$B$13,Paramètres!$A$1:$I$89,3,0)*0.475*44/12</f>
        <v>0.84146311308115351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2.1522819577522325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477.12000000000097</v>
      </c>
      <c r="DP136" s="18">
        <f>DO136*VLOOKUP('Données projet'!$B$14,Paramètres!$A$1:$I$89,3,0)*VLOOKUP('Données projet'!$B$14,Paramètres!$A$1:$I$89,5,0)</f>
        <v>513.57196800000099</v>
      </c>
      <c r="DQ136" s="14">
        <f t="shared" si="151"/>
        <v>114.45621584436451</v>
      </c>
      <c r="DR136" s="22">
        <f t="shared" si="124"/>
        <v>1093.8157535289363</v>
      </c>
      <c r="DS136" s="62">
        <f t="shared" si="125"/>
        <v>1387.1490868622695</v>
      </c>
      <c r="DT136" s="62">
        <f ca="1">AVERAGE(OFFSET($DS$3,0,0,'Données projet'!$E$14+1,1))-AVERAGE(OFFSET($H$3,0,0,'Données projet'!$E$14+1,1))</f>
        <v>524.51242549438939</v>
      </c>
      <c r="DU136" s="62">
        <f t="shared" si="152"/>
        <v>494.88778446576327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1.4588145206823284</v>
      </c>
      <c r="EB136" s="23">
        <f>EXP(-LN(2)/25)*EB135+(1-EXP(-LN(2)/25))/(LN(2)/25)*Calculateur!DW136*Calculateur!DY136*VLOOKUP('Données projet'!$B$14,Paramètres!$A$1:$I$89,3,0)*0.475*44/12</f>
        <v>0.936467012945155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2.3952815336274833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519.01412985052093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1.5491666666666646</v>
      </c>
      <c r="N137" s="14">
        <f>IF('Données projet'!$A$36&gt;35,N136+M137-V136,IF(A137&lt;'Données projet'!$A$36,$K$205^A137,IF(A137='Données projet'!$A$36,'Données projet'!$B$36,N136+M137-V136)))</f>
        <v>283.64916666666647</v>
      </c>
      <c r="O137" s="14">
        <f>N137*VLOOKUP('Données projet'!$B$9,Paramètres!$A$1:$I$89,3,0)*VLOOKUP('Données projet'!$B$9,Paramètres!$A$1:$I$89,5,0)</f>
        <v>256.64576599999981</v>
      </c>
      <c r="P137" s="14">
        <f t="shared" si="141"/>
        <v>62.006851384527124</v>
      </c>
      <c r="Q137" s="22">
        <f t="shared" si="108"/>
        <v>554.98664194471769</v>
      </c>
      <c r="R137" s="62">
        <f t="shared" si="109"/>
        <v>848.31997527805106</v>
      </c>
      <c r="S137" s="62">
        <f ca="1">AVERAGE(OFFSET($R$3,0,0,'Données projet'!$E$9+1,1))-AVERAGE(OFFSET($H$3,0,0,'Données projet'!$E$9+1,1))</f>
        <v>299.17641394512162</v>
      </c>
      <c r="T137" s="62">
        <f t="shared" si="142"/>
        <v>180.73046320039873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10.133968271465541</v>
      </c>
      <c r="AA137" s="23">
        <f>EXP(-LN(2)/25)*AA136+(1-EXP(-LN(2)/25))/(LN(2)/25)*Calculateur!V137*Calculateur!X137*VLOOKUP('Données projet'!$B$9,Paramètres!$A$1:$I$89,3,0)*0.475*44/12</f>
        <v>7.766436909422346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17.900405180887887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4.4499999999999984</v>
      </c>
      <c r="AI137" s="14">
        <f>IF('Données projet'!$A$62&gt;35,AI136+AH137-AQ136,IF(A137&lt;'Données projet'!$A$62,$AF$205^A137,IF(A137='Données projet'!$A$62,'Données projet'!$B$62,AI136+AH137-AQ136)))</f>
        <v>337.6499999999989</v>
      </c>
      <c r="AJ137" s="14">
        <f>AI137*VLOOKUP('Données projet'!$B$10,Paramètres!$A$1:$I$89,3,0)*VLOOKUP('Données projet'!$B$10,Paramètres!$A$1:$I$89,5,0)</f>
        <v>342.3770999999989</v>
      </c>
      <c r="AK137" s="14">
        <f t="shared" si="143"/>
        <v>79.990871009981859</v>
      </c>
      <c r="AL137" s="22">
        <f t="shared" si="112"/>
        <v>735.62421617571636</v>
      </c>
      <c r="AM137" s="62">
        <f t="shared" si="113"/>
        <v>1028.9575495090496</v>
      </c>
      <c r="AN137" s="62">
        <f ca="1">AVERAGE(OFFSET($AM$3,0,0,'Données projet'!$E$10+1,1))-AVERAGE(OFFSET($H$3,0,0,'Données projet'!$E$10+1,1))</f>
        <v>384.66322295929552</v>
      </c>
      <c r="AO137" s="62">
        <f t="shared" si="144"/>
        <v>248.53970183513286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9.6682218643318922</v>
      </c>
      <c r="AV137" s="23">
        <f>EXP(-LN(2)/25)*AV136+(1-EXP(-LN(2)/25))/(LN(2)/25)*Calculateur!AQ137*Calculateur!AS137*VLOOKUP('Données projet'!$B$10,Paramètres!$A$1:$I$89,3,0)*0.475*44/12</f>
        <v>7.4327169169073599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17.10093878123925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343.79999999999995</v>
      </c>
      <c r="BE137" s="14">
        <f>BD137*VLOOKUP('Données projet'!$B$11,Paramètres!$A$1:$I$89,3,0)*VLOOKUP('Données projet'!$B$11,Paramètres!$A$1:$I$89,5,0)</f>
        <v>205.5924</v>
      </c>
      <c r="BF137" s="14">
        <f t="shared" si="145"/>
        <v>50.971228364263673</v>
      </c>
      <c r="BG137" s="22">
        <f t="shared" si="115"/>
        <v>446.84831940109251</v>
      </c>
      <c r="BH137" s="62">
        <f t="shared" si="116"/>
        <v>740.18165273442582</v>
      </c>
      <c r="BI137" s="62">
        <f ca="1">AVERAGE(OFFSET($BH$3,0,0,'Données projet'!$E$11+1,1))-AVERAGE(OFFSET($H$3,0,0,'Données projet'!$E$11+1,1))</f>
        <v>146.25807703055079</v>
      </c>
      <c r="BJ137" s="62">
        <f t="shared" si="146"/>
        <v>177.40137940534413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1.2142297021264969</v>
      </c>
      <c r="BQ137" s="23">
        <f>EXP(-LN(2)/25)*BQ136+(1-EXP(-LN(2)/25))/(LN(2)/25)*Calculateur!BL137*Calculateur!BN137*VLOOKUP('Données projet'!$B$11,Paramètres!$A$1:$I$89,3,0)*0.475*44/12</f>
        <v>0.54574099373290874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1.7599706958594057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760.1400000000001</v>
      </c>
      <c r="BZ137" s="14">
        <f>BY137*VLOOKUP('Données projet'!$B$12,Paramètres!$A$1:$I$89,3,0)*VLOOKUP('Données projet'!$B$12,Paramètres!$A$1:$I$89,5,0)</f>
        <v>355.74552000000006</v>
      </c>
      <c r="CA137" s="14">
        <f t="shared" si="147"/>
        <v>82.744450026504168</v>
      </c>
      <c r="CB137" s="22">
        <f t="shared" si="118"/>
        <v>763.70336446282818</v>
      </c>
      <c r="CC137" s="62">
        <f t="shared" si="119"/>
        <v>1057.0366977961614</v>
      </c>
      <c r="CD137" s="62">
        <f ca="1">AVERAGE(OFFSET($CC$3,0,0,'Données projet'!$E$12+1,1))-AVERAGE(OFFSET($H$3,0,0,'Données projet'!$E$12+1,1))</f>
        <v>287.12723448949828</v>
      </c>
      <c r="CE137" s="62">
        <f t="shared" si="148"/>
        <v>170.5203352323382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1.4737892031259672</v>
      </c>
      <c r="CL137" s="23">
        <f>EXP(-LN(2)/25)*CL136+(1-EXP(-LN(2)/25))/(LN(2)/25)*Calculateur!CG137*Calculateur!CI137*VLOOKUP('Données projet'!$B$12,Paramètres!$A$1:$I$89,3,0)*0.475*44/12</f>
        <v>5.1609574244944323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6.6347466276203999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477.12000000000097</v>
      </c>
      <c r="CU137" s="18">
        <f>CT137*VLOOKUP('Données projet'!$B$13,Paramètres!$A$1:$I$89,3,0)*VLOOKUP('Données projet'!$B$13,Paramètres!$A$1:$I$89,5,0)</f>
        <v>461.47046400000096</v>
      </c>
      <c r="CV137" s="14">
        <f t="shared" si="149"/>
        <v>104.13329806929862</v>
      </c>
      <c r="CW137" s="22">
        <f t="shared" si="121"/>
        <v>985.09321893736342</v>
      </c>
      <c r="CX137" s="62">
        <f t="shared" si="122"/>
        <v>1278.4265522706967</v>
      </c>
      <c r="CY137" s="62">
        <f ca="1">AVERAGE(OFFSET($CX$3,0,0,'Données projet'!$E$13+1,1))-AVERAGE(OFFSET($H$3,0,0,'Données projet'!$E$13+1,1))</f>
        <v>467.37715054082025</v>
      </c>
      <c r="CZ137" s="62">
        <f t="shared" si="150"/>
        <v>443.35096563136415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1.2851144866476283</v>
      </c>
      <c r="DG137" s="23">
        <f>EXP(-LN(2)/25)*DG136+(1-EXP(-LN(2)/25))/(LN(2)/25)*Calculateur!DB137*Calculateur!DD137*VLOOKUP('Données projet'!$B$13,Paramètres!$A$1:$I$89,3,0)*0.475*44/12</f>
        <v>0.81845326000332741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2.1035677466509557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477.12000000000097</v>
      </c>
      <c r="DP137" s="18">
        <f>DO137*VLOOKUP('Données projet'!$B$14,Paramètres!$A$1:$I$89,3,0)*VLOOKUP('Données projet'!$B$14,Paramètres!$A$1:$I$89,5,0)</f>
        <v>513.57196800000099</v>
      </c>
      <c r="DQ137" s="14">
        <f t="shared" si="151"/>
        <v>114.45621584436451</v>
      </c>
      <c r="DR137" s="22">
        <f t="shared" si="124"/>
        <v>1093.8157535289363</v>
      </c>
      <c r="DS137" s="62">
        <f t="shared" si="125"/>
        <v>1387.1490868622695</v>
      </c>
      <c r="DT137" s="62">
        <f ca="1">AVERAGE(OFFSET($DS$3,0,0,'Données projet'!$E$14+1,1))-AVERAGE(OFFSET($H$3,0,0,'Données projet'!$E$14+1,1))</f>
        <v>524.51242549438939</v>
      </c>
      <c r="DU137" s="62">
        <f t="shared" si="152"/>
        <v>494.88778446576327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1.4302080577207461</v>
      </c>
      <c r="EB137" s="23">
        <f>EXP(-LN(2)/25)*EB136+(1-EXP(-LN(2)/25))/(LN(2)/25)*Calculateur!DW137*Calculateur!DY137*VLOOKUP('Données projet'!$B$14,Paramètres!$A$1:$I$89,3,0)*0.475*44/12</f>
        <v>0.91085927322950988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2.3410673309502559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520.9241677926841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1.5491666666666646</v>
      </c>
      <c r="N138" s="14">
        <f>IF('Données projet'!$A$36&gt;35,N137+M138-V137,IF(A138&lt;'Données projet'!$A$36,$K$205^A138,IF(A138='Données projet'!$A$36,'Données projet'!$B$36,N137+M138-V137)))</f>
        <v>285.19833333333315</v>
      </c>
      <c r="O138" s="14">
        <f>N138*VLOOKUP('Données projet'!$B$9,Paramètres!$A$1:$I$89,3,0)*VLOOKUP('Données projet'!$B$9,Paramètres!$A$1:$I$89,5,0)</f>
        <v>258.04745199999979</v>
      </c>
      <c r="P138" s="14">
        <f t="shared" si="141"/>
        <v>62.305991205832797</v>
      </c>
      <c r="Q138" s="22">
        <f t="shared" si="108"/>
        <v>557.94891358349184</v>
      </c>
      <c r="R138" s="62">
        <f t="shared" si="109"/>
        <v>851.28224691682522</v>
      </c>
      <c r="S138" s="62">
        <f ca="1">AVERAGE(OFFSET($R$3,0,0,'Données projet'!$E$9+1,1))-AVERAGE(OFFSET($H$3,0,0,'Données projet'!$E$9+1,1))</f>
        <v>299.17641394512162</v>
      </c>
      <c r="T138" s="62">
        <f t="shared" si="142"/>
        <v>180.73046320039873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9.9352473347724128</v>
      </c>
      <c r="AA138" s="23">
        <f>EXP(-LN(2)/25)*AA137+(1-EXP(-LN(2)/25))/(LN(2)/25)*Calculateur!V138*Calculateur!X138*VLOOKUP('Données projet'!$B$9,Paramètres!$A$1:$I$89,3,0)*0.475*44/12</f>
        <v>7.554063283715025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17.489310618487437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4.4499999999999984</v>
      </c>
      <c r="AI138" s="14">
        <f>IF('Données projet'!$A$62&gt;35,AI137+AH138-AQ137,IF(A138&lt;'Données projet'!$A$62,$AF$205^A138,IF(A138='Données projet'!$A$62,'Données projet'!$B$62,AI137+AH138-AQ137)))</f>
        <v>342.09999999999889</v>
      </c>
      <c r="AJ138" s="14">
        <f>AI138*VLOOKUP('Données projet'!$B$10,Paramètres!$A$1:$I$89,3,0)*VLOOKUP('Données projet'!$B$10,Paramètres!$A$1:$I$89,5,0)</f>
        <v>346.88939999999889</v>
      </c>
      <c r="AK138" s="14">
        <f t="shared" si="143"/>
        <v>80.921673991912101</v>
      </c>
      <c r="AL138" s="22">
        <f t="shared" si="112"/>
        <v>745.10428720257823</v>
      </c>
      <c r="AM138" s="62">
        <f t="shared" si="113"/>
        <v>1038.4376205359115</v>
      </c>
      <c r="AN138" s="62">
        <f ca="1">AVERAGE(OFFSET($AM$3,0,0,'Données projet'!$E$10+1,1))-AVERAGE(OFFSET($H$3,0,0,'Données projet'!$E$10+1,1))</f>
        <v>384.66322295929552</v>
      </c>
      <c r="AO138" s="62">
        <f t="shared" si="144"/>
        <v>248.53970183513286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9.4786339306053975</v>
      </c>
      <c r="AV138" s="23">
        <f>EXP(-LN(2)/25)*AV137+(1-EXP(-LN(2)/25))/(LN(2)/25)*Calculateur!AQ138*Calculateur!AS138*VLOOKUP('Données projet'!$B$10,Paramètres!$A$1:$I$89,3,0)*0.475*44/12</f>
        <v>7.2294688819449329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16.708102812550329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343.79999999999995</v>
      </c>
      <c r="BE138" s="14">
        <f>BD138*VLOOKUP('Données projet'!$B$11,Paramètres!$A$1:$I$89,3,0)*VLOOKUP('Données projet'!$B$11,Paramètres!$A$1:$I$89,5,0)</f>
        <v>205.5924</v>
      </c>
      <c r="BF138" s="14">
        <f t="shared" si="145"/>
        <v>50.971228364263673</v>
      </c>
      <c r="BG138" s="22">
        <f t="shared" si="115"/>
        <v>446.84831940109251</v>
      </c>
      <c r="BH138" s="62">
        <f t="shared" si="116"/>
        <v>740.18165273442582</v>
      </c>
      <c r="BI138" s="62">
        <f ca="1">AVERAGE(OFFSET($BH$3,0,0,'Données projet'!$E$11+1,1))-AVERAGE(OFFSET($H$3,0,0,'Données projet'!$E$11+1,1))</f>
        <v>146.25807703055079</v>
      </c>
      <c r="BJ138" s="62">
        <f t="shared" si="146"/>
        <v>177.40137940534413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1.1904193982747857</v>
      </c>
      <c r="BQ138" s="23">
        <f>EXP(-LN(2)/25)*BQ137+(1-EXP(-LN(2)/25))/(LN(2)/25)*Calculateur!BL138*Calculateur!BN138*VLOOKUP('Données projet'!$B$11,Paramètres!$A$1:$I$89,3,0)*0.475*44/12</f>
        <v>0.53081767756001075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1.7212370758347966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760.1400000000001</v>
      </c>
      <c r="BZ138" s="14">
        <f>BY138*VLOOKUP('Données projet'!$B$12,Paramètres!$A$1:$I$89,3,0)*VLOOKUP('Données projet'!$B$12,Paramètres!$A$1:$I$89,5,0)</f>
        <v>355.74552000000006</v>
      </c>
      <c r="CA138" s="14">
        <f t="shared" si="147"/>
        <v>82.744450026504168</v>
      </c>
      <c r="CB138" s="22">
        <f t="shared" si="118"/>
        <v>763.70336446282818</v>
      </c>
      <c r="CC138" s="62">
        <f t="shared" si="119"/>
        <v>1057.0366977961614</v>
      </c>
      <c r="CD138" s="62">
        <f ca="1">AVERAGE(OFFSET($CC$3,0,0,'Données projet'!$E$12+1,1))-AVERAGE(OFFSET($H$3,0,0,'Données projet'!$E$12+1,1))</f>
        <v>287.12723448949828</v>
      </c>
      <c r="CE138" s="62">
        <f t="shared" si="148"/>
        <v>170.5203352323382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1.4448890957753195</v>
      </c>
      <c r="CL138" s="23">
        <f>EXP(-LN(2)/25)*CL137+(1-EXP(-LN(2)/25))/(LN(2)/25)*Calculateur!CG138*Calculateur!CI138*VLOOKUP('Données projet'!$B$12,Paramètres!$A$1:$I$89,3,0)*0.475*44/12</f>
        <v>5.0198307723186764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6.4647198680939955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477.12000000000097</v>
      </c>
      <c r="CU138" s="18">
        <f>CT138*VLOOKUP('Données projet'!$B$13,Paramètres!$A$1:$I$89,3,0)*VLOOKUP('Données projet'!$B$13,Paramètres!$A$1:$I$89,5,0)</f>
        <v>461.47046400000096</v>
      </c>
      <c r="CV138" s="14">
        <f t="shared" si="149"/>
        <v>104.13329806929862</v>
      </c>
      <c r="CW138" s="22">
        <f t="shared" si="121"/>
        <v>985.09321893736342</v>
      </c>
      <c r="CX138" s="62">
        <f t="shared" si="122"/>
        <v>1278.4265522706967</v>
      </c>
      <c r="CY138" s="62">
        <f ca="1">AVERAGE(OFFSET($CX$3,0,0,'Données projet'!$E$13+1,1))-AVERAGE(OFFSET($H$3,0,0,'Données projet'!$E$13+1,1))</f>
        <v>467.37715054082025</v>
      </c>
      <c r="CZ138" s="62">
        <f t="shared" si="150"/>
        <v>443.35096563136415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1.2599141754069072</v>
      </c>
      <c r="DG138" s="23">
        <f>EXP(-LN(2)/25)*DG137+(1-EXP(-LN(2)/25))/(LN(2)/25)*Calculateur!DB138*Calculateur!DD138*VLOOKUP('Données projet'!$B$13,Paramètres!$A$1:$I$89,3,0)*0.475*44/12</f>
        <v>0.79607261256795003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2.0559867879748572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477.12000000000097</v>
      </c>
      <c r="DP138" s="18">
        <f>DO138*VLOOKUP('Données projet'!$B$14,Paramètres!$A$1:$I$89,3,0)*VLOOKUP('Données projet'!$B$14,Paramètres!$A$1:$I$89,5,0)</f>
        <v>513.57196800000099</v>
      </c>
      <c r="DQ138" s="14">
        <f t="shared" si="151"/>
        <v>114.45621584436451</v>
      </c>
      <c r="DR138" s="22">
        <f t="shared" si="124"/>
        <v>1093.8157535289363</v>
      </c>
      <c r="DS138" s="62">
        <f t="shared" si="125"/>
        <v>1387.1490868622695</v>
      </c>
      <c r="DT138" s="62">
        <f ca="1">AVERAGE(OFFSET($DS$3,0,0,'Données projet'!$E$14+1,1))-AVERAGE(OFFSET($H$3,0,0,'Données projet'!$E$14+1,1))</f>
        <v>524.51242549438939</v>
      </c>
      <c r="DU138" s="62">
        <f t="shared" si="152"/>
        <v>494.88778446576327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1.4021625500496211</v>
      </c>
      <c r="EB138" s="23">
        <f>EXP(-LN(2)/25)*EB137+(1-EXP(-LN(2)/25))/(LN(2)/25)*Calculateur!DW138*Calculateur!DY138*VLOOKUP('Données projet'!$B$14,Paramètres!$A$1:$I$89,3,0)*0.475*44/12</f>
        <v>0.88595177850304152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2.2881143285526626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522.83389430388831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1.5491666666666646</v>
      </c>
      <c r="N139" s="14">
        <f>IF('Données projet'!$A$36&gt;35,N138+M139-V138,IF(A139&lt;'Données projet'!$A$36,$K$205^A139,IF(A139='Données projet'!$A$36,'Données projet'!$B$36,N138+M139-V138)))</f>
        <v>286.74749999999983</v>
      </c>
      <c r="O139" s="14">
        <f>N139*VLOOKUP('Données projet'!$B$9,Paramètres!$A$1:$I$89,3,0)*VLOOKUP('Données projet'!$B$9,Paramètres!$A$1:$I$89,5,0)</f>
        <v>259.44913799999983</v>
      </c>
      <c r="P139" s="14">
        <f t="shared" si="141"/>
        <v>62.604941948119126</v>
      </c>
      <c r="Q139" s="22">
        <f t="shared" si="108"/>
        <v>560.91085590964042</v>
      </c>
      <c r="R139" s="62">
        <f t="shared" si="109"/>
        <v>854.24418924297379</v>
      </c>
      <c r="S139" s="62">
        <f ca="1">AVERAGE(OFFSET($R$3,0,0,'Données projet'!$E$9+1,1))-AVERAGE(OFFSET($H$3,0,0,'Données projet'!$E$9+1,1))</f>
        <v>299.17641394512162</v>
      </c>
      <c r="T139" s="62">
        <f t="shared" si="142"/>
        <v>180.73046320039873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9.7404231944400337</v>
      </c>
      <c r="AA139" s="23">
        <f>EXP(-LN(2)/25)*AA138+(1-EXP(-LN(2)/25))/(LN(2)/25)*Calculateur!V139*Calculateur!X139*VLOOKUP('Données projet'!$B$9,Paramètres!$A$1:$I$89,3,0)*0.475*44/12</f>
        <v>7.3474970259709149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17.08792022041095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4.4499999999999984</v>
      </c>
      <c r="AI139" s="14">
        <f>IF('Données projet'!$A$62&gt;35,AI138+AH139-AQ138,IF(A139&lt;'Données projet'!$A$62,$AF$205^A139,IF(A139='Données projet'!$A$62,'Données projet'!$B$62,AI138+AH139-AQ138)))</f>
        <v>346.54999999999887</v>
      </c>
      <c r="AJ139" s="14">
        <f>AI139*VLOOKUP('Données projet'!$B$10,Paramètres!$A$1:$I$89,3,0)*VLOOKUP('Données projet'!$B$10,Paramètres!$A$1:$I$89,5,0)</f>
        <v>351.40169999999887</v>
      </c>
      <c r="AK139" s="14">
        <f t="shared" si="143"/>
        <v>81.85106865208428</v>
      </c>
      <c r="AL139" s="22">
        <f t="shared" si="112"/>
        <v>754.58190540237808</v>
      </c>
      <c r="AM139" s="62">
        <f t="shared" si="113"/>
        <v>1047.9152387357115</v>
      </c>
      <c r="AN139" s="62">
        <f ca="1">AVERAGE(OFFSET($AM$3,0,0,'Données projet'!$E$10+1,1))-AVERAGE(OFFSET($H$3,0,0,'Données projet'!$E$10+1,1))</f>
        <v>384.66322295929552</v>
      </c>
      <c r="AO139" s="62">
        <f t="shared" si="144"/>
        <v>248.53970183513286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9.2927637006220571</v>
      </c>
      <c r="AV139" s="23">
        <f>EXP(-LN(2)/25)*AV138+(1-EXP(-LN(2)/25))/(LN(2)/25)*Calculateur!AQ139*Calculateur!AS139*VLOOKUP('Données projet'!$B$10,Paramètres!$A$1:$I$89,3,0)*0.475*44/12</f>
        <v>7.0317786751869029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16.32454237580896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343.79999999999995</v>
      </c>
      <c r="BE139" s="14">
        <f>BD139*VLOOKUP('Données projet'!$B$11,Paramètres!$A$1:$I$89,3,0)*VLOOKUP('Données projet'!$B$11,Paramètres!$A$1:$I$89,5,0)</f>
        <v>205.5924</v>
      </c>
      <c r="BF139" s="14">
        <f t="shared" si="145"/>
        <v>50.971228364263673</v>
      </c>
      <c r="BG139" s="22">
        <f t="shared" si="115"/>
        <v>446.84831940109251</v>
      </c>
      <c r="BH139" s="62">
        <f t="shared" si="116"/>
        <v>740.18165273442582</v>
      </c>
      <c r="BI139" s="62">
        <f ca="1">AVERAGE(OFFSET($BH$3,0,0,'Données projet'!$E$11+1,1))-AVERAGE(OFFSET($H$3,0,0,'Données projet'!$E$11+1,1))</f>
        <v>146.25807703055079</v>
      </c>
      <c r="BJ139" s="62">
        <f t="shared" si="146"/>
        <v>177.40137940534413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1.1670759999587552</v>
      </c>
      <c r="BQ139" s="23">
        <f>EXP(-LN(2)/25)*BQ138+(1-EXP(-LN(2)/25))/(LN(2)/25)*Calculateur!BL139*Calculateur!BN139*VLOOKUP('Données projet'!$B$11,Paramètres!$A$1:$I$89,3,0)*0.475*44/12</f>
        <v>0.51630244025264382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1.6833784402113992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760.1400000000001</v>
      </c>
      <c r="BZ139" s="14">
        <f>BY139*VLOOKUP('Données projet'!$B$12,Paramètres!$A$1:$I$89,3,0)*VLOOKUP('Données projet'!$B$12,Paramètres!$A$1:$I$89,5,0)</f>
        <v>355.74552000000006</v>
      </c>
      <c r="CA139" s="14">
        <f t="shared" si="147"/>
        <v>82.744450026504168</v>
      </c>
      <c r="CB139" s="22">
        <f t="shared" si="118"/>
        <v>763.70336446282818</v>
      </c>
      <c r="CC139" s="62">
        <f t="shared" si="119"/>
        <v>1057.0366977961614</v>
      </c>
      <c r="CD139" s="62">
        <f ca="1">AVERAGE(OFFSET($CC$3,0,0,'Données projet'!$E$12+1,1))-AVERAGE(OFFSET($H$3,0,0,'Données projet'!$E$12+1,1))</f>
        <v>287.12723448949828</v>
      </c>
      <c r="CE139" s="62">
        <f t="shared" si="148"/>
        <v>170.5203352323382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1.4165557019024932</v>
      </c>
      <c r="CL139" s="23">
        <f>EXP(-LN(2)/25)*CL138+(1-EXP(-LN(2)/25))/(LN(2)/25)*Calculateur!CG139*Calculateur!CI139*VLOOKUP('Données projet'!$B$12,Paramètres!$A$1:$I$89,3,0)*0.475*44/12</f>
        <v>4.8825632358681945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6.2991189377706878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477.12000000000097</v>
      </c>
      <c r="CU139" s="18">
        <f>CT139*VLOOKUP('Données projet'!$B$13,Paramètres!$A$1:$I$89,3,0)*VLOOKUP('Données projet'!$B$13,Paramètres!$A$1:$I$89,5,0)</f>
        <v>461.47046400000096</v>
      </c>
      <c r="CV139" s="14">
        <f t="shared" si="149"/>
        <v>104.13329806929862</v>
      </c>
      <c r="CW139" s="22">
        <f t="shared" si="121"/>
        <v>985.09321893736342</v>
      </c>
      <c r="CX139" s="62">
        <f t="shared" si="122"/>
        <v>1278.4265522706967</v>
      </c>
      <c r="CY139" s="62">
        <f ca="1">AVERAGE(OFFSET($CX$3,0,0,'Données projet'!$E$13+1,1))-AVERAGE(OFFSET($H$3,0,0,'Données projet'!$E$13+1,1))</f>
        <v>467.37715054082025</v>
      </c>
      <c r="CZ139" s="62">
        <f t="shared" si="150"/>
        <v>443.35096563136415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1.2352080268989445</v>
      </c>
      <c r="DG139" s="23">
        <f>EXP(-LN(2)/25)*DG138+(1-EXP(-LN(2)/25))/(LN(2)/25)*Calculateur!DB139*Calculateur!DD139*VLOOKUP('Données projet'!$B$13,Paramètres!$A$1:$I$89,3,0)*0.475*44/12</f>
        <v>0.77430396511364019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2.0095119920125848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477.12000000000097</v>
      </c>
      <c r="DP139" s="18">
        <f>DO139*VLOOKUP('Données projet'!$B$14,Paramètres!$A$1:$I$89,3,0)*VLOOKUP('Données projet'!$B$14,Paramètres!$A$1:$I$89,5,0)</f>
        <v>513.57196800000099</v>
      </c>
      <c r="DQ139" s="14">
        <f t="shared" si="151"/>
        <v>114.45621584436451</v>
      </c>
      <c r="DR139" s="22">
        <f t="shared" si="124"/>
        <v>1093.8157535289363</v>
      </c>
      <c r="DS139" s="62">
        <f t="shared" si="125"/>
        <v>1387.1490868622695</v>
      </c>
      <c r="DT139" s="62">
        <f ca="1">AVERAGE(OFFSET($DS$3,0,0,'Données projet'!$E$14+1,1))-AVERAGE(OFFSET($H$3,0,0,'Données projet'!$E$14+1,1))</f>
        <v>524.51242549438939</v>
      </c>
      <c r="DU139" s="62">
        <f t="shared" si="152"/>
        <v>494.88778446576327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1.3746669976778561</v>
      </c>
      <c r="EB139" s="23">
        <f>EXP(-LN(2)/25)*EB138+(1-EXP(-LN(2)/25))/(LN(2)/25)*Calculateur!DW139*Calculateur!DY139*VLOOKUP('Données projet'!$B$14,Paramètres!$A$1:$I$89,3,0)*0.475*44/12</f>
        <v>0.86172538052969672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2.2363923782075528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524.74331193956789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1.5491666666666646</v>
      </c>
      <c r="N140" s="14">
        <f>IF('Données projet'!$A$36&gt;35,N139+M140-V139,IF(A140&lt;'Données projet'!$A$36,$K$205^A140,IF(A140='Données projet'!$A$36,'Données projet'!$B$36,N139+M140-V139)))</f>
        <v>288.29666666666651</v>
      </c>
      <c r="O140" s="14">
        <f>N140*VLOOKUP('Données projet'!$B$9,Paramètres!$A$1:$I$89,3,0)*VLOOKUP('Données projet'!$B$9,Paramètres!$A$1:$I$89,5,0)</f>
        <v>260.85082399999988</v>
      </c>
      <c r="P140" s="14">
        <f t="shared" si="141"/>
        <v>62.903704751450505</v>
      </c>
      <c r="Q140" s="22">
        <f t="shared" si="108"/>
        <v>563.87247090877611</v>
      </c>
      <c r="R140" s="62">
        <f t="shared" si="109"/>
        <v>857.20580424210948</v>
      </c>
      <c r="S140" s="62">
        <f ca="1">AVERAGE(OFFSET($R$3,0,0,'Données projet'!$E$9+1,1))-AVERAGE(OFFSET($H$3,0,0,'Données projet'!$E$9+1,1))</f>
        <v>299.17641394512162</v>
      </c>
      <c r="T140" s="62">
        <f t="shared" si="142"/>
        <v>180.73046320039873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9.5494194366685807</v>
      </c>
      <c r="AA140" s="23">
        <f>EXP(-LN(2)/25)*AA139+(1-EXP(-LN(2)/25))/(LN(2)/25)*Calculateur!V140*Calculateur!X140*VLOOKUP('Données projet'!$B$9,Paramètres!$A$1:$I$89,3,0)*0.475*44/12</f>
        <v>7.1465793334076642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16.695998770076244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4.4499999999999984</v>
      </c>
      <c r="AI140" s="14">
        <f>IF('Données projet'!$A$62&gt;35,AI139+AH140-AQ139,IF(A140&lt;'Données projet'!$A$62,$AF$205^A140,IF(A140='Données projet'!$A$62,'Données projet'!$B$62,AI139+AH140-AQ139)))</f>
        <v>350.99999999999886</v>
      </c>
      <c r="AJ140" s="14">
        <f>AI140*VLOOKUP('Données projet'!$B$10,Paramètres!$A$1:$I$89,3,0)*VLOOKUP('Données projet'!$B$10,Paramètres!$A$1:$I$89,5,0)</f>
        <v>355.91399999999885</v>
      </c>
      <c r="AK140" s="14">
        <f t="shared" si="143"/>
        <v>82.779075165580366</v>
      </c>
      <c r="AL140" s="22">
        <f t="shared" si="112"/>
        <v>764.05710591338391</v>
      </c>
      <c r="AM140" s="62">
        <f t="shared" si="113"/>
        <v>1057.3904392467173</v>
      </c>
      <c r="AN140" s="62">
        <f ca="1">AVERAGE(OFFSET($AM$3,0,0,'Données projet'!$E$10+1,1))-AVERAGE(OFFSET($H$3,0,0,'Données projet'!$E$10+1,1))</f>
        <v>384.66322295929552</v>
      </c>
      <c r="AO140" s="62">
        <f t="shared" si="144"/>
        <v>248.53970183513286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9.1105382724790456</v>
      </c>
      <c r="AV140" s="23">
        <f>EXP(-LN(2)/25)*AV139+(1-EXP(-LN(2)/25))/(LN(2)/25)*Calculateur!AQ140*Calculateur!AS140*VLOOKUP('Données projet'!$B$10,Paramètres!$A$1:$I$89,3,0)*0.475*44/12</f>
        <v>6.8394943175287475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15.950032590007794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343.79999999999995</v>
      </c>
      <c r="BE140" s="14">
        <f>BD140*VLOOKUP('Données projet'!$B$11,Paramètres!$A$1:$I$89,3,0)*VLOOKUP('Données projet'!$B$11,Paramètres!$A$1:$I$89,5,0)</f>
        <v>205.5924</v>
      </c>
      <c r="BF140" s="14">
        <f t="shared" si="145"/>
        <v>50.971228364263673</v>
      </c>
      <c r="BG140" s="22">
        <f t="shared" si="115"/>
        <v>446.84831940109251</v>
      </c>
      <c r="BH140" s="62">
        <f t="shared" si="116"/>
        <v>740.18165273442582</v>
      </c>
      <c r="BI140" s="62">
        <f ca="1">AVERAGE(OFFSET($BH$3,0,0,'Données projet'!$E$11+1,1))-AVERAGE(OFFSET($H$3,0,0,'Données projet'!$E$11+1,1))</f>
        <v>146.25807703055079</v>
      </c>
      <c r="BJ140" s="62">
        <f t="shared" si="146"/>
        <v>177.40137940534413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1.1441903514456351</v>
      </c>
      <c r="BQ140" s="23">
        <f>EXP(-LN(2)/25)*BQ139+(1-EXP(-LN(2)/25))/(LN(2)/25)*Calculateur!BL140*Calculateur!BN140*VLOOKUP('Données projet'!$B$11,Paramètres!$A$1:$I$89,3,0)*0.475*44/12</f>
        <v>0.50218412287276992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1.646374474318405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760.1400000000001</v>
      </c>
      <c r="BZ140" s="14">
        <f>BY140*VLOOKUP('Données projet'!$B$12,Paramètres!$A$1:$I$89,3,0)*VLOOKUP('Données projet'!$B$12,Paramètres!$A$1:$I$89,5,0)</f>
        <v>355.74552000000006</v>
      </c>
      <c r="CA140" s="14">
        <f t="shared" si="147"/>
        <v>82.744450026504168</v>
      </c>
      <c r="CB140" s="22">
        <f t="shared" si="118"/>
        <v>763.70336446282818</v>
      </c>
      <c r="CC140" s="62">
        <f t="shared" si="119"/>
        <v>1057.0366977961614</v>
      </c>
      <c r="CD140" s="62">
        <f ca="1">AVERAGE(OFFSET($CC$3,0,0,'Données projet'!$E$12+1,1))-AVERAGE(OFFSET($H$3,0,0,'Données projet'!$E$12+1,1))</f>
        <v>287.12723448949828</v>
      </c>
      <c r="CE140" s="62">
        <f t="shared" si="148"/>
        <v>170.5203352323382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1.3887779086018492</v>
      </c>
      <c r="CL140" s="23">
        <f>EXP(-LN(2)/25)*CL139+(1-EXP(-LN(2)/25))/(LN(2)/25)*Calculateur!CG140*Calculateur!CI140*VLOOKUP('Données projet'!$B$12,Paramètres!$A$1:$I$89,3,0)*0.475*44/12</f>
        <v>4.7490492874205374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6.1378271960223865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477.12000000000097</v>
      </c>
      <c r="CU140" s="18">
        <f>CT140*VLOOKUP('Données projet'!$B$13,Paramètres!$A$1:$I$89,3,0)*VLOOKUP('Données projet'!$B$13,Paramètres!$A$1:$I$89,5,0)</f>
        <v>461.47046400000096</v>
      </c>
      <c r="CV140" s="14">
        <f t="shared" si="149"/>
        <v>104.13329806929862</v>
      </c>
      <c r="CW140" s="22">
        <f t="shared" si="121"/>
        <v>985.09321893736342</v>
      </c>
      <c r="CX140" s="62">
        <f t="shared" si="122"/>
        <v>1278.4265522706967</v>
      </c>
      <c r="CY140" s="62">
        <f ca="1">AVERAGE(OFFSET($CX$3,0,0,'Données projet'!$E$13+1,1))-AVERAGE(OFFSET($H$3,0,0,'Données projet'!$E$13+1,1))</f>
        <v>467.37715054082025</v>
      </c>
      <c r="CZ140" s="62">
        <f t="shared" si="150"/>
        <v>443.35096563136415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1.2109863508939602</v>
      </c>
      <c r="DG140" s="23">
        <f>EXP(-LN(2)/25)*DG139+(1-EXP(-LN(2)/25))/(LN(2)/25)*Calculateur!DB140*Calculateur!DD140*VLOOKUP('Données projet'!$B$13,Paramètres!$A$1:$I$89,3,0)*0.475*44/12</f>
        <v>0.75313058246873188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1.9641169333626922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477.12000000000097</v>
      </c>
      <c r="DP140" s="18">
        <f>DO140*VLOOKUP('Données projet'!$B$14,Paramètres!$A$1:$I$89,3,0)*VLOOKUP('Données projet'!$B$14,Paramètres!$A$1:$I$89,5,0)</f>
        <v>513.57196800000099</v>
      </c>
      <c r="DQ140" s="14">
        <f t="shared" si="151"/>
        <v>114.45621584436451</v>
      </c>
      <c r="DR140" s="22">
        <f t="shared" si="124"/>
        <v>1093.8157535289363</v>
      </c>
      <c r="DS140" s="62">
        <f t="shared" si="125"/>
        <v>1387.1490868622695</v>
      </c>
      <c r="DT140" s="62">
        <f ca="1">AVERAGE(OFFSET($DS$3,0,0,'Données projet'!$E$14+1,1))-AVERAGE(OFFSET($H$3,0,0,'Données projet'!$E$14+1,1))</f>
        <v>524.51242549438939</v>
      </c>
      <c r="DU140" s="62">
        <f t="shared" si="152"/>
        <v>494.88778446576327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1.3477106163174704</v>
      </c>
      <c r="EB140" s="23">
        <f>EXP(-LN(2)/25)*EB139+(1-EXP(-LN(2)/25))/(LN(2)/25)*Calculateur!DW140*Calculateur!DY140*VLOOKUP('Données projet'!$B$14,Paramètres!$A$1:$I$89,3,0)*0.475*44/12</f>
        <v>0.8381614546829439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2.1858720710004143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526.65242321569622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1.5491666666666646</v>
      </c>
      <c r="N141" s="14">
        <f>IF('Données projet'!$A$36&gt;35,N140+M141-V140,IF(A141&lt;'Données projet'!$A$36,$K$205^A141,IF(A141='Données projet'!$A$36,'Données projet'!$B$36,N140+M141-V140)))</f>
        <v>289.84583333333319</v>
      </c>
      <c r="O141" s="14">
        <f>N141*VLOOKUP('Données projet'!$B$9,Paramètres!$A$1:$I$89,3,0)*VLOOKUP('Données projet'!$B$9,Paramètres!$A$1:$I$89,5,0)</f>
        <v>262.25250999999986</v>
      </c>
      <c r="P141" s="14">
        <f t="shared" si="141"/>
        <v>63.202280742929737</v>
      </c>
      <c r="Q141" s="22">
        <f t="shared" si="108"/>
        <v>566.83376054393568</v>
      </c>
      <c r="R141" s="62">
        <f t="shared" si="109"/>
        <v>860.16709387726905</v>
      </c>
      <c r="S141" s="62">
        <f ca="1">AVERAGE(OFFSET($R$3,0,0,'Données projet'!$E$9+1,1))-AVERAGE(OFFSET($H$3,0,0,'Données projet'!$E$9+1,1))</f>
        <v>299.17641394512162</v>
      </c>
      <c r="T141" s="62">
        <f t="shared" si="142"/>
        <v>180.73046320039873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9.3621611460862368</v>
      </c>
      <c r="AA141" s="23">
        <f>EXP(-LN(2)/25)*AA140+(1-EXP(-LN(2)/25))/(LN(2)/25)*Calculateur!V141*Calculateur!X141*VLOOKUP('Données projet'!$B$9,Paramètres!$A$1:$I$89,3,0)*0.475*44/12</f>
        <v>6.9511557457133586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16.313316891799595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4.4499999999999984</v>
      </c>
      <c r="AI141" s="14">
        <f>IF('Données projet'!$A$62&gt;35,AI140+AH141-AQ140,IF(A141&lt;'Données projet'!$A$62,$AF$205^A141,IF(A141='Données projet'!$A$62,'Données projet'!$B$62,AI140+AH141-AQ140)))</f>
        <v>355.44999999999885</v>
      </c>
      <c r="AJ141" s="14">
        <f>AI141*VLOOKUP('Données projet'!$B$10,Paramètres!$A$1:$I$89,3,0)*VLOOKUP('Données projet'!$B$10,Paramètres!$A$1:$I$89,5,0)</f>
        <v>360.42629999999883</v>
      </c>
      <c r="AK141" s="14">
        <f t="shared" si="143"/>
        <v>83.705713166503685</v>
      </c>
      <c r="AL141" s="22">
        <f t="shared" si="112"/>
        <v>773.52992293165846</v>
      </c>
      <c r="AM141" s="62">
        <f t="shared" si="113"/>
        <v>1066.8632562649918</v>
      </c>
      <c r="AN141" s="62">
        <f ca="1">AVERAGE(OFFSET($AM$3,0,0,'Données projet'!$E$10+1,1))-AVERAGE(OFFSET($H$3,0,0,'Données projet'!$E$10+1,1))</f>
        <v>384.66322295929552</v>
      </c>
      <c r="AO141" s="62">
        <f t="shared" si="144"/>
        <v>248.53970183513286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8.9318861738353821</v>
      </c>
      <c r="AV141" s="23">
        <f>EXP(-LN(2)/25)*AV140+(1-EXP(-LN(2)/25))/(LN(2)/25)*Calculateur!AQ141*Calculateur!AS141*VLOOKUP('Données projet'!$B$10,Paramètres!$A$1:$I$89,3,0)*0.475*44/12</f>
        <v>6.6524679857425495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15.584354159577931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343.79999999999995</v>
      </c>
      <c r="BE141" s="14">
        <f>BD141*VLOOKUP('Données projet'!$B$11,Paramètres!$A$1:$I$89,3,0)*VLOOKUP('Données projet'!$B$11,Paramètres!$A$1:$I$89,5,0)</f>
        <v>205.5924</v>
      </c>
      <c r="BF141" s="14">
        <f t="shared" si="145"/>
        <v>50.971228364263673</v>
      </c>
      <c r="BG141" s="22">
        <f t="shared" si="115"/>
        <v>446.84831940109251</v>
      </c>
      <c r="BH141" s="62">
        <f t="shared" si="116"/>
        <v>740.18165273442582</v>
      </c>
      <c r="BI141" s="62">
        <f ca="1">AVERAGE(OFFSET($BH$3,0,0,'Données projet'!$E$11+1,1))-AVERAGE(OFFSET($H$3,0,0,'Données projet'!$E$11+1,1))</f>
        <v>146.25807703055079</v>
      </c>
      <c r="BJ141" s="62">
        <f t="shared" si="146"/>
        <v>177.40137940534413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1.12175347654099</v>
      </c>
      <c r="BQ141" s="23">
        <f>EXP(-LN(2)/25)*BQ140+(1-EXP(-LN(2)/25))/(LN(2)/25)*Calculateur!BL141*Calculateur!BN141*VLOOKUP('Données projet'!$B$11,Paramètres!$A$1:$I$89,3,0)*0.475*44/12</f>
        <v>0.48845187162409875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1.6102053481650889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760.1400000000001</v>
      </c>
      <c r="BZ141" s="14">
        <f>BY141*VLOOKUP('Données projet'!$B$12,Paramètres!$A$1:$I$89,3,0)*VLOOKUP('Données projet'!$B$12,Paramètres!$A$1:$I$89,5,0)</f>
        <v>355.74552000000006</v>
      </c>
      <c r="CA141" s="14">
        <f t="shared" si="147"/>
        <v>82.744450026504168</v>
      </c>
      <c r="CB141" s="22">
        <f t="shared" si="118"/>
        <v>763.70336446282818</v>
      </c>
      <c r="CC141" s="62">
        <f t="shared" si="119"/>
        <v>1057.0366977961614</v>
      </c>
      <c r="CD141" s="62">
        <f ca="1">AVERAGE(OFFSET($CC$3,0,0,'Données projet'!$E$12+1,1))-AVERAGE(OFFSET($H$3,0,0,'Données projet'!$E$12+1,1))</f>
        <v>287.12723448949828</v>
      </c>
      <c r="CE141" s="62">
        <f t="shared" si="148"/>
        <v>170.5203352323382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1.36154482088505</v>
      </c>
      <c r="CL141" s="23">
        <f>EXP(-LN(2)/25)*CL140+(1-EXP(-LN(2)/25))/(LN(2)/25)*Calculateur!CG141*Calculateur!CI141*VLOOKUP('Données projet'!$B$12,Paramètres!$A$1:$I$89,3,0)*0.475*44/12</f>
        <v>4.6191862849143748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5.9807311057994248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477.12000000000097</v>
      </c>
      <c r="CU141" s="18">
        <f>CT141*VLOOKUP('Données projet'!$B$13,Paramètres!$A$1:$I$89,3,0)*VLOOKUP('Données projet'!$B$13,Paramètres!$A$1:$I$89,5,0)</f>
        <v>461.47046400000096</v>
      </c>
      <c r="CV141" s="14">
        <f t="shared" si="149"/>
        <v>104.13329806929862</v>
      </c>
      <c r="CW141" s="22">
        <f t="shared" si="121"/>
        <v>985.09321893736342</v>
      </c>
      <c r="CX141" s="62">
        <f t="shared" si="122"/>
        <v>1278.4265522706967</v>
      </c>
      <c r="CY141" s="62">
        <f ca="1">AVERAGE(OFFSET($CX$3,0,0,'Données projet'!$E$13+1,1))-AVERAGE(OFFSET($H$3,0,0,'Données projet'!$E$13+1,1))</f>
        <v>467.37715054082025</v>
      </c>
      <c r="CZ141" s="62">
        <f t="shared" si="150"/>
        <v>443.35096563136415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1.1872396471816702</v>
      </c>
      <c r="DG141" s="23">
        <f>EXP(-LN(2)/25)*DG140+(1-EXP(-LN(2)/25))/(LN(2)/25)*Calculateur!DB141*Calculateur!DD141*VLOOKUP('Données projet'!$B$13,Paramètres!$A$1:$I$89,3,0)*0.475*44/12</f>
        <v>0.73253618708570833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1.9197758342673785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477.12000000000097</v>
      </c>
      <c r="DP141" s="18">
        <f>DO141*VLOOKUP('Données projet'!$B$14,Paramètres!$A$1:$I$89,3,0)*VLOOKUP('Données projet'!$B$14,Paramètres!$A$1:$I$89,5,0)</f>
        <v>513.57196800000099</v>
      </c>
      <c r="DQ141" s="14">
        <f t="shared" si="151"/>
        <v>114.45621584436451</v>
      </c>
      <c r="DR141" s="22">
        <f t="shared" si="124"/>
        <v>1093.8157535289363</v>
      </c>
      <c r="DS141" s="62">
        <f t="shared" si="125"/>
        <v>1387.1490868622695</v>
      </c>
      <c r="DT141" s="62">
        <f ca="1">AVERAGE(OFFSET($DS$3,0,0,'Données projet'!$E$14+1,1))-AVERAGE(OFFSET($H$3,0,0,'Données projet'!$E$14+1,1))</f>
        <v>524.51242549438939</v>
      </c>
      <c r="DU141" s="62">
        <f t="shared" si="152"/>
        <v>494.88778446576327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1.3212828331537927</v>
      </c>
      <c r="EB141" s="23">
        <f>EXP(-LN(2)/25)*EB140+(1-EXP(-LN(2)/25))/(LN(2)/25)*Calculateur!DW141*Calculateur!DY141*VLOOKUP('Données projet'!$B$14,Paramètres!$A$1:$I$89,3,0)*0.475*44/12</f>
        <v>0.81524188562764355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2.1365247187814362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528.56123060967593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1.5491666666666646</v>
      </c>
      <c r="N142" s="14">
        <f>IF('Données projet'!$A$36&gt;35,N141+M142-V141,IF(A142&lt;'Données projet'!$A$36,$K$205^A142,IF(A142='Données projet'!$A$36,'Données projet'!$B$36,N141+M142-V141)))</f>
        <v>291.39499999999987</v>
      </c>
      <c r="O142" s="14">
        <f>N142*VLOOKUP('Données projet'!$B$9,Paramètres!$A$1:$I$89,3,0)*VLOOKUP('Données projet'!$B$9,Paramètres!$A$1:$I$89,5,0)</f>
        <v>263.65419599999984</v>
      </c>
      <c r="P142" s="14">
        <f t="shared" si="141"/>
        <v>63.500671036913971</v>
      </c>
      <c r="Q142" s="22">
        <f t="shared" si="108"/>
        <v>569.7947267559581</v>
      </c>
      <c r="R142" s="62">
        <f t="shared" si="109"/>
        <v>863.12806008929147</v>
      </c>
      <c r="S142" s="62">
        <f ca="1">AVERAGE(OFFSET($R$3,0,0,'Données projet'!$E$9+1,1))-AVERAGE(OFFSET($H$3,0,0,'Données projet'!$E$9+1,1))</f>
        <v>299.17641394512162</v>
      </c>
      <c r="T142" s="62">
        <f t="shared" si="142"/>
        <v>180.73046320039873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9.1785748763659338</v>
      </c>
      <c r="AA142" s="23">
        <f>EXP(-LN(2)/25)*AA141+(1-EXP(-LN(2)/25))/(LN(2)/25)*Calculateur!V142*Calculateur!X142*VLOOKUP('Données projet'!$B$9,Paramètres!$A$1:$I$89,3,0)*0.475*44/12</f>
        <v>6.7610760263014331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15.939650902667367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4.4499999999999984</v>
      </c>
      <c r="AI142" s="14">
        <f>IF('Données projet'!$A$62&gt;35,AI141+AH142-AQ141,IF(A142&lt;'Données projet'!$A$62,$AF$205^A142,IF(A142='Données projet'!$A$62,'Données projet'!$B$62,AI141+AH142-AQ141)))</f>
        <v>359.89999999999884</v>
      </c>
      <c r="AJ142" s="14">
        <f>AI142*VLOOKUP('Données projet'!$B$10,Paramètres!$A$1:$I$89,3,0)*VLOOKUP('Données projet'!$B$10,Paramètres!$A$1:$I$89,5,0)</f>
        <v>364.93859999999887</v>
      </c>
      <c r="AK142" s="14">
        <f t="shared" si="143"/>
        <v>84.631001769072142</v>
      </c>
      <c r="AL142" s="22">
        <f t="shared" si="112"/>
        <v>783.00038974779864</v>
      </c>
      <c r="AM142" s="62">
        <f t="shared" si="113"/>
        <v>1076.3337230811319</v>
      </c>
      <c r="AN142" s="62">
        <f ca="1">AVERAGE(OFFSET($AM$3,0,0,'Données projet'!$E$10+1,1))-AVERAGE(OFFSET($H$3,0,0,'Données projet'!$E$10+1,1))</f>
        <v>384.66322295929552</v>
      </c>
      <c r="AO142" s="62">
        <f t="shared" si="144"/>
        <v>248.53970183513286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8.7567373338790997</v>
      </c>
      <c r="AV142" s="23">
        <f>EXP(-LN(2)/25)*AV141+(1-EXP(-LN(2)/25))/(LN(2)/25)*Calculateur!AQ142*Calculateur!AS142*VLOOKUP('Données projet'!$B$10,Paramètres!$A$1:$I$89,3,0)*0.475*44/12</f>
        <v>6.4705558988343324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15.227293232713432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343.79999999999995</v>
      </c>
      <c r="BE142" s="14">
        <f>BD142*VLOOKUP('Données projet'!$B$11,Paramètres!$A$1:$I$89,3,0)*VLOOKUP('Données projet'!$B$11,Paramètres!$A$1:$I$89,5,0)</f>
        <v>205.5924</v>
      </c>
      <c r="BF142" s="14">
        <f t="shared" si="145"/>
        <v>50.971228364263673</v>
      </c>
      <c r="BG142" s="22">
        <f t="shared" si="115"/>
        <v>446.84831940109251</v>
      </c>
      <c r="BH142" s="62">
        <f t="shared" si="116"/>
        <v>740.18165273442582</v>
      </c>
      <c r="BI142" s="62">
        <f ca="1">AVERAGE(OFFSET($BH$3,0,0,'Données projet'!$E$11+1,1))-AVERAGE(OFFSET($H$3,0,0,'Données projet'!$E$11+1,1))</f>
        <v>146.25807703055079</v>
      </c>
      <c r="BJ142" s="62">
        <f t="shared" si="146"/>
        <v>177.40137940534413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1.0997565750680824</v>
      </c>
      <c r="BQ142" s="23">
        <f>EXP(-LN(2)/25)*BQ141+(1-EXP(-LN(2)/25))/(LN(2)/25)*Calculateur!BL142*Calculateur!BN142*VLOOKUP('Données projet'!$B$11,Paramètres!$A$1:$I$89,3,0)*0.475*44/12</f>
        <v>0.47509512950797023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1.5748517045760526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760.1400000000001</v>
      </c>
      <c r="BZ142" s="14">
        <f>BY142*VLOOKUP('Données projet'!$B$12,Paramètres!$A$1:$I$89,3,0)*VLOOKUP('Données projet'!$B$12,Paramètres!$A$1:$I$89,5,0)</f>
        <v>355.74552000000006</v>
      </c>
      <c r="CA142" s="14">
        <f t="shared" si="147"/>
        <v>82.744450026504168</v>
      </c>
      <c r="CB142" s="22">
        <f t="shared" si="118"/>
        <v>763.70336446282818</v>
      </c>
      <c r="CC142" s="62">
        <f t="shared" si="119"/>
        <v>1057.0366977961614</v>
      </c>
      <c r="CD142" s="62">
        <f ca="1">AVERAGE(OFFSET($CC$3,0,0,'Données projet'!$E$12+1,1))-AVERAGE(OFFSET($H$3,0,0,'Données projet'!$E$12+1,1))</f>
        <v>287.12723448949828</v>
      </c>
      <c r="CE142" s="62">
        <f t="shared" si="148"/>
        <v>170.5203352323382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1.3348457574078338</v>
      </c>
      <c r="CL142" s="23">
        <f>EXP(-LN(2)/25)*CL141+(1-EXP(-LN(2)/25))/(LN(2)/25)*Calculateur!CG142*Calculateur!CI142*VLOOKUP('Données projet'!$B$12,Paramètres!$A$1:$I$89,3,0)*0.475*44/12</f>
        <v>4.4928743930409416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5.8277201504487754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477.12000000000097</v>
      </c>
      <c r="CU142" s="18">
        <f>CT142*VLOOKUP('Données projet'!$B$13,Paramètres!$A$1:$I$89,3,0)*VLOOKUP('Données projet'!$B$13,Paramètres!$A$1:$I$89,5,0)</f>
        <v>461.47046400000096</v>
      </c>
      <c r="CV142" s="14">
        <f t="shared" si="149"/>
        <v>104.13329806929862</v>
      </c>
      <c r="CW142" s="22">
        <f t="shared" si="121"/>
        <v>985.09321893736342</v>
      </c>
      <c r="CX142" s="62">
        <f t="shared" si="122"/>
        <v>1278.4265522706967</v>
      </c>
      <c r="CY142" s="62">
        <f ca="1">AVERAGE(OFFSET($CX$3,0,0,'Données projet'!$E$13+1,1))-AVERAGE(OFFSET($H$3,0,0,'Données projet'!$E$13+1,1))</f>
        <v>467.37715054082025</v>
      </c>
      <c r="CZ142" s="62">
        <f t="shared" si="150"/>
        <v>443.35096563136415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1.1639586018451191</v>
      </c>
      <c r="DG142" s="23">
        <f>EXP(-LN(2)/25)*DG141+(1-EXP(-LN(2)/25))/(LN(2)/25)*Calculateur!DB142*Calculateur!DD142*VLOOKUP('Données projet'!$B$13,Paramètres!$A$1:$I$89,3,0)*0.475*44/12</f>
        <v>0.71250494652744578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1.8764635483725649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477.12000000000097</v>
      </c>
      <c r="DP142" s="18">
        <f>DO142*VLOOKUP('Données projet'!$B$14,Paramètres!$A$1:$I$89,3,0)*VLOOKUP('Données projet'!$B$14,Paramètres!$A$1:$I$89,5,0)</f>
        <v>513.57196800000099</v>
      </c>
      <c r="DQ142" s="14">
        <f t="shared" si="151"/>
        <v>114.45621584436451</v>
      </c>
      <c r="DR142" s="22">
        <f t="shared" si="124"/>
        <v>1093.8157535289363</v>
      </c>
      <c r="DS142" s="62">
        <f t="shared" si="125"/>
        <v>1387.1490868622695</v>
      </c>
      <c r="DT142" s="62">
        <f ca="1">AVERAGE(OFFSET($DS$3,0,0,'Données projet'!$E$14+1,1))-AVERAGE(OFFSET($H$3,0,0,'Données projet'!$E$14+1,1))</f>
        <v>524.51242549438939</v>
      </c>
      <c r="DU142" s="62">
        <f t="shared" si="152"/>
        <v>494.88778446576327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1.2953732826985986</v>
      </c>
      <c r="EB142" s="23">
        <f>EXP(-LN(2)/25)*EB141+(1-EXP(-LN(2)/25))/(LN(2)/25)*Calculateur!DW142*Calculateur!DY142*VLOOKUP('Données projet'!$B$14,Paramètres!$A$1:$I$89,3,0)*0.475*44/12</f>
        <v>0.79294905339344812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2.0883223360920469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530.4697365612044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1.5491666666666646</v>
      </c>
      <c r="N143" s="14">
        <f>IF('Données projet'!$A$36&gt;35,N142+M143-V142,IF(A143&lt;'Données projet'!$A$36,$K$205^A143,IF(A143='Données projet'!$A$36,'Données projet'!$B$36,N142+M143-V142)))</f>
        <v>292.94416666666655</v>
      </c>
      <c r="O143" s="14">
        <f>N143*VLOOKUP('Données projet'!$B$9,Paramètres!$A$1:$I$89,3,0)*VLOOKUP('Données projet'!$B$9,Paramètres!$A$1:$I$89,5,0)</f>
        <v>265.05588199999988</v>
      </c>
      <c r="P143" s="14">
        <f t="shared" si="141"/>
        <v>63.79887673522579</v>
      </c>
      <c r="Q143" s="22">
        <f t="shared" si="108"/>
        <v>572.75537146385136</v>
      </c>
      <c r="R143" s="62">
        <f t="shared" si="109"/>
        <v>866.08870479718462</v>
      </c>
      <c r="S143" s="62">
        <f ca="1">AVERAGE(OFFSET($R$3,0,0,'Données projet'!$E$9+1,1))-AVERAGE(OFFSET($H$3,0,0,'Données projet'!$E$9+1,1))</f>
        <v>299.17641394512162</v>
      </c>
      <c r="T143" s="62">
        <f t="shared" si="142"/>
        <v>180.73046320039873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8.9985886214182784</v>
      </c>
      <c r="AA143" s="23">
        <f>EXP(-LN(2)/25)*AA142+(1-EXP(-LN(2)/25))/(LN(2)/25)*Calculateur!V143*Calculateur!X143*VLOOKUP('Données projet'!$B$9,Paramètres!$A$1:$I$89,3,0)*0.475*44/12</f>
        <v>6.5761940468126845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15.574782668230963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4.4499999999999984</v>
      </c>
      <c r="AI143" s="14">
        <f>IF('Données projet'!$A$62&gt;35,AI142+AH143-AQ142,IF(A143&lt;'Données projet'!$A$62,$AF$205^A143,IF(A143='Données projet'!$A$62,'Données projet'!$B$62,AI142+AH143-AQ142)))</f>
        <v>364.34999999999883</v>
      </c>
      <c r="AJ143" s="14">
        <f>AI143*VLOOKUP('Données projet'!$B$10,Paramètres!$A$1:$I$89,3,0)*VLOOKUP('Données projet'!$B$10,Paramètres!$A$1:$I$89,5,0)</f>
        <v>369.45089999999885</v>
      </c>
      <c r="AK143" s="14">
        <f t="shared" si="143"/>
        <v>85.554959587638066</v>
      </c>
      <c r="AL143" s="22">
        <f t="shared" si="112"/>
        <v>792.46853878180093</v>
      </c>
      <c r="AM143" s="62">
        <f t="shared" si="113"/>
        <v>1085.8018721151343</v>
      </c>
      <c r="AN143" s="62">
        <f ca="1">AVERAGE(OFFSET($AM$3,0,0,'Données projet'!$E$10+1,1))-AVERAGE(OFFSET($H$3,0,0,'Données projet'!$E$10+1,1))</f>
        <v>384.66322295929552</v>
      </c>
      <c r="AO143" s="62">
        <f t="shared" si="144"/>
        <v>248.53970183513286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8.5850230558441165</v>
      </c>
      <c r="AV143" s="23">
        <f>EXP(-LN(2)/25)*AV142+(1-EXP(-LN(2)/25))/(LN(2)/25)*Calculateur!AQ143*Calculateur!AS143*VLOOKUP('Données projet'!$B$10,Paramètres!$A$1:$I$89,3,0)*0.475*44/12</f>
        <v>6.2936182075089615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14.878641263353078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343.79999999999995</v>
      </c>
      <c r="BE143" s="14">
        <f>BD143*VLOOKUP('Données projet'!$B$11,Paramètres!$A$1:$I$89,3,0)*VLOOKUP('Données projet'!$B$11,Paramètres!$A$1:$I$89,5,0)</f>
        <v>205.5924</v>
      </c>
      <c r="BF143" s="14">
        <f t="shared" si="145"/>
        <v>50.971228364263673</v>
      </c>
      <c r="BG143" s="22">
        <f t="shared" si="115"/>
        <v>446.84831940109251</v>
      </c>
      <c r="BH143" s="62">
        <f t="shared" si="116"/>
        <v>740.18165273442582</v>
      </c>
      <c r="BI143" s="62">
        <f ca="1">AVERAGE(OFFSET($BH$3,0,0,'Données projet'!$E$11+1,1))-AVERAGE(OFFSET($H$3,0,0,'Données projet'!$E$11+1,1))</f>
        <v>146.25807703055079</v>
      </c>
      <c r="BJ143" s="62">
        <f t="shared" si="146"/>
        <v>177.40137940534413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1.0781910194162736</v>
      </c>
      <c r="BQ143" s="23">
        <f>EXP(-LN(2)/25)*BQ142+(1-EXP(-LN(2)/25))/(LN(2)/25)*Calculateur!BL143*Calculateur!BN143*VLOOKUP('Données projet'!$B$11,Paramètres!$A$1:$I$89,3,0)*0.475*44/12</f>
        <v>0.46210362820740775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1.5402946476236814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760.1400000000001</v>
      </c>
      <c r="BZ143" s="14">
        <f>BY143*VLOOKUP('Données projet'!$B$12,Paramètres!$A$1:$I$89,3,0)*VLOOKUP('Données projet'!$B$12,Paramètres!$A$1:$I$89,5,0)</f>
        <v>355.74552000000006</v>
      </c>
      <c r="CA143" s="14">
        <f t="shared" si="147"/>
        <v>82.744450026504168</v>
      </c>
      <c r="CB143" s="22">
        <f t="shared" si="118"/>
        <v>763.70336446282818</v>
      </c>
      <c r="CC143" s="62">
        <f t="shared" si="119"/>
        <v>1057.0366977961614</v>
      </c>
      <c r="CD143" s="62">
        <f ca="1">AVERAGE(OFFSET($CC$3,0,0,'Données projet'!$E$12+1,1))-AVERAGE(OFFSET($H$3,0,0,'Données projet'!$E$12+1,1))</f>
        <v>287.12723448949828</v>
      </c>
      <c r="CE143" s="62">
        <f t="shared" si="148"/>
        <v>170.5203352323382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1.308670246280585</v>
      </c>
      <c r="CL143" s="23">
        <f>EXP(-LN(2)/25)*CL142+(1-EXP(-LN(2)/25))/(LN(2)/25)*Calculateur!CG143*Calculateur!CI143*VLOOKUP('Données projet'!$B$12,Paramètres!$A$1:$I$89,3,0)*0.475*44/12</f>
        <v>4.3700165064932417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5.6786867527738263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477.12000000000097</v>
      </c>
      <c r="CU143" s="18">
        <f>CT143*VLOOKUP('Données projet'!$B$13,Paramètres!$A$1:$I$89,3,0)*VLOOKUP('Données projet'!$B$13,Paramètres!$A$1:$I$89,5,0)</f>
        <v>461.47046400000096</v>
      </c>
      <c r="CV143" s="14">
        <f t="shared" si="149"/>
        <v>104.13329806929862</v>
      </c>
      <c r="CW143" s="22">
        <f t="shared" si="121"/>
        <v>985.09321893736342</v>
      </c>
      <c r="CX143" s="62">
        <f t="shared" si="122"/>
        <v>1278.4265522706967</v>
      </c>
      <c r="CY143" s="62">
        <f ca="1">AVERAGE(OFFSET($CX$3,0,0,'Données projet'!$E$13+1,1))-AVERAGE(OFFSET($H$3,0,0,'Données projet'!$E$13+1,1))</f>
        <v>467.37715054082025</v>
      </c>
      <c r="CZ143" s="62">
        <f t="shared" si="150"/>
        <v>443.35096563136415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1.1411340836075823</v>
      </c>
      <c r="DG143" s="23">
        <f>EXP(-LN(2)/25)*DG142+(1-EXP(-LN(2)/25))/(LN(2)/25)*Calculateur!DB143*Calculateur!DD143*VLOOKUP('Données projet'!$B$13,Paramètres!$A$1:$I$89,3,0)*0.475*44/12</f>
        <v>0.69302146129564612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1.8341555449032283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477.12000000000097</v>
      </c>
      <c r="DP143" s="18">
        <f>DO143*VLOOKUP('Données projet'!$B$14,Paramètres!$A$1:$I$89,3,0)*VLOOKUP('Données projet'!$B$14,Paramètres!$A$1:$I$89,5,0)</f>
        <v>513.57196800000099</v>
      </c>
      <c r="DQ143" s="14">
        <f t="shared" si="151"/>
        <v>114.45621584436451</v>
      </c>
      <c r="DR143" s="22">
        <f t="shared" si="124"/>
        <v>1093.8157535289363</v>
      </c>
      <c r="DS143" s="62">
        <f t="shared" si="125"/>
        <v>1387.1490868622695</v>
      </c>
      <c r="DT143" s="62">
        <f ca="1">AVERAGE(OFFSET($DS$3,0,0,'Données projet'!$E$14+1,1))-AVERAGE(OFFSET($H$3,0,0,'Données projet'!$E$14+1,1))</f>
        <v>524.51242549438939</v>
      </c>
      <c r="DU143" s="62">
        <f t="shared" si="152"/>
        <v>494.88778446576327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1.2699718027245657</v>
      </c>
      <c r="EB143" s="23">
        <f>EXP(-LN(2)/25)*EB142+(1-EXP(-LN(2)/25))/(LN(2)/25)*Calculateur!DW143*Calculateur!DY143*VLOOKUP('Données projet'!$B$14,Paramètres!$A$1:$I$89,3,0)*0.475*44/12</f>
        <v>0.77126581982902587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2.0412376225535915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532.3779434731116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1.5491666666666646</v>
      </c>
      <c r="N144" s="14">
        <f>IF('Données projet'!$A$36&gt;35,N143+M144-V143,IF(A144&lt;'Données projet'!$A$36,$K$205^A144,IF(A144='Données projet'!$A$36,'Données projet'!$B$36,N143+M144-V143)))</f>
        <v>294.49333333333323</v>
      </c>
      <c r="O144" s="14">
        <f>N144*VLOOKUP('Données projet'!$B$9,Paramètres!$A$1:$I$89,3,0)*VLOOKUP('Données projet'!$B$9,Paramètres!$A$1:$I$89,5,0)</f>
        <v>266.45756799999992</v>
      </c>
      <c r="P144" s="14">
        <f t="shared" si="141"/>
        <v>64.096898927359589</v>
      </c>
      <c r="Q144" s="22">
        <f t="shared" si="108"/>
        <v>575.71569656515112</v>
      </c>
      <c r="R144" s="62">
        <f t="shared" si="109"/>
        <v>869.04902989848438</v>
      </c>
      <c r="S144" s="62">
        <f ca="1">AVERAGE(OFFSET($R$3,0,0,'Données projet'!$E$9+1,1))-AVERAGE(OFFSET($H$3,0,0,'Données projet'!$E$9+1,1))</f>
        <v>299.17641394512162</v>
      </c>
      <c r="T144" s="62">
        <f t="shared" si="142"/>
        <v>180.73046320039873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8.8221317871493703</v>
      </c>
      <c r="AA144" s="23">
        <f>EXP(-LN(2)/25)*AA143+(1-EXP(-LN(2)/25))/(LN(2)/25)*Calculateur!V144*Calculateur!X144*VLOOKUP('Données projet'!$B$9,Paramètres!$A$1:$I$89,3,0)*0.475*44/12</f>
        <v>6.3963676747755764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15.218499461924946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4.4499999999999984</v>
      </c>
      <c r="AI144" s="14">
        <f>IF('Données projet'!$A$62&gt;35,AI143+AH144-AQ143,IF(A144&lt;'Données projet'!$A$62,$AF$205^A144,IF(A144='Données projet'!$A$62,'Données projet'!$B$62,AI143+AH144-AQ143)))</f>
        <v>368.79999999999882</v>
      </c>
      <c r="AJ144" s="14">
        <f>AI144*VLOOKUP('Données projet'!$B$10,Paramètres!$A$1:$I$89,3,0)*VLOOKUP('Données projet'!$B$10,Paramètres!$A$1:$I$89,5,0)</f>
        <v>373.96319999999884</v>
      </c>
      <c r="AK144" s="14">
        <f t="shared" si="143"/>
        <v>86.477604755703467</v>
      </c>
      <c r="AL144" s="22">
        <f t="shared" si="112"/>
        <v>801.93440161618139</v>
      </c>
      <c r="AM144" s="62">
        <f t="shared" si="113"/>
        <v>1095.2677349495148</v>
      </c>
      <c r="AN144" s="62">
        <f ca="1">AVERAGE(OFFSET($AM$3,0,0,'Données projet'!$E$10+1,1))-AVERAGE(OFFSET($H$3,0,0,'Données projet'!$E$10+1,1))</f>
        <v>384.66322295929552</v>
      </c>
      <c r="AO144" s="62">
        <f t="shared" si="144"/>
        <v>248.53970183513286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8.4166759900660306</v>
      </c>
      <c r="AV144" s="23">
        <f>EXP(-LN(2)/25)*AV143+(1-EXP(-LN(2)/25))/(LN(2)/25)*Calculateur!AQ144*Calculateur!AS144*VLOOKUP('Données projet'!$B$10,Paramètres!$A$1:$I$89,3,0)*0.475*44/12</f>
        <v>6.1215188866576318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14.538194876723662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343.79999999999995</v>
      </c>
      <c r="BE144" s="14">
        <f>BD144*VLOOKUP('Données projet'!$B$11,Paramètres!$A$1:$I$89,3,0)*VLOOKUP('Données projet'!$B$11,Paramètres!$A$1:$I$89,5,0)</f>
        <v>205.5924</v>
      </c>
      <c r="BF144" s="14">
        <f t="shared" si="145"/>
        <v>50.971228364263673</v>
      </c>
      <c r="BG144" s="22">
        <f t="shared" si="115"/>
        <v>446.84831940109251</v>
      </c>
      <c r="BH144" s="62">
        <f t="shared" si="116"/>
        <v>740.18165273442582</v>
      </c>
      <c r="BI144" s="62">
        <f ca="1">AVERAGE(OFFSET($BH$3,0,0,'Données projet'!$E$11+1,1))-AVERAGE(OFFSET($H$3,0,0,'Données projet'!$E$11+1,1))</f>
        <v>146.25807703055079</v>
      </c>
      <c r="BJ144" s="62">
        <f t="shared" si="146"/>
        <v>177.40137940534413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1.0570483511571065</v>
      </c>
      <c r="BQ144" s="23">
        <f>EXP(-LN(2)/25)*BQ143+(1-EXP(-LN(2)/25))/(LN(2)/25)*Calculateur!BL144*Calculateur!BN144*VLOOKUP('Données projet'!$B$11,Paramètres!$A$1:$I$89,3,0)*0.475*44/12</f>
        <v>0.44946738019310251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1.5065157313502091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760.1400000000001</v>
      </c>
      <c r="BZ144" s="14">
        <f>BY144*VLOOKUP('Données projet'!$B$12,Paramètres!$A$1:$I$89,3,0)*VLOOKUP('Données projet'!$B$12,Paramètres!$A$1:$I$89,5,0)</f>
        <v>355.74552000000006</v>
      </c>
      <c r="CA144" s="14">
        <f t="shared" si="147"/>
        <v>82.744450026504168</v>
      </c>
      <c r="CB144" s="22">
        <f t="shared" si="118"/>
        <v>763.70336446282818</v>
      </c>
      <c r="CC144" s="62">
        <f t="shared" si="119"/>
        <v>1057.0366977961614</v>
      </c>
      <c r="CD144" s="62">
        <f ca="1">AVERAGE(OFFSET($CC$3,0,0,'Données projet'!$E$12+1,1))-AVERAGE(OFFSET($H$3,0,0,'Données projet'!$E$12+1,1))</f>
        <v>287.12723448949828</v>
      </c>
      <c r="CE144" s="62">
        <f t="shared" si="148"/>
        <v>170.5203352323382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1.2830080209610564</v>
      </c>
      <c r="CL144" s="23">
        <f>EXP(-LN(2)/25)*CL143+(1-EXP(-LN(2)/25))/(LN(2)/25)*Calculateur!CG144*Calculateur!CI144*VLOOKUP('Données projet'!$B$12,Paramètres!$A$1:$I$89,3,0)*0.475*44/12</f>
        <v>4.2505181753140038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5.5335261962750604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477.12000000000097</v>
      </c>
      <c r="CU144" s="18">
        <f>CT144*VLOOKUP('Données projet'!$B$13,Paramètres!$A$1:$I$89,3,0)*VLOOKUP('Données projet'!$B$13,Paramètres!$A$1:$I$89,5,0)</f>
        <v>461.47046400000096</v>
      </c>
      <c r="CV144" s="14">
        <f t="shared" si="149"/>
        <v>104.13329806929862</v>
      </c>
      <c r="CW144" s="22">
        <f t="shared" si="121"/>
        <v>985.09321893736342</v>
      </c>
      <c r="CX144" s="62">
        <f t="shared" si="122"/>
        <v>1278.4265522706967</v>
      </c>
      <c r="CY144" s="62">
        <f ca="1">AVERAGE(OFFSET($CX$3,0,0,'Données projet'!$E$13+1,1))-AVERAGE(OFFSET($H$3,0,0,'Données projet'!$E$13+1,1))</f>
        <v>467.37715054082025</v>
      </c>
      <c r="CZ144" s="62">
        <f t="shared" si="150"/>
        <v>443.35096563136415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1.1187571402511021</v>
      </c>
      <c r="DG144" s="23">
        <f>EXP(-LN(2)/25)*DG143+(1-EXP(-LN(2)/25))/(LN(2)/25)*Calculateur!DB144*Calculateur!DD144*VLOOKUP('Données projet'!$B$13,Paramètres!$A$1:$I$89,3,0)*0.475*44/12</f>
        <v>0.67407075299210195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1.792827893243204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477.12000000000097</v>
      </c>
      <c r="DP144" s="18">
        <f>DO144*VLOOKUP('Données projet'!$B$14,Paramètres!$A$1:$I$89,3,0)*VLOOKUP('Données projet'!$B$14,Paramètres!$A$1:$I$89,5,0)</f>
        <v>513.57196800000099</v>
      </c>
      <c r="DQ144" s="14">
        <f t="shared" si="151"/>
        <v>114.45621584436451</v>
      </c>
      <c r="DR144" s="22">
        <f t="shared" si="124"/>
        <v>1093.8157535289363</v>
      </c>
      <c r="DS144" s="62">
        <f t="shared" si="125"/>
        <v>1387.1490868622695</v>
      </c>
      <c r="DT144" s="62">
        <f ca="1">AVERAGE(OFFSET($DS$3,0,0,'Données projet'!$E$14+1,1))-AVERAGE(OFFSET($H$3,0,0,'Données projet'!$E$14+1,1))</f>
        <v>524.51242549438939</v>
      </c>
      <c r="DU144" s="62">
        <f t="shared" si="152"/>
        <v>494.88778446576327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1.2450684302794506</v>
      </c>
      <c r="EB144" s="23">
        <f>EXP(-LN(2)/25)*EB143+(1-EXP(-LN(2)/25))/(LN(2)/25)*Calculateur!DW144*Calculateur!DY144*VLOOKUP('Données projet'!$B$14,Paramètres!$A$1:$I$89,3,0)*0.475*44/12</f>
        <v>0.75017551542669447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1.9952439457061451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534.28585371217559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1.5491666666666646</v>
      </c>
      <c r="N145" s="14">
        <f>IF('Données projet'!$A$36&gt;35,N144+M145-V144,IF(A145&lt;'Données projet'!$A$36,$K$205^A145,IF(A145='Données projet'!$A$36,'Données projet'!$B$36,N144+M145-V144)))</f>
        <v>296.0424999999999</v>
      </c>
      <c r="O145" s="14">
        <f>N145*VLOOKUP('Données projet'!$B$9,Paramètres!$A$1:$I$89,3,0)*VLOOKUP('Données projet'!$B$9,Paramètres!$A$1:$I$89,5,0)</f>
        <v>267.85925399999991</v>
      </c>
      <c r="P145" s="14">
        <f t="shared" si="141"/>
        <v>64.394738690683809</v>
      </c>
      <c r="Q145" s="22">
        <f t="shared" si="108"/>
        <v>578.6757039362742</v>
      </c>
      <c r="R145" s="62">
        <f t="shared" si="109"/>
        <v>872.00903726960746</v>
      </c>
      <c r="S145" s="62">
        <f ca="1">AVERAGE(OFFSET($R$3,0,0,'Données projet'!$E$9+1,1))-AVERAGE(OFFSET($H$3,0,0,'Données projet'!$E$9+1,1))</f>
        <v>299.17641394512162</v>
      </c>
      <c r="T145" s="62">
        <f t="shared" si="142"/>
        <v>180.73046320039873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8.649135163772435</v>
      </c>
      <c r="AA145" s="23">
        <f>EXP(-LN(2)/25)*AA144+(1-EXP(-LN(2)/25))/(LN(2)/25)*Calculateur!V145*Calculateur!X145*VLOOKUP('Données projet'!$B$9,Paramètres!$A$1:$I$89,3,0)*0.475*44/12</f>
        <v>6.2214586643384813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14.870593828110916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4.4499999999999984</v>
      </c>
      <c r="AI145" s="14">
        <f>IF('Données projet'!$A$62&gt;35,AI144+AH145-AQ144,IF(A145&lt;'Données projet'!$A$62,$AF$205^A145,IF(A145='Données projet'!$A$62,'Données projet'!$B$62,AI144+AH145-AQ144)))</f>
        <v>373.24999999999881</v>
      </c>
      <c r="AJ145" s="14">
        <f>AI145*VLOOKUP('Données projet'!$B$10,Paramètres!$A$1:$I$89,3,0)*VLOOKUP('Données projet'!$B$10,Paramètres!$A$1:$I$89,5,0)</f>
        <v>378.47549999999882</v>
      </c>
      <c r="AK145" s="14">
        <f t="shared" si="143"/>
        <v>87.398954943989594</v>
      </c>
      <c r="AL145" s="22">
        <f t="shared" si="112"/>
        <v>811.39800902744639</v>
      </c>
      <c r="AM145" s="62">
        <f t="shared" si="113"/>
        <v>1104.7313423607798</v>
      </c>
      <c r="AN145" s="62">
        <f ca="1">AVERAGE(OFFSET($AM$3,0,0,'Données projet'!$E$10+1,1))-AVERAGE(OFFSET($H$3,0,0,'Données projet'!$E$10+1,1))</f>
        <v>384.66322295929552</v>
      </c>
      <c r="AO145" s="62">
        <f t="shared" si="144"/>
        <v>248.53970183513286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8.2516301075662817</v>
      </c>
      <c r="AV145" s="23">
        <f>EXP(-LN(2)/25)*AV144+(1-EXP(-LN(2)/25))/(LN(2)/25)*Calculateur!AQ145*Calculateur!AS145*VLOOKUP('Données projet'!$B$10,Paramètres!$A$1:$I$89,3,0)*0.475*44/12</f>
        <v>5.9541256307852919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14.205755738351574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343.79999999999995</v>
      </c>
      <c r="BE145" s="14">
        <f>BD145*VLOOKUP('Données projet'!$B$11,Paramètres!$A$1:$I$89,3,0)*VLOOKUP('Données projet'!$B$11,Paramètres!$A$1:$I$89,5,0)</f>
        <v>205.5924</v>
      </c>
      <c r="BF145" s="14">
        <f t="shared" si="145"/>
        <v>50.971228364263673</v>
      </c>
      <c r="BG145" s="22">
        <f t="shared" si="115"/>
        <v>446.84831940109251</v>
      </c>
      <c r="BH145" s="62">
        <f t="shared" si="116"/>
        <v>740.18165273442582</v>
      </c>
      <c r="BI145" s="62">
        <f ca="1">AVERAGE(OFFSET($BH$3,0,0,'Données projet'!$E$11+1,1))-AVERAGE(OFFSET($H$3,0,0,'Données projet'!$E$11+1,1))</f>
        <v>146.25807703055079</v>
      </c>
      <c r="BJ145" s="62">
        <f t="shared" si="146"/>
        <v>177.40137940534413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1.0363202777267475</v>
      </c>
      <c r="BQ145" s="23">
        <f>EXP(-LN(2)/25)*BQ144+(1-EXP(-LN(2)/25))/(LN(2)/25)*Calculateur!BL145*Calculateur!BN145*VLOOKUP('Données projet'!$B$11,Paramètres!$A$1:$I$89,3,0)*0.475*44/12</f>
        <v>0.43717667104525987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1.4734969487720073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760.1400000000001</v>
      </c>
      <c r="BZ145" s="14">
        <f>BY145*VLOOKUP('Données projet'!$B$12,Paramètres!$A$1:$I$89,3,0)*VLOOKUP('Données projet'!$B$12,Paramètres!$A$1:$I$89,5,0)</f>
        <v>355.74552000000006</v>
      </c>
      <c r="CA145" s="14">
        <f t="shared" si="147"/>
        <v>82.744450026504168</v>
      </c>
      <c r="CB145" s="22">
        <f t="shared" si="118"/>
        <v>763.70336446282818</v>
      </c>
      <c r="CC145" s="62">
        <f t="shared" si="119"/>
        <v>1057.0366977961614</v>
      </c>
      <c r="CD145" s="62">
        <f ca="1">AVERAGE(OFFSET($CC$3,0,0,'Données projet'!$E$12+1,1))-AVERAGE(OFFSET($H$3,0,0,'Données projet'!$E$12+1,1))</f>
        <v>287.12723448949828</v>
      </c>
      <c r="CE145" s="62">
        <f t="shared" si="148"/>
        <v>170.5203352323382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1.2578490162276317</v>
      </c>
      <c r="CL145" s="23">
        <f>EXP(-LN(2)/25)*CL144+(1-EXP(-LN(2)/25))/(LN(2)/25)*Calculateur!CG145*Calculateur!CI145*VLOOKUP('Données projet'!$B$12,Paramètres!$A$1:$I$89,3,0)*0.475*44/12</f>
        <v>4.1342875322850059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5.3921365485126378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477.12000000000097</v>
      </c>
      <c r="CU145" s="18">
        <f>CT145*VLOOKUP('Données projet'!$B$13,Paramètres!$A$1:$I$89,3,0)*VLOOKUP('Données projet'!$B$13,Paramètres!$A$1:$I$89,5,0)</f>
        <v>461.47046400000096</v>
      </c>
      <c r="CV145" s="14">
        <f t="shared" si="149"/>
        <v>104.13329806929862</v>
      </c>
      <c r="CW145" s="22">
        <f t="shared" si="121"/>
        <v>985.09321893736342</v>
      </c>
      <c r="CX145" s="62">
        <f t="shared" si="122"/>
        <v>1278.4265522706967</v>
      </c>
      <c r="CY145" s="62">
        <f ca="1">AVERAGE(OFFSET($CX$3,0,0,'Données projet'!$E$13+1,1))-AVERAGE(OFFSET($H$3,0,0,'Données projet'!$E$13+1,1))</f>
        <v>467.37715054082025</v>
      </c>
      <c r="CZ145" s="62">
        <f t="shared" si="150"/>
        <v>443.35096563136415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1.0968189951052547</v>
      </c>
      <c r="DG145" s="23">
        <f>EXP(-LN(2)/25)*DG144+(1-EXP(-LN(2)/25))/(LN(2)/25)*Calculateur!DB145*Calculateur!DD145*VLOOKUP('Données projet'!$B$13,Paramètres!$A$1:$I$89,3,0)*0.475*44/12</f>
        <v>0.65563825280369259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1.7524572479089473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477.12000000000097</v>
      </c>
      <c r="DP145" s="18">
        <f>DO145*VLOOKUP('Données projet'!$B$14,Paramètres!$A$1:$I$89,3,0)*VLOOKUP('Données projet'!$B$14,Paramètres!$A$1:$I$89,5,0)</f>
        <v>513.57196800000099</v>
      </c>
      <c r="DQ145" s="14">
        <f t="shared" si="151"/>
        <v>114.45621584436451</v>
      </c>
      <c r="DR145" s="22">
        <f t="shared" si="124"/>
        <v>1093.8157535289363</v>
      </c>
      <c r="DS145" s="62">
        <f t="shared" si="125"/>
        <v>1387.1490868622695</v>
      </c>
      <c r="DT145" s="62">
        <f ca="1">AVERAGE(OFFSET($DS$3,0,0,'Données projet'!$E$14+1,1))-AVERAGE(OFFSET($H$3,0,0,'Données projet'!$E$14+1,1))</f>
        <v>524.51242549438939</v>
      </c>
      <c r="DU145" s="62">
        <f t="shared" si="152"/>
        <v>494.88778446576327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1.2206533977784269</v>
      </c>
      <c r="EB145" s="23">
        <f>EXP(-LN(2)/25)*EB144+(1-EXP(-LN(2)/25))/(LN(2)/25)*Calculateur!DW145*Calculateur!DY145*VLOOKUP('Données projet'!$B$14,Paramètres!$A$1:$I$89,3,0)*0.475*44/12</f>
        <v>0.72966192650733575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1.9503153242857625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536.19346960991265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1.5491666666666646</v>
      </c>
      <c r="N146" s="14">
        <f>IF('Données projet'!$A$36&gt;35,N145+M146-V145,IF(A146&lt;'Données projet'!$A$36,$K$205^A146,IF(A146='Données projet'!$A$36,'Données projet'!$B$36,N145+M146-V145)))</f>
        <v>297.59166666666658</v>
      </c>
      <c r="O146" s="14">
        <f>N146*VLOOKUP('Données projet'!$B$9,Paramètres!$A$1:$I$89,3,0)*VLOOKUP('Données projet'!$B$9,Paramètres!$A$1:$I$89,5,0)</f>
        <v>269.26093999999989</v>
      </c>
      <c r="P146" s="14">
        <f t="shared" si="141"/>
        <v>64.692397090638579</v>
      </c>
      <c r="Q146" s="22">
        <f t="shared" si="108"/>
        <v>581.63539543286197</v>
      </c>
      <c r="R146" s="62">
        <f t="shared" si="109"/>
        <v>874.96872876619523</v>
      </c>
      <c r="S146" s="62">
        <f ca="1">AVERAGE(OFFSET($R$3,0,0,'Données projet'!$E$9+1,1))-AVERAGE(OFFSET($H$3,0,0,'Données projet'!$E$9+1,1))</f>
        <v>299.17641394512162</v>
      </c>
      <c r="T146" s="62">
        <f t="shared" si="142"/>
        <v>180.73046320039873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8.4795308986624001</v>
      </c>
      <c r="AA146" s="23">
        <f>EXP(-LN(2)/25)*AA145+(1-EXP(-LN(2)/25))/(LN(2)/25)*Calculateur!V146*Calculateur!X146*VLOOKUP('Données projet'!$B$9,Paramètres!$A$1:$I$89,3,0)*0.475*44/12</f>
        <v>6.051332549989854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14.530863448652255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4.4499999999999984</v>
      </c>
      <c r="AI146" s="14">
        <f>IF('Données projet'!$A$62&gt;35,AI145+AH146-AQ145,IF(A146&lt;'Données projet'!$A$62,$AF$205^A146,IF(A146='Données projet'!$A$62,'Données projet'!$B$62,AI145+AH146-AQ145)))</f>
        <v>377.69999999999879</v>
      </c>
      <c r="AJ146" s="14">
        <f>AI146*VLOOKUP('Données projet'!$B$10,Paramètres!$A$1:$I$89,3,0)*VLOOKUP('Données projet'!$B$10,Paramètres!$A$1:$I$89,5,0)</f>
        <v>382.9877999999988</v>
      </c>
      <c r="AK146" s="14">
        <f t="shared" si="143"/>
        <v>88.319027377621495</v>
      </c>
      <c r="AL146" s="22">
        <f t="shared" si="112"/>
        <v>820.85939101602196</v>
      </c>
      <c r="AM146" s="62">
        <f t="shared" si="113"/>
        <v>1114.1927243493553</v>
      </c>
      <c r="AN146" s="62">
        <f ca="1">AVERAGE(OFFSET($AM$3,0,0,'Données projet'!$E$10+1,1))-AVERAGE(OFFSET($H$3,0,0,'Données projet'!$E$10+1,1))</f>
        <v>384.66322295929552</v>
      </c>
      <c r="AO146" s="62">
        <f t="shared" si="144"/>
        <v>248.53970183513286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8.0898206741543053</v>
      </c>
      <c r="AV146" s="23">
        <f>EXP(-LN(2)/25)*AV145+(1-EXP(-LN(2)/25))/(LN(2)/25)*Calculateur!AQ146*Calculateur!AS146*VLOOKUP('Données projet'!$B$10,Paramètres!$A$1:$I$89,3,0)*0.475*44/12</f>
        <v>5.7913097522976091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13.881130426451914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343.79999999999995</v>
      </c>
      <c r="BE146" s="14">
        <f>BD146*VLOOKUP('Données projet'!$B$11,Paramètres!$A$1:$I$89,3,0)*VLOOKUP('Données projet'!$B$11,Paramètres!$A$1:$I$89,5,0)</f>
        <v>205.5924</v>
      </c>
      <c r="BF146" s="14">
        <f t="shared" si="145"/>
        <v>50.971228364263673</v>
      </c>
      <c r="BG146" s="22">
        <f t="shared" si="115"/>
        <v>446.84831940109251</v>
      </c>
      <c r="BH146" s="62">
        <f t="shared" si="116"/>
        <v>740.18165273442582</v>
      </c>
      <c r="BI146" s="62">
        <f ca="1">AVERAGE(OFFSET($BH$3,0,0,'Données projet'!$E$11+1,1))-AVERAGE(OFFSET($H$3,0,0,'Données projet'!$E$11+1,1))</f>
        <v>146.25807703055079</v>
      </c>
      <c r="BJ146" s="62">
        <f t="shared" si="146"/>
        <v>177.40137940534413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1.0159986691734815</v>
      </c>
      <c r="BQ146" s="23">
        <f>EXP(-LN(2)/25)*BQ145+(1-EXP(-LN(2)/25))/(LN(2)/25)*Calculateur!BL146*Calculateur!BN146*VLOOKUP('Données projet'!$B$11,Paramètres!$A$1:$I$89,3,0)*0.475*44/12</f>
        <v>0.4252220519854053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1.4412207211588868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760.1400000000001</v>
      </c>
      <c r="BZ146" s="14">
        <f>BY146*VLOOKUP('Données projet'!$B$12,Paramètres!$A$1:$I$89,3,0)*VLOOKUP('Données projet'!$B$12,Paramètres!$A$1:$I$89,5,0)</f>
        <v>355.74552000000006</v>
      </c>
      <c r="CA146" s="14">
        <f t="shared" si="147"/>
        <v>82.744450026504168</v>
      </c>
      <c r="CB146" s="22">
        <f t="shared" si="118"/>
        <v>763.70336446282818</v>
      </c>
      <c r="CC146" s="62">
        <f t="shared" si="119"/>
        <v>1057.0366977961614</v>
      </c>
      <c r="CD146" s="62">
        <f ca="1">AVERAGE(OFFSET($CC$3,0,0,'Données projet'!$E$12+1,1))-AVERAGE(OFFSET($H$3,0,0,'Données projet'!$E$12+1,1))</f>
        <v>287.12723448949828</v>
      </c>
      <c r="CE146" s="62">
        <f t="shared" si="148"/>
        <v>170.5203352323382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1.2331833642315517</v>
      </c>
      <c r="CL146" s="23">
        <f>EXP(-LN(2)/25)*CL145+(1-EXP(-LN(2)/25))/(LN(2)/25)*Calculateur!CG146*Calculateur!CI146*VLOOKUP('Données projet'!$B$12,Paramètres!$A$1:$I$89,3,0)*0.475*44/12</f>
        <v>4.0212352223019403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5.2544185865334923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477.12000000000097</v>
      </c>
      <c r="CU146" s="18">
        <f>CT146*VLOOKUP('Données projet'!$B$13,Paramètres!$A$1:$I$89,3,0)*VLOOKUP('Données projet'!$B$13,Paramètres!$A$1:$I$89,5,0)</f>
        <v>461.47046400000096</v>
      </c>
      <c r="CV146" s="14">
        <f t="shared" si="149"/>
        <v>104.13329806929862</v>
      </c>
      <c r="CW146" s="22">
        <f t="shared" si="121"/>
        <v>985.09321893736342</v>
      </c>
      <c r="CX146" s="62">
        <f t="shared" si="122"/>
        <v>1278.4265522706967</v>
      </c>
      <c r="CY146" s="62">
        <f ca="1">AVERAGE(OFFSET($CX$3,0,0,'Données projet'!$E$13+1,1))-AVERAGE(OFFSET($H$3,0,0,'Données projet'!$E$13+1,1))</f>
        <v>467.37715054082025</v>
      </c>
      <c r="CZ146" s="62">
        <f t="shared" si="150"/>
        <v>443.35096563136415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1.0753110436047701</v>
      </c>
      <c r="DG146" s="23">
        <f>EXP(-LN(2)/25)*DG145+(1-EXP(-LN(2)/25))/(LN(2)/25)*Calculateur!DB146*Calculateur!DD146*VLOOKUP('Données projet'!$B$13,Paramètres!$A$1:$I$89,3,0)*0.475*44/12</f>
        <v>0.63770979030225838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1.7130208339070285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477.12000000000097</v>
      </c>
      <c r="DP146" s="18">
        <f>DO146*VLOOKUP('Données projet'!$B$14,Paramètres!$A$1:$I$89,3,0)*VLOOKUP('Données projet'!$B$14,Paramètres!$A$1:$I$89,5,0)</f>
        <v>513.57196800000099</v>
      </c>
      <c r="DQ146" s="14">
        <f t="shared" si="151"/>
        <v>114.45621584436451</v>
      </c>
      <c r="DR146" s="22">
        <f t="shared" si="124"/>
        <v>1093.8157535289363</v>
      </c>
      <c r="DS146" s="62">
        <f t="shared" si="125"/>
        <v>1387.1490868622695</v>
      </c>
      <c r="DT146" s="62">
        <f ca="1">AVERAGE(OFFSET($DS$3,0,0,'Données projet'!$E$14+1,1))-AVERAGE(OFFSET($H$3,0,0,'Données projet'!$E$14+1,1))</f>
        <v>524.51242549438939</v>
      </c>
      <c r="DU146" s="62">
        <f t="shared" si="152"/>
        <v>494.88778446576327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1.1967171291730487</v>
      </c>
      <c r="EB146" s="23">
        <f>EXP(-LN(2)/25)*EB145+(1-EXP(-LN(2)/25))/(LN(2)/25)*Calculateur!DW146*Calculateur!DY146*VLOOKUP('Données projet'!$B$14,Paramètres!$A$1:$I$89,3,0)*0.475*44/12</f>
        <v>0.70970928275573963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1.9064264119287884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538.10079346334646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1.5491666666666646</v>
      </c>
      <c r="N147" s="14">
        <f>IF('Données projet'!$A$36&gt;35,N146+M147-V146,IF(A147&lt;'Données projet'!$A$36,$K$205^A147,IF(A147='Données projet'!$A$36,'Données projet'!$B$36,N146+M147-V146)))</f>
        <v>299.14083333333326</v>
      </c>
      <c r="O147" s="14">
        <f>N147*VLOOKUP('Données projet'!$B$9,Paramètres!$A$1:$I$89,3,0)*VLOOKUP('Données projet'!$B$9,Paramètres!$A$1:$I$89,5,0)</f>
        <v>270.66262599999993</v>
      </c>
      <c r="P147" s="14">
        <f t="shared" si="141"/>
        <v>64.989875180929189</v>
      </c>
      <c r="Q147" s="22">
        <f t="shared" si="108"/>
        <v>584.59477289011818</v>
      </c>
      <c r="R147" s="62">
        <f t="shared" si="109"/>
        <v>877.92810622345155</v>
      </c>
      <c r="S147" s="62">
        <f ca="1">AVERAGE(OFFSET($R$3,0,0,'Données projet'!$E$9+1,1))-AVERAGE(OFFSET($H$3,0,0,'Données projet'!$E$9+1,1))</f>
        <v>299.17641394512162</v>
      </c>
      <c r="T147" s="62">
        <f t="shared" si="142"/>
        <v>180.73046320039873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8.3132524697427854</v>
      </c>
      <c r="AA147" s="23">
        <f>EXP(-LN(2)/25)*AA146+(1-EXP(-LN(2)/25))/(LN(2)/25)*Calculateur!V147*Calculateur!X147*VLOOKUP('Données projet'!$B$9,Paramètres!$A$1:$I$89,3,0)*0.475*44/12</f>
        <v>5.8858585431846331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14.199111012927418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4.4499999999999984</v>
      </c>
      <c r="AI147" s="14">
        <f>IF('Données projet'!$A$62&gt;35,AI146+AH147-AQ146,IF(A147&lt;'Données projet'!$A$62,$AF$205^A147,IF(A147='Données projet'!$A$62,'Données projet'!$B$62,AI146+AH147-AQ146)))</f>
        <v>382.14999999999878</v>
      </c>
      <c r="AJ147" s="14">
        <f>AI147*VLOOKUP('Données projet'!$B$10,Paramètres!$A$1:$I$89,3,0)*VLOOKUP('Données projet'!$B$10,Paramètres!$A$1:$I$89,5,0)</f>
        <v>387.50009999999878</v>
      </c>
      <c r="AK147" s="14">
        <f t="shared" si="143"/>
        <v>89.237838852479243</v>
      </c>
      <c r="AL147" s="22">
        <f t="shared" si="112"/>
        <v>830.31857683473254</v>
      </c>
      <c r="AM147" s="62">
        <f t="shared" si="113"/>
        <v>1123.6519101680658</v>
      </c>
      <c r="AN147" s="62">
        <f ca="1">AVERAGE(OFFSET($AM$3,0,0,'Données projet'!$E$10+1,1))-AVERAGE(OFFSET($H$3,0,0,'Données projet'!$E$10+1,1))</f>
        <v>384.66322295929552</v>
      </c>
      <c r="AO147" s="62">
        <f t="shared" si="144"/>
        <v>248.53970183513286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7.9311842250375282</v>
      </c>
      <c r="AV147" s="23">
        <f>EXP(-LN(2)/25)*AV146+(1-EXP(-LN(2)/25))/(LN(2)/25)*Calculateur!AQ147*Calculateur!AS147*VLOOKUP('Données projet'!$B$10,Paramètres!$A$1:$I$89,3,0)*0.475*44/12</f>
        <v>5.632946082569287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13.564130307606815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343.79999999999995</v>
      </c>
      <c r="BE147" s="14">
        <f>BD147*VLOOKUP('Données projet'!$B$11,Paramètres!$A$1:$I$89,3,0)*VLOOKUP('Données projet'!$B$11,Paramètres!$A$1:$I$89,5,0)</f>
        <v>205.5924</v>
      </c>
      <c r="BF147" s="14">
        <f t="shared" si="145"/>
        <v>50.971228364263673</v>
      </c>
      <c r="BG147" s="22">
        <f t="shared" si="115"/>
        <v>446.84831940109251</v>
      </c>
      <c r="BH147" s="62">
        <f t="shared" si="116"/>
        <v>740.18165273442582</v>
      </c>
      <c r="BI147" s="62">
        <f ca="1">AVERAGE(OFFSET($BH$3,0,0,'Données projet'!$E$11+1,1))-AVERAGE(OFFSET($H$3,0,0,'Données projet'!$E$11+1,1))</f>
        <v>146.25807703055079</v>
      </c>
      <c r="BJ147" s="62">
        <f t="shared" si="146"/>
        <v>177.40137940534413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0.99607555496898759</v>
      </c>
      <c r="BQ147" s="23">
        <f>EXP(-LN(2)/25)*BQ146+(1-EXP(-LN(2)/25))/(LN(2)/25)*Calculateur!BL147*Calculateur!BN147*VLOOKUP('Données projet'!$B$11,Paramètres!$A$1:$I$89,3,0)*0.475*44/12</f>
        <v>0.41359433261240852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1.409669887581396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760.1400000000001</v>
      </c>
      <c r="BZ147" s="14">
        <f>BY147*VLOOKUP('Données projet'!$B$12,Paramètres!$A$1:$I$89,3,0)*VLOOKUP('Données projet'!$B$12,Paramètres!$A$1:$I$89,5,0)</f>
        <v>355.74552000000006</v>
      </c>
      <c r="CA147" s="14">
        <f t="shared" si="147"/>
        <v>82.744450026504168</v>
      </c>
      <c r="CB147" s="22">
        <f t="shared" si="118"/>
        <v>763.70336446282818</v>
      </c>
      <c r="CC147" s="62">
        <f t="shared" si="119"/>
        <v>1057.0366977961614</v>
      </c>
      <c r="CD147" s="62">
        <f ca="1">AVERAGE(OFFSET($CC$3,0,0,'Données projet'!$E$12+1,1))-AVERAGE(OFFSET($H$3,0,0,'Données projet'!$E$12+1,1))</f>
        <v>287.12723448949828</v>
      </c>
      <c r="CE147" s="62">
        <f t="shared" si="148"/>
        <v>170.5203352323382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1.2090013906265529</v>
      </c>
      <c r="CL147" s="23">
        <f>EXP(-LN(2)/25)*CL146+(1-EXP(-LN(2)/25))/(LN(2)/25)*Calculateur!CG147*Calculateur!CI147*VLOOKUP('Données projet'!$B$12,Paramètres!$A$1:$I$89,3,0)*0.475*44/12</f>
        <v>3.9112743336805242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5.1202757243070769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477.12000000000097</v>
      </c>
      <c r="CU147" s="18">
        <f>CT147*VLOOKUP('Données projet'!$B$13,Paramètres!$A$1:$I$89,3,0)*VLOOKUP('Données projet'!$B$13,Paramètres!$A$1:$I$89,5,0)</f>
        <v>461.47046400000096</v>
      </c>
      <c r="CV147" s="14">
        <f t="shared" si="149"/>
        <v>104.13329806929862</v>
      </c>
      <c r="CW147" s="22">
        <f t="shared" si="121"/>
        <v>985.09321893736342</v>
      </c>
      <c r="CX147" s="62">
        <f t="shared" si="122"/>
        <v>1278.4265522706967</v>
      </c>
      <c r="CY147" s="62">
        <f ca="1">AVERAGE(OFFSET($CX$3,0,0,'Données projet'!$E$13+1,1))-AVERAGE(OFFSET($H$3,0,0,'Données projet'!$E$13+1,1))</f>
        <v>467.37715054082025</v>
      </c>
      <c r="CZ147" s="62">
        <f t="shared" si="150"/>
        <v>443.35096563136415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1.0542248499146549</v>
      </c>
      <c r="DG147" s="23">
        <f>EXP(-LN(2)/25)*DG146+(1-EXP(-LN(2)/25))/(LN(2)/25)*Calculateur!DB147*Calculateur!DD147*VLOOKUP('Données projet'!$B$13,Paramètres!$A$1:$I$89,3,0)*0.475*44/12</f>
        <v>0.62027158255074277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1.6744964324653977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477.12000000000097</v>
      </c>
      <c r="DP147" s="18">
        <f>DO147*VLOOKUP('Données projet'!$B$14,Paramètres!$A$1:$I$89,3,0)*VLOOKUP('Données projet'!$B$14,Paramètres!$A$1:$I$89,5,0)</f>
        <v>513.57196800000099</v>
      </c>
      <c r="DQ147" s="14">
        <f t="shared" si="151"/>
        <v>114.45621584436451</v>
      </c>
      <c r="DR147" s="22">
        <f t="shared" si="124"/>
        <v>1093.8157535289363</v>
      </c>
      <c r="DS147" s="62">
        <f t="shared" si="125"/>
        <v>1387.1490868622695</v>
      </c>
      <c r="DT147" s="62">
        <f ca="1">AVERAGE(OFFSET($DS$3,0,0,'Données projet'!$E$14+1,1))-AVERAGE(OFFSET($H$3,0,0,'Données projet'!$E$14+1,1))</f>
        <v>524.51242549438939</v>
      </c>
      <c r="DU147" s="62">
        <f t="shared" si="152"/>
        <v>494.88778446576327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1.1732502361953399</v>
      </c>
      <c r="EB147" s="23">
        <f>EXP(-LN(2)/25)*EB146+(1-EXP(-LN(2)/25))/(LN(2)/25)*Calculateur!DW147*Calculateur!DY147*VLOOKUP('Données projet'!$B$14,Paramètres!$A$1:$I$89,3,0)*0.475*44/12</f>
        <v>0.69030224509679483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1.8635524812921347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540.00782753575277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300.69</v>
      </c>
      <c r="L148" s="13">
        <f>VLOOKUP(A148,'Données projet'!$A$35:$I$55,9,0)</f>
        <v>1.5491666666666646</v>
      </c>
      <c r="M148" s="13">
        <f t="array" ref="M148">INDEX(L:L,MIN(IF(ISNUMBER(L148:L344),ROW(L148:L344),"")))</f>
        <v>1.5491666666666646</v>
      </c>
      <c r="N148" s="14">
        <f>IF('Données projet'!$A$36&gt;35,N147+M148-V147,IF(A148&lt;'Données projet'!$A$36,$K$205^A148,IF(A148='Données projet'!$A$36,'Données projet'!$B$36,N147+M148-V147)))</f>
        <v>300.68999999999994</v>
      </c>
      <c r="O148" s="14">
        <f>N148*VLOOKUP('Données projet'!$B$9,Paramètres!$A$1:$I$89,3,0)*VLOOKUP('Données projet'!$B$9,Paramètres!$A$1:$I$89,5,0)</f>
        <v>272.06431199999992</v>
      </c>
      <c r="P148" s="14">
        <f t="shared" si="141"/>
        <v>65.287174003715364</v>
      </c>
      <c r="Q148" s="22">
        <f t="shared" si="108"/>
        <v>587.55383812313755</v>
      </c>
      <c r="R148" s="62">
        <f t="shared" si="109"/>
        <v>880.88717145647092</v>
      </c>
      <c r="S148" s="62">
        <f ca="1">AVERAGE(OFFSET($R$3,0,0,'Données projet'!$E$9+1,1))-AVERAGE(OFFSET($H$3,0,0,'Données projet'!$E$9+1,1))</f>
        <v>299.17641394512162</v>
      </c>
      <c r="T148" s="62">
        <f t="shared" si="142"/>
        <v>180.73046320039873</v>
      </c>
      <c r="U148" s="16">
        <f>IF(ISNA(VLOOKUP(A148,'Données projet'!$A$35:$I$55,3,0)),0,VLOOKUP(A148,'Données projet'!$A$35:$I$55,3,0))</f>
        <v>11</v>
      </c>
      <c r="V148" s="16">
        <f>IF(ISNA(VLOOKUP(A148,'Données projet'!$A$35:$I$55,4,0)),0,VLOOKUP(A148,'Données projet'!$A$35:$I$55,4,0))</f>
        <v>30.07</v>
      </c>
      <c r="W148" s="17">
        <f>IF(ISNA(VLOOKUP(A148,'Données projet'!$A$35:$I$55,5,0)),0%,VLOOKUP(A148,'Données projet'!$A$35:$I$55,5,0)*VLOOKUP('Données projet'!$B$9,Paramètres!$A$1:$I$89,7,0))</f>
        <v>9.0299999999999991E-2</v>
      </c>
      <c r="X148" s="17">
        <f>IF(ISNA(VLOOKUP(A148,'Données projet'!$A$35:$I$55,6,0)),0%,VLOOKUP(A148,'Données projet'!$A$35:$I$55,6,0)*VLOOKUP('Données projet'!$B$9,Paramètres!$A$1:$I$89,7,0))</f>
        <v>8.1699999999999995E-2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10.8661790954707</v>
      </c>
      <c r="AA148" s="23">
        <f>EXP(-LN(2)/25)*AA147+(1-EXP(-LN(2)/25))/(LN(2)/25)*Calculateur!V148*Calculateur!X148*VLOOKUP('Données projet'!$B$9,Paramètres!$A$1:$I$89,3,0)*0.475*44/12</f>
        <v>8.1725172332989988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19.038696328769699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386.6</v>
      </c>
      <c r="AG148" s="13">
        <f>VLOOKUP(A148,'Données projet'!$A$61:$I$81,9,0)</f>
        <v>4.4499999999999984</v>
      </c>
      <c r="AH148" s="13">
        <f t="array" ref="AH148">INDEX(AG:AG,MIN(IF(ISNUMBER(AG148:AG344),ROW(AG148:AG344),"")))</f>
        <v>4.4499999999999984</v>
      </c>
      <c r="AI148" s="14">
        <f>IF('Données projet'!$A$62&gt;35,AI147+AH148-AQ147,IF(A148&lt;'Données projet'!$A$62,$AF$205^A148,IF(A148='Données projet'!$A$62,'Données projet'!$B$62,AI147+AH148-AQ147)))</f>
        <v>386.59999999999877</v>
      </c>
      <c r="AJ148" s="14">
        <f>AI148*VLOOKUP('Données projet'!$B$10,Paramètres!$A$1:$I$89,3,0)*VLOOKUP('Données projet'!$B$10,Paramètres!$A$1:$I$89,5,0)</f>
        <v>392.01239999999882</v>
      </c>
      <c r="AK148" s="14">
        <f t="shared" si="143"/>
        <v>90.155405750765794</v>
      </c>
      <c r="AL148" s="22">
        <f t="shared" si="112"/>
        <v>839.77559501591497</v>
      </c>
      <c r="AM148" s="62">
        <f t="shared" si="113"/>
        <v>1133.1089283492483</v>
      </c>
      <c r="AN148" s="62">
        <f ca="1">AVERAGE(OFFSET($AM$3,0,0,'Données projet'!$E$10+1,1))-AVERAGE(OFFSET($H$3,0,0,'Données projet'!$E$10+1,1))</f>
        <v>384.66322295929552</v>
      </c>
      <c r="AO148" s="62">
        <f t="shared" si="144"/>
        <v>248.53970183513286</v>
      </c>
      <c r="AP148" s="16">
        <f>IF(ISNA(VLOOKUP(A148,'Données projet'!$A$61:$I$81,3,0)),0,VLOOKUP(A148,'Données projet'!$A$61:$I$81,3,0))</f>
        <v>11</v>
      </c>
      <c r="AQ148" s="16">
        <f>IF(ISNA(VLOOKUP(A148,'Données projet'!$A$61:$I$81,4,0)),0,VLOOKUP(A148,'Données projet'!$A$61:$I$81,4,0))</f>
        <v>38.659999999999997</v>
      </c>
      <c r="AR148" s="17">
        <f>IF(ISNA(VLOOKUP(A148,'Données projet'!$A$61:$I$81,5,0)),0%,VLOOKUP(A148,'Données projet'!$A$61:$I$81,5,0)*VLOOKUP('Données projet'!$B$10,Paramètres!$A$1:$I$89,7,0))</f>
        <v>7.7399999999999997E-2</v>
      </c>
      <c r="AS148" s="17">
        <f>IF(ISNA(VLOOKUP(A148,'Données projet'!$A$61:$I$81,6,0)),0%,VLOOKUP(A148,'Données projet'!$A$61:$I$81,6,0)*VLOOKUP('Données projet'!$B$10,Paramètres!$A$1:$I$89,7,0))</f>
        <v>6.4500000000000002E-2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11.129850207687731</v>
      </c>
      <c r="AV148" s="23">
        <f>EXP(-LN(2)/25)*AV147+(1-EXP(-LN(2)/25))/(LN(2)/25)*Calculateur!AQ148*Calculateur!AS148*VLOOKUP('Données projet'!$B$10,Paramètres!$A$1:$I$89,3,0)*0.475*44/12</f>
        <v>8.2630669899804126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19.392917197668144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343.79999999999995</v>
      </c>
      <c r="BE148" s="14">
        <f>BD148*VLOOKUP('Données projet'!$B$11,Paramètres!$A$1:$I$89,3,0)*VLOOKUP('Données projet'!$B$11,Paramètres!$A$1:$I$89,5,0)</f>
        <v>205.5924</v>
      </c>
      <c r="BF148" s="14">
        <f t="shared" si="145"/>
        <v>50.971228364263673</v>
      </c>
      <c r="BG148" s="22">
        <f t="shared" si="115"/>
        <v>446.84831940109251</v>
      </c>
      <c r="BH148" s="62">
        <f t="shared" si="116"/>
        <v>740.18165273442582</v>
      </c>
      <c r="BI148" s="62">
        <f ca="1">AVERAGE(OFFSET($BH$3,0,0,'Données projet'!$E$11+1,1))-AVERAGE(OFFSET($H$3,0,0,'Données projet'!$E$11+1,1))</f>
        <v>146.25807703055079</v>
      </c>
      <c r="BJ148" s="62">
        <f t="shared" si="146"/>
        <v>177.40137940534413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0.97654312088214412</v>
      </c>
      <c r="BQ148" s="23">
        <f>EXP(-LN(2)/25)*BQ147+(1-EXP(-LN(2)/25))/(LN(2)/25)*Calculateur!BL148*Calculateur!BN148*VLOOKUP('Données projet'!$B$11,Paramètres!$A$1:$I$89,3,0)*0.475*44/12</f>
        <v>0.40228457383714156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1.3788276947192857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760.1400000000001</v>
      </c>
      <c r="BZ148" s="14">
        <f>BY148*VLOOKUP('Données projet'!$B$12,Paramètres!$A$1:$I$89,3,0)*VLOOKUP('Données projet'!$B$12,Paramètres!$A$1:$I$89,5,0)</f>
        <v>355.74552000000006</v>
      </c>
      <c r="CA148" s="14">
        <f t="shared" si="147"/>
        <v>82.744450026504168</v>
      </c>
      <c r="CB148" s="22">
        <f t="shared" si="118"/>
        <v>763.70336446282818</v>
      </c>
      <c r="CC148" s="62">
        <f t="shared" si="119"/>
        <v>1057.0366977961614</v>
      </c>
      <c r="CD148" s="62">
        <f ca="1">AVERAGE(OFFSET($CC$3,0,0,'Données projet'!$E$12+1,1))-AVERAGE(OFFSET($H$3,0,0,'Données projet'!$E$12+1,1))</f>
        <v>287.12723448949828</v>
      </c>
      <c r="CE148" s="62">
        <f t="shared" si="148"/>
        <v>170.5203352323382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1.1852936107744005</v>
      </c>
      <c r="CL148" s="23">
        <f>EXP(-LN(2)/25)*CL147+(1-EXP(-LN(2)/25))/(LN(2)/25)*Calculateur!CG148*Calculateur!CI148*VLOOKUP('Données projet'!$B$12,Paramètres!$A$1:$I$89,3,0)*0.475*44/12</f>
        <v>3.8043203313410525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4.9896139421154526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477.12000000000097</v>
      </c>
      <c r="CU148" s="18">
        <f>CT148*VLOOKUP('Données projet'!$B$13,Paramètres!$A$1:$I$89,3,0)*VLOOKUP('Données projet'!$B$13,Paramètres!$A$1:$I$89,5,0)</f>
        <v>461.47046400000096</v>
      </c>
      <c r="CV148" s="14">
        <f t="shared" si="149"/>
        <v>104.13329806929862</v>
      </c>
      <c r="CW148" s="22">
        <f t="shared" si="121"/>
        <v>985.09321893736342</v>
      </c>
      <c r="CX148" s="62">
        <f t="shared" si="122"/>
        <v>1278.4265522706967</v>
      </c>
      <c r="CY148" s="62">
        <f ca="1">AVERAGE(OFFSET($CX$3,0,0,'Données projet'!$E$13+1,1))-AVERAGE(OFFSET($H$3,0,0,'Données projet'!$E$13+1,1))</f>
        <v>467.37715054082025</v>
      </c>
      <c r="CZ148" s="62">
        <f t="shared" si="150"/>
        <v>443.35096563136415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1.0335521436214947</v>
      </c>
      <c r="DG148" s="23">
        <f>EXP(-LN(2)/25)*DG147+(1-EXP(-LN(2)/25))/(LN(2)/25)*Calculateur!DB148*Calculateur!DD148*VLOOKUP('Données projet'!$B$13,Paramètres!$A$1:$I$89,3,0)*0.475*44/12</f>
        <v>0.60331022350722785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1.6368623671287226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477.12000000000097</v>
      </c>
      <c r="DP148" s="18">
        <f>DO148*VLOOKUP('Données projet'!$B$14,Paramètres!$A$1:$I$89,3,0)*VLOOKUP('Données projet'!$B$14,Paramètres!$A$1:$I$89,5,0)</f>
        <v>513.57196800000099</v>
      </c>
      <c r="DQ148" s="14">
        <f t="shared" si="151"/>
        <v>114.45621584436451</v>
      </c>
      <c r="DR148" s="22">
        <f t="shared" si="124"/>
        <v>1093.8157535289363</v>
      </c>
      <c r="DS148" s="62">
        <f t="shared" si="125"/>
        <v>1387.1490868622695</v>
      </c>
      <c r="DT148" s="62">
        <f ca="1">AVERAGE(OFFSET($DS$3,0,0,'Données projet'!$E$14+1,1))-AVERAGE(OFFSET($H$3,0,0,'Données projet'!$E$14+1,1))</f>
        <v>524.51242549438939</v>
      </c>
      <c r="DU148" s="62">
        <f t="shared" si="152"/>
        <v>494.88778446576327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1.1502435146755325</v>
      </c>
      <c r="EB148" s="23">
        <f>EXP(-LN(2)/25)*EB147+(1-EXP(-LN(2)/25))/(LN(2)/25)*Calculateur!DW148*Calculateur!DY148*VLOOKUP('Données projet'!$B$14,Paramètres!$A$1:$I$89,3,0)*0.475*44/12</f>
        <v>0.67142589390320562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1.8216694085787382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541.91457405738606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1.1999999999999982</v>
      </c>
      <c r="N149" s="14">
        <f>IF('Données projet'!$A$36&gt;35,N148+M149-V148,IF(A149&lt;'Données projet'!$A$36,$K$205^A149,IF(A149='Données projet'!$A$36,'Données projet'!$B$36,N148+M149-V148)))</f>
        <v>271.81999999999994</v>
      </c>
      <c r="O149" s="14">
        <f>N149*VLOOKUP('Données projet'!$B$9,Paramètres!$A$1:$I$89,3,0)*VLOOKUP('Données projet'!$B$9,Paramètres!$A$1:$I$89,5,0)</f>
        <v>245.94273599999994</v>
      </c>
      <c r="P149" s="14">
        <f t="shared" si="141"/>
        <v>59.716313221754085</v>
      </c>
      <c r="Q149" s="22">
        <f t="shared" si="108"/>
        <v>532.35617739455495</v>
      </c>
      <c r="R149" s="62">
        <f t="shared" si="109"/>
        <v>825.68951072788832</v>
      </c>
      <c r="S149" s="62">
        <f ca="1">AVERAGE(OFFSET($R$3,0,0,'Données projet'!$E$9+1,1))-AVERAGE(OFFSET($H$3,0,0,'Données projet'!$E$9+1,1))</f>
        <v>299.17641394512162</v>
      </c>
      <c r="T149" s="62">
        <f t="shared" si="142"/>
        <v>180.73046320039873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10.653099951123336</v>
      </c>
      <c r="AA149" s="23">
        <f>EXP(-LN(2)/25)*AA148+(1-EXP(-LN(2)/25))/(LN(2)/25)*Calculateur!V149*Calculateur!X149*VLOOKUP('Données projet'!$B$9,Paramètres!$A$1:$I$89,3,0)*0.475*44/12</f>
        <v>7.949039319780435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18.60213927090377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4.4499999999999931</v>
      </c>
      <c r="AI149" s="14">
        <f>IF('Données projet'!$A$62&gt;35,AI148+AH149-AQ148,IF(A149&lt;'Données projet'!$A$62,$AF$205^A149,IF(A149='Données projet'!$A$62,'Données projet'!$B$62,AI148+AH149-AQ148)))</f>
        <v>352.38999999999874</v>
      </c>
      <c r="AJ149" s="14">
        <f>AI149*VLOOKUP('Données projet'!$B$10,Paramètres!$A$1:$I$89,3,0)*VLOOKUP('Données projet'!$B$10,Paramètres!$A$1:$I$89,5,0)</f>
        <v>357.32345999999876</v>
      </c>
      <c r="AK149" s="14">
        <f t="shared" si="143"/>
        <v>83.068665459103528</v>
      </c>
      <c r="AL149" s="22">
        <f t="shared" si="112"/>
        <v>767.01628517460324</v>
      </c>
      <c r="AM149" s="62">
        <f t="shared" si="113"/>
        <v>1060.3496185079366</v>
      </c>
      <c r="AN149" s="62">
        <f ca="1">AVERAGE(OFFSET($AM$3,0,0,'Données projet'!$E$10+1,1))-AVERAGE(OFFSET($H$3,0,0,'Données projet'!$E$10+1,1))</f>
        <v>384.66322295929552</v>
      </c>
      <c r="AO149" s="62">
        <f t="shared" si="144"/>
        <v>248.53970183513286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10.91160063365329</v>
      </c>
      <c r="AV149" s="23">
        <f>EXP(-LN(2)/25)*AV148+(1-EXP(-LN(2)/25))/(LN(2)/25)*Calculateur!AQ149*Calculateur!AS149*VLOOKUP('Données projet'!$B$10,Paramètres!$A$1:$I$89,3,0)*0.475*44/12</f>
        <v>8.0371129886035906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18.948713622256882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343.79999999999995</v>
      </c>
      <c r="BE149" s="14">
        <f>BD149*VLOOKUP('Données projet'!$B$11,Paramètres!$A$1:$I$89,3,0)*VLOOKUP('Données projet'!$B$11,Paramètres!$A$1:$I$89,5,0)</f>
        <v>205.5924</v>
      </c>
      <c r="BF149" s="14">
        <f t="shared" si="145"/>
        <v>50.971228364263673</v>
      </c>
      <c r="BG149" s="22">
        <f t="shared" si="115"/>
        <v>446.84831940109251</v>
      </c>
      <c r="BH149" s="62">
        <f t="shared" si="116"/>
        <v>740.18165273442582</v>
      </c>
      <c r="BI149" s="62">
        <f ca="1">AVERAGE(OFFSET($BH$3,0,0,'Données projet'!$E$11+1,1))-AVERAGE(OFFSET($H$3,0,0,'Données projet'!$E$11+1,1))</f>
        <v>146.25807703055079</v>
      </c>
      <c r="BJ149" s="62">
        <f t="shared" si="146"/>
        <v>177.40137940534413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0.9573937059141352</v>
      </c>
      <c r="BQ149" s="23">
        <f>EXP(-LN(2)/25)*BQ148+(1-EXP(-LN(2)/25))/(LN(2)/25)*Calculateur!BL149*Calculateur!BN149*VLOOKUP('Données projet'!$B$11,Paramètres!$A$1:$I$89,3,0)*0.475*44/12</f>
        <v>0.39128408101033862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1.3486777869244739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760.1400000000001</v>
      </c>
      <c r="BZ149" s="14">
        <f>BY149*VLOOKUP('Données projet'!$B$12,Paramètres!$A$1:$I$89,3,0)*VLOOKUP('Données projet'!$B$12,Paramètres!$A$1:$I$89,5,0)</f>
        <v>355.74552000000006</v>
      </c>
      <c r="CA149" s="14">
        <f t="shared" si="147"/>
        <v>82.744450026504168</v>
      </c>
      <c r="CB149" s="22">
        <f t="shared" si="118"/>
        <v>763.70336446282818</v>
      </c>
      <c r="CC149" s="62">
        <f t="shared" si="119"/>
        <v>1057.0366977961614</v>
      </c>
      <c r="CD149" s="62">
        <f ca="1">AVERAGE(OFFSET($CC$3,0,0,'Données projet'!$E$12+1,1))-AVERAGE(OFFSET($H$3,0,0,'Données projet'!$E$12+1,1))</f>
        <v>287.12723448949828</v>
      </c>
      <c r="CE149" s="62">
        <f t="shared" si="148"/>
        <v>170.5203352323382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1.1620507260248309</v>
      </c>
      <c r="CL149" s="23">
        <f>EXP(-LN(2)/25)*CL148+(1-EXP(-LN(2)/25))/(LN(2)/25)*Calculateur!CG149*Calculateur!CI149*VLOOKUP('Données projet'!$B$12,Paramètres!$A$1:$I$89,3,0)*0.475*44/12</f>
        <v>3.7002909918200202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4.8623417178448509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477.12000000000097</v>
      </c>
      <c r="CU149" s="18">
        <f>CT149*VLOOKUP('Données projet'!$B$13,Paramètres!$A$1:$I$89,3,0)*VLOOKUP('Données projet'!$B$13,Paramètres!$A$1:$I$89,5,0)</f>
        <v>461.47046400000096</v>
      </c>
      <c r="CV149" s="14">
        <f t="shared" si="149"/>
        <v>104.13329806929862</v>
      </c>
      <c r="CW149" s="22">
        <f t="shared" si="121"/>
        <v>985.09321893736342</v>
      </c>
      <c r="CX149" s="62">
        <f t="shared" si="122"/>
        <v>1278.4265522706967</v>
      </c>
      <c r="CY149" s="62">
        <f ca="1">AVERAGE(OFFSET($CX$3,0,0,'Données projet'!$E$13+1,1))-AVERAGE(OFFSET($H$3,0,0,'Données projet'!$E$13+1,1))</f>
        <v>467.37715054082025</v>
      </c>
      <c r="CZ149" s="62">
        <f t="shared" si="150"/>
        <v>443.35096563136415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1.0132848164896375</v>
      </c>
      <c r="DG149" s="23">
        <f>EXP(-LN(2)/25)*DG148+(1-EXP(-LN(2)/25))/(LN(2)/25)*Calculateur!DB149*Calculateur!DD149*VLOOKUP('Données projet'!$B$13,Paramètres!$A$1:$I$89,3,0)*0.475*44/12</f>
        <v>0.58681267371871693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1.6000974902083545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477.12000000000097</v>
      </c>
      <c r="DP149" s="18">
        <f>DO149*VLOOKUP('Données projet'!$B$14,Paramètres!$A$1:$I$89,3,0)*VLOOKUP('Données projet'!$B$14,Paramètres!$A$1:$I$89,5,0)</f>
        <v>513.57196800000099</v>
      </c>
      <c r="DQ149" s="14">
        <f t="shared" si="151"/>
        <v>114.45621584436451</v>
      </c>
      <c r="DR149" s="22">
        <f t="shared" si="124"/>
        <v>1093.8157535289363</v>
      </c>
      <c r="DS149" s="62">
        <f t="shared" si="125"/>
        <v>1387.1490868622695</v>
      </c>
      <c r="DT149" s="62">
        <f ca="1">AVERAGE(OFFSET($DS$3,0,0,'Données projet'!$E$14+1,1))-AVERAGE(OFFSET($H$3,0,0,'Données projet'!$E$14+1,1))</f>
        <v>524.51242549438939</v>
      </c>
      <c r="DU149" s="62">
        <f t="shared" si="152"/>
        <v>494.88778446576327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1.1276879409320142</v>
      </c>
      <c r="EB149" s="23">
        <f>EXP(-LN(2)/25)*EB148+(1-EXP(-LN(2)/25))/(LN(2)/25)*Calculateur!DW149*Calculateur!DY149*VLOOKUP('Données projet'!$B$14,Paramètres!$A$1:$I$89,3,0)*0.475*44/12</f>
        <v>0.65306571752566922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1.7807536584576833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543.82103522618308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1.1999999999999982</v>
      </c>
      <c r="N150" s="14">
        <f>IF('Données projet'!$A$36&gt;35,N149+M150-V149,IF(A150&lt;'Données projet'!$A$36,$K$205^A150,IF(A150='Données projet'!$A$36,'Données projet'!$B$36,N149+M150-V149)))</f>
        <v>273.01999999999992</v>
      </c>
      <c r="O150" s="14">
        <f>N150*VLOOKUP('Données projet'!$B$9,Paramètres!$A$1:$I$89,3,0)*VLOOKUP('Données projet'!$B$9,Paramètres!$A$1:$I$89,5,0)</f>
        <v>247.0284959999999</v>
      </c>
      <c r="P150" s="14">
        <f t="shared" si="141"/>
        <v>59.949195861748798</v>
      </c>
      <c r="Q150" s="22">
        <f t="shared" si="108"/>
        <v>534.65281332587904</v>
      </c>
      <c r="R150" s="62">
        <f t="shared" si="109"/>
        <v>827.98614665921241</v>
      </c>
      <c r="S150" s="62">
        <f ca="1">AVERAGE(OFFSET($R$3,0,0,'Données projet'!$E$9+1,1))-AVERAGE(OFFSET($H$3,0,0,'Données projet'!$E$9+1,1))</f>
        <v>299.17641394512162</v>
      </c>
      <c r="T150" s="62">
        <f t="shared" si="142"/>
        <v>180.73046320039873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10.444199158831179</v>
      </c>
      <c r="AA150" s="23">
        <f>EXP(-LN(2)/25)*AA149+(1-EXP(-LN(2)/25))/(LN(2)/25)*Calculateur!V150*Calculateur!X150*VLOOKUP('Données projet'!$B$9,Paramètres!$A$1:$I$89,3,0)*0.475*44/12</f>
        <v>7.731672421559229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18.175871580390407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4.4499999999999931</v>
      </c>
      <c r="AI150" s="14">
        <f>IF('Données projet'!$A$62&gt;35,AI149+AH150-AQ149,IF(A150&lt;'Données projet'!$A$62,$AF$205^A150,IF(A150='Données projet'!$A$62,'Données projet'!$B$62,AI149+AH150-AQ149)))</f>
        <v>356.83999999999872</v>
      </c>
      <c r="AJ150" s="14">
        <f>AI150*VLOOKUP('Données projet'!$B$10,Paramètres!$A$1:$I$89,3,0)*VLOOKUP('Données projet'!$B$10,Paramètres!$A$1:$I$89,5,0)</f>
        <v>361.83575999999874</v>
      </c>
      <c r="AK150" s="14">
        <f t="shared" si="143"/>
        <v>83.994879933652868</v>
      </c>
      <c r="AL150" s="22">
        <f t="shared" si="112"/>
        <v>776.48836455110984</v>
      </c>
      <c r="AM150" s="62">
        <f t="shared" si="113"/>
        <v>1069.8216978844432</v>
      </c>
      <c r="AN150" s="62">
        <f ca="1">AVERAGE(OFFSET($AM$3,0,0,'Données projet'!$E$10+1,1))-AVERAGE(OFFSET($H$3,0,0,'Données projet'!$E$10+1,1))</f>
        <v>384.66322295929552</v>
      </c>
      <c r="AO150" s="62">
        <f t="shared" si="144"/>
        <v>248.53970183513286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10.697630800646568</v>
      </c>
      <c r="AV150" s="23">
        <f>EXP(-LN(2)/25)*AV149+(1-EXP(-LN(2)/25))/(LN(2)/25)*Calculateur!AQ150*Calculateur!AS150*VLOOKUP('Données projet'!$B$10,Paramètres!$A$1:$I$89,3,0)*0.475*44/12</f>
        <v>7.8173377112768225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18.514968511923392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343.79999999999995</v>
      </c>
      <c r="BE150" s="14">
        <f>BD150*VLOOKUP('Données projet'!$B$11,Paramètres!$A$1:$I$89,3,0)*VLOOKUP('Données projet'!$B$11,Paramètres!$A$1:$I$89,5,0)</f>
        <v>205.5924</v>
      </c>
      <c r="BF150" s="14">
        <f t="shared" si="145"/>
        <v>50.971228364263673</v>
      </c>
      <c r="BG150" s="22">
        <f t="shared" si="115"/>
        <v>446.84831940109251</v>
      </c>
      <c r="BH150" s="62">
        <f t="shared" si="116"/>
        <v>740.18165273442582</v>
      </c>
      <c r="BI150" s="62">
        <f ca="1">AVERAGE(OFFSET($BH$3,0,0,'Données projet'!$E$11+1,1))-AVERAGE(OFFSET($H$3,0,0,'Données projet'!$E$11+1,1))</f>
        <v>146.25807703055079</v>
      </c>
      <c r="BJ150" s="62">
        <f t="shared" si="146"/>
        <v>177.40137940534413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0.93861979929365913</v>
      </c>
      <c r="BQ150" s="23">
        <f>EXP(-LN(2)/25)*BQ149+(1-EXP(-LN(2)/25))/(LN(2)/25)*Calculateur!BL150*Calculateur!BN150*VLOOKUP('Données projet'!$B$11,Paramètres!$A$1:$I$89,3,0)*0.475*44/12</f>
        <v>0.38058439723837539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1.3192041965320345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760.1400000000001</v>
      </c>
      <c r="BZ150" s="14">
        <f>BY150*VLOOKUP('Données projet'!$B$12,Paramètres!$A$1:$I$89,3,0)*VLOOKUP('Données projet'!$B$12,Paramètres!$A$1:$I$89,5,0)</f>
        <v>355.74552000000006</v>
      </c>
      <c r="CA150" s="14">
        <f t="shared" si="147"/>
        <v>82.744450026504168</v>
      </c>
      <c r="CB150" s="22">
        <f t="shared" si="118"/>
        <v>763.70336446282818</v>
      </c>
      <c r="CC150" s="62">
        <f t="shared" si="119"/>
        <v>1057.0366977961614</v>
      </c>
      <c r="CD150" s="62">
        <f ca="1">AVERAGE(OFFSET($CC$3,0,0,'Données projet'!$E$12+1,1))-AVERAGE(OFFSET($H$3,0,0,'Données projet'!$E$12+1,1))</f>
        <v>287.12723448949828</v>
      </c>
      <c r="CE150" s="62">
        <f t="shared" si="148"/>
        <v>170.5203352323382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1.1392636200684405</v>
      </c>
      <c r="CL150" s="23">
        <f>EXP(-LN(2)/25)*CL149+(1-EXP(-LN(2)/25))/(LN(2)/25)*Calculateur!CG150*Calculateur!CI150*VLOOKUP('Données projet'!$B$12,Paramètres!$A$1:$I$89,3,0)*0.475*44/12</f>
        <v>3.5991063400588557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4.7383699601272964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477.12000000000097</v>
      </c>
      <c r="CU150" s="18">
        <f>CT150*VLOOKUP('Données projet'!$B$13,Paramètres!$A$1:$I$89,3,0)*VLOOKUP('Données projet'!$B$13,Paramètres!$A$1:$I$89,5,0)</f>
        <v>461.47046400000096</v>
      </c>
      <c r="CV150" s="14">
        <f t="shared" si="149"/>
        <v>104.13329806929862</v>
      </c>
      <c r="CW150" s="22">
        <f t="shared" si="121"/>
        <v>985.09321893736342</v>
      </c>
      <c r="CX150" s="62">
        <f t="shared" si="122"/>
        <v>1278.4265522706967</v>
      </c>
      <c r="CY150" s="62">
        <f ca="1">AVERAGE(OFFSET($CX$3,0,0,'Données projet'!$E$13+1,1))-AVERAGE(OFFSET($H$3,0,0,'Données projet'!$E$13+1,1))</f>
        <v>467.37715054082025</v>
      </c>
      <c r="CZ150" s="62">
        <f t="shared" si="150"/>
        <v>443.35096563136415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0.99341491928098713</v>
      </c>
      <c r="DG150" s="23">
        <f>EXP(-LN(2)/25)*DG149+(1-EXP(-LN(2)/25))/(LN(2)/25)*Calculateur!DB150*Calculateur!DD150*VLOOKUP('Données projet'!$B$13,Paramètres!$A$1:$I$89,3,0)*0.475*44/12</f>
        <v>0.57076625029674133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1.5641811695777283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477.12000000000097</v>
      </c>
      <c r="DP150" s="18">
        <f>DO150*VLOOKUP('Données projet'!$B$14,Paramètres!$A$1:$I$89,3,0)*VLOOKUP('Données projet'!$B$14,Paramètres!$A$1:$I$89,5,0)</f>
        <v>513.57196800000099</v>
      </c>
      <c r="DQ150" s="14">
        <f t="shared" si="151"/>
        <v>114.45621584436451</v>
      </c>
      <c r="DR150" s="22">
        <f t="shared" si="124"/>
        <v>1093.8157535289363</v>
      </c>
      <c r="DS150" s="62">
        <f t="shared" si="125"/>
        <v>1387.1490868622695</v>
      </c>
      <c r="DT150" s="62">
        <f ca="1">AVERAGE(OFFSET($DS$3,0,0,'Données projet'!$E$14+1,1))-AVERAGE(OFFSET($H$3,0,0,'Données projet'!$E$14+1,1))</f>
        <v>524.51242549438939</v>
      </c>
      <c r="DU150" s="62">
        <f t="shared" si="152"/>
        <v>494.88778446576327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1.1055746682320646</v>
      </c>
      <c r="EB150" s="23">
        <f>EXP(-LN(2)/25)*EB149+(1-EXP(-LN(2)/25))/(LN(2)/25)*Calculateur!DW150*Calculateur!DY150*VLOOKUP('Données projet'!$B$14,Paramètres!$A$1:$I$89,3,0)*0.475*44/12</f>
        <v>0.63520760113669628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1.7407822693687609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545.72721320844835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1.1999999999999982</v>
      </c>
      <c r="N151" s="14">
        <f>IF('Données projet'!$A$36&gt;35,N150+M151-V150,IF(A151&lt;'Données projet'!$A$36,$K$205^A151,IF(A151='Données projet'!$A$36,'Données projet'!$B$36,N150+M151-V150)))</f>
        <v>274.21999999999991</v>
      </c>
      <c r="O151" s="14">
        <f>N151*VLOOKUP('Données projet'!$B$9,Paramètres!$A$1:$I$89,3,0)*VLOOKUP('Données projet'!$B$9,Paramètres!$A$1:$I$89,5,0)</f>
        <v>248.1142559999999</v>
      </c>
      <c r="P151" s="14">
        <f t="shared" si="141"/>
        <v>60.181959386520361</v>
      </c>
      <c r="Q151" s="22">
        <f t="shared" si="108"/>
        <v>536.94924179818941</v>
      </c>
      <c r="R151" s="62">
        <f t="shared" si="109"/>
        <v>830.28257513152266</v>
      </c>
      <c r="S151" s="62">
        <f ca="1">AVERAGE(OFFSET($R$3,0,0,'Données projet'!$E$9+1,1))-AVERAGE(OFFSET($H$3,0,0,'Données projet'!$E$9+1,1))</f>
        <v>299.17641394512162</v>
      </c>
      <c r="T151" s="62">
        <f t="shared" si="142"/>
        <v>180.73046320039873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10.239394783658968</v>
      </c>
      <c r="AA151" s="23">
        <f>EXP(-LN(2)/25)*AA150+(1-EXP(-LN(2)/25))/(LN(2)/25)*Calculateur!V151*Calculateur!X151*VLOOKUP('Données projet'!$B$9,Paramètres!$A$1:$I$89,3,0)*0.475*44/12</f>
        <v>7.5202494326007105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17.75964421625968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4.4499999999999931</v>
      </c>
      <c r="AI151" s="14">
        <f>IF('Données projet'!$A$62&gt;35,AI150+AH151-AQ150,IF(A151&lt;'Données projet'!$A$62,$AF$205^A151,IF(A151='Données projet'!$A$62,'Données projet'!$B$62,AI150+AH151-AQ150)))</f>
        <v>361.28999999999871</v>
      </c>
      <c r="AJ151" s="14">
        <f>AI151*VLOOKUP('Données projet'!$B$10,Paramètres!$A$1:$I$89,3,0)*VLOOKUP('Données projet'!$B$10,Paramètres!$A$1:$I$89,5,0)</f>
        <v>366.34805999999872</v>
      </c>
      <c r="AK151" s="14">
        <f t="shared" si="143"/>
        <v>84.919750876988729</v>
      </c>
      <c r="AL151" s="22">
        <f t="shared" si="112"/>
        <v>785.95810394408647</v>
      </c>
      <c r="AM151" s="62">
        <f t="shared" si="113"/>
        <v>1079.2914372774198</v>
      </c>
      <c r="AN151" s="62">
        <f ca="1">AVERAGE(OFFSET($AM$3,0,0,'Données projet'!$E$10+1,1))-AVERAGE(OFFSET($H$3,0,0,'Données projet'!$E$10+1,1))</f>
        <v>384.66322295929552</v>
      </c>
      <c r="AO151" s="62">
        <f t="shared" si="144"/>
        <v>248.53970183513286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10.487856785556396</v>
      </c>
      <c r="AV151" s="23">
        <f>EXP(-LN(2)/25)*AV150+(1-EXP(-LN(2)/25))/(LN(2)/25)*Calculateur!AQ151*Calculateur!AS151*VLOOKUP('Données projet'!$B$10,Paramètres!$A$1:$I$89,3,0)*0.475*44/12</f>
        <v>7.6035722004660347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18.091428986022429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343.79999999999995</v>
      </c>
      <c r="BE151" s="14">
        <f>BD151*VLOOKUP('Données projet'!$B$11,Paramètres!$A$1:$I$89,3,0)*VLOOKUP('Données projet'!$B$11,Paramètres!$A$1:$I$89,5,0)</f>
        <v>205.5924</v>
      </c>
      <c r="BF151" s="14">
        <f t="shared" si="145"/>
        <v>50.971228364263673</v>
      </c>
      <c r="BG151" s="22">
        <f t="shared" si="115"/>
        <v>446.84831940109251</v>
      </c>
      <c r="BH151" s="62">
        <f t="shared" si="116"/>
        <v>740.18165273442582</v>
      </c>
      <c r="BI151" s="62">
        <f ca="1">AVERAGE(OFFSET($BH$3,0,0,'Données projet'!$E$11+1,1))-AVERAGE(OFFSET($H$3,0,0,'Données projet'!$E$11+1,1))</f>
        <v>146.25807703055079</v>
      </c>
      <c r="BJ151" s="62">
        <f t="shared" si="146"/>
        <v>177.40137940534413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0.92021403753105824</v>
      </c>
      <c r="BQ151" s="23">
        <f>EXP(-LN(2)/25)*BQ150+(1-EXP(-LN(2)/25))/(LN(2)/25)*Calculateur!BL151*Calculateur!BN151*VLOOKUP('Données projet'!$B$11,Paramètres!$A$1:$I$89,3,0)*0.475*44/12</f>
        <v>0.37017729688182843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1.2903913344128868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760.1400000000001</v>
      </c>
      <c r="BZ151" s="14">
        <f>BY151*VLOOKUP('Données projet'!$B$12,Paramètres!$A$1:$I$89,3,0)*VLOOKUP('Données projet'!$B$12,Paramètres!$A$1:$I$89,5,0)</f>
        <v>355.74552000000006</v>
      </c>
      <c r="CA151" s="14">
        <f t="shared" si="147"/>
        <v>82.744450026504168</v>
      </c>
      <c r="CB151" s="22">
        <f t="shared" si="118"/>
        <v>763.70336446282818</v>
      </c>
      <c r="CC151" s="62">
        <f t="shared" si="119"/>
        <v>1057.0366977961614</v>
      </c>
      <c r="CD151" s="62">
        <f ca="1">AVERAGE(OFFSET($CC$3,0,0,'Données projet'!$E$12+1,1))-AVERAGE(OFFSET($H$3,0,0,'Données projet'!$E$12+1,1))</f>
        <v>287.12723448949828</v>
      </c>
      <c r="CE151" s="62">
        <f t="shared" si="148"/>
        <v>170.5203352323382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1.1169233553610927</v>
      </c>
      <c r="CL151" s="23">
        <f>EXP(-LN(2)/25)*CL150+(1-EXP(-LN(2)/25))/(LN(2)/25)*Calculateur!CG151*Calculateur!CI151*VLOOKUP('Données projet'!$B$12,Paramètres!$A$1:$I$89,3,0)*0.475*44/12</f>
        <v>3.5006885879211698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4.6176119432822622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477.12000000000097</v>
      </c>
      <c r="CU151" s="18">
        <f>CT151*VLOOKUP('Données projet'!$B$13,Paramètres!$A$1:$I$89,3,0)*VLOOKUP('Données projet'!$B$13,Paramètres!$A$1:$I$89,5,0)</f>
        <v>461.47046400000096</v>
      </c>
      <c r="CV151" s="14">
        <f t="shared" si="149"/>
        <v>104.13329806929862</v>
      </c>
      <c r="CW151" s="22">
        <f t="shared" si="121"/>
        <v>985.09321893736342</v>
      </c>
      <c r="CX151" s="62">
        <f t="shared" si="122"/>
        <v>1278.4265522706967</v>
      </c>
      <c r="CY151" s="62">
        <f ca="1">AVERAGE(OFFSET($CX$3,0,0,'Données projet'!$E$13+1,1))-AVERAGE(OFFSET($H$3,0,0,'Données projet'!$E$13+1,1))</f>
        <v>467.37715054082025</v>
      </c>
      <c r="CZ151" s="62">
        <f t="shared" si="150"/>
        <v>443.35096563136415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0.97393465863715778</v>
      </c>
      <c r="DG151" s="23">
        <f>EXP(-LN(2)/25)*DG150+(1-EXP(-LN(2)/25))/(LN(2)/25)*Calculateur!DB151*Calculateur!DD151*VLOOKUP('Données projet'!$B$13,Paramètres!$A$1:$I$89,3,0)*0.475*44/12</f>
        <v>0.55515861716708437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1.5290932758042421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477.12000000000097</v>
      </c>
      <c r="DP151" s="18">
        <f>DO151*VLOOKUP('Données projet'!$B$14,Paramètres!$A$1:$I$89,3,0)*VLOOKUP('Données projet'!$B$14,Paramètres!$A$1:$I$89,5,0)</f>
        <v>513.57196800000099</v>
      </c>
      <c r="DQ151" s="14">
        <f t="shared" si="151"/>
        <v>114.45621584436451</v>
      </c>
      <c r="DR151" s="22">
        <f t="shared" si="124"/>
        <v>1093.8157535289363</v>
      </c>
      <c r="DS151" s="62">
        <f t="shared" si="125"/>
        <v>1387.1490868622695</v>
      </c>
      <c r="DT151" s="62">
        <f ca="1">AVERAGE(OFFSET($DS$3,0,0,'Données projet'!$E$14+1,1))-AVERAGE(OFFSET($H$3,0,0,'Données projet'!$E$14+1,1))</f>
        <v>524.51242549438939</v>
      </c>
      <c r="DU151" s="62">
        <f t="shared" si="152"/>
        <v>494.88778446576327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1.0838950233219966</v>
      </c>
      <c r="EB151" s="23">
        <f>EXP(-LN(2)/25)*EB150+(1-EXP(-LN(2)/25))/(LN(2)/25)*Calculateur!DW151*Calculateur!DY151*VLOOKUP('Données projet'!$B$14,Paramètres!$A$1:$I$89,3,0)*0.475*44/12</f>
        <v>0.61783781587949738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1.7017328392014939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547.63311013951943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1.1999999999999982</v>
      </c>
      <c r="N152" s="14">
        <f>IF('Données projet'!$A$36&gt;35,N151+M152-V151,IF(A152&lt;'Données projet'!$A$36,$K$205^A152,IF(A152='Données projet'!$A$36,'Données projet'!$B$36,N151+M152-V151)))</f>
        <v>275.4199999999999</v>
      </c>
      <c r="O152" s="14">
        <f>N152*VLOOKUP('Données projet'!$B$9,Paramètres!$A$1:$I$89,3,0)*VLOOKUP('Données projet'!$B$9,Paramètres!$A$1:$I$89,5,0)</f>
        <v>249.20001599999989</v>
      </c>
      <c r="P152" s="14">
        <f t="shared" si="141"/>
        <v>60.414604377852122</v>
      </c>
      <c r="Q152" s="22">
        <f t="shared" si="108"/>
        <v>539.24546382475887</v>
      </c>
      <c r="R152" s="62">
        <f t="shared" si="109"/>
        <v>832.57879715809213</v>
      </c>
      <c r="S152" s="62">
        <f ca="1">AVERAGE(OFFSET($R$3,0,0,'Données projet'!$E$9+1,1))-AVERAGE(OFFSET($H$3,0,0,'Données projet'!$E$9+1,1))</f>
        <v>299.17641394512162</v>
      </c>
      <c r="T152" s="62">
        <f t="shared" si="142"/>
        <v>180.73046320039873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10.038606497365549</v>
      </c>
      <c r="AA152" s="23">
        <f>EXP(-LN(2)/25)*AA151+(1-EXP(-LN(2)/25))/(LN(2)/25)*Calculateur!V152*Calculateur!X152*VLOOKUP('Données projet'!$B$9,Paramètres!$A$1:$I$89,3,0)*0.475*44/12</f>
        <v>7.3146078163935142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17.353214313759064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4.4499999999999931</v>
      </c>
      <c r="AI152" s="14">
        <f>IF('Données projet'!$A$62&gt;35,AI151+AH152-AQ151,IF(A152&lt;'Données projet'!$A$62,$AF$205^A152,IF(A152='Données projet'!$A$62,'Données projet'!$B$62,AI151+AH152-AQ151)))</f>
        <v>365.7399999999987</v>
      </c>
      <c r="AJ152" s="14">
        <f>AI152*VLOOKUP('Données projet'!$B$10,Paramètres!$A$1:$I$89,3,0)*VLOOKUP('Données projet'!$B$10,Paramètres!$A$1:$I$89,5,0)</f>
        <v>370.86035999999871</v>
      </c>
      <c r="AK152" s="14">
        <f t="shared" si="143"/>
        <v>85.843296751268767</v>
      </c>
      <c r="AL152" s="22">
        <f t="shared" si="112"/>
        <v>795.42553550845741</v>
      </c>
      <c r="AM152" s="62">
        <f t="shared" si="113"/>
        <v>1088.7588688417907</v>
      </c>
      <c r="AN152" s="62">
        <f ca="1">AVERAGE(OFFSET($AM$3,0,0,'Données projet'!$E$10+1,1))-AVERAGE(OFFSET($H$3,0,0,'Données projet'!$E$10+1,1))</f>
        <v>384.66322295929552</v>
      </c>
      <c r="AO152" s="62">
        <f t="shared" si="144"/>
        <v>248.53970183513286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10.282196310952626</v>
      </c>
      <c r="AV152" s="23">
        <f>EXP(-LN(2)/25)*AV151+(1-EXP(-LN(2)/25))/(LN(2)/25)*Calculateur!AQ152*Calculateur!AS152*VLOOKUP('Données projet'!$B$10,Paramètres!$A$1:$I$89,3,0)*0.475*44/12</f>
        <v>7.3956521187898074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17.677848429742433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343.79999999999995</v>
      </c>
      <c r="BE152" s="14">
        <f>BD152*VLOOKUP('Données projet'!$B$11,Paramètres!$A$1:$I$89,3,0)*VLOOKUP('Données projet'!$B$11,Paramètres!$A$1:$I$89,5,0)</f>
        <v>205.5924</v>
      </c>
      <c r="BF152" s="14">
        <f t="shared" si="145"/>
        <v>50.971228364263673</v>
      </c>
      <c r="BG152" s="22">
        <f t="shared" si="115"/>
        <v>446.84831940109251</v>
      </c>
      <c r="BH152" s="62">
        <f t="shared" si="116"/>
        <v>740.18165273442582</v>
      </c>
      <c r="BI152" s="62">
        <f ca="1">AVERAGE(OFFSET($BH$3,0,0,'Données projet'!$E$11+1,1))-AVERAGE(OFFSET($H$3,0,0,'Données projet'!$E$11+1,1))</f>
        <v>146.25807703055079</v>
      </c>
      <c r="BJ152" s="62">
        <f t="shared" si="146"/>
        <v>177.40137940534413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0.90216920153021574</v>
      </c>
      <c r="BQ152" s="23">
        <f>EXP(-LN(2)/25)*BQ151+(1-EXP(-LN(2)/25))/(LN(2)/25)*Calculateur!BL152*Calculateur!BN152*VLOOKUP('Données projet'!$B$11,Paramètres!$A$1:$I$89,3,0)*0.475*44/12</f>
        <v>0.36005477923181683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1.2622239807620326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760.1400000000001</v>
      </c>
      <c r="BZ152" s="14">
        <f>BY152*VLOOKUP('Données projet'!$B$12,Paramètres!$A$1:$I$89,3,0)*VLOOKUP('Données projet'!$B$12,Paramètres!$A$1:$I$89,5,0)</f>
        <v>355.74552000000006</v>
      </c>
      <c r="CA152" s="14">
        <f t="shared" si="147"/>
        <v>82.744450026504168</v>
      </c>
      <c r="CB152" s="22">
        <f t="shared" si="118"/>
        <v>763.70336446282818</v>
      </c>
      <c r="CC152" s="62">
        <f t="shared" si="119"/>
        <v>1057.0366977961614</v>
      </c>
      <c r="CD152" s="62">
        <f ca="1">AVERAGE(OFFSET($CC$3,0,0,'Données projet'!$E$12+1,1))-AVERAGE(OFFSET($H$3,0,0,'Données projet'!$E$12+1,1))</f>
        <v>287.12723448949828</v>
      </c>
      <c r="CE152" s="62">
        <f t="shared" si="148"/>
        <v>170.5203352323382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1.09502116961844</v>
      </c>
      <c r="CL152" s="23">
        <f>EXP(-LN(2)/25)*CL151+(1-EXP(-LN(2)/25))/(LN(2)/25)*Calculateur!CG152*Calculateur!CI152*VLOOKUP('Données projet'!$B$12,Paramètres!$A$1:$I$89,3,0)*0.475*44/12</f>
        <v>3.4049620743912534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4.4999832440096936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477.12000000000097</v>
      </c>
      <c r="CU152" s="18">
        <f>CT152*VLOOKUP('Données projet'!$B$13,Paramètres!$A$1:$I$89,3,0)*VLOOKUP('Données projet'!$B$13,Paramètres!$A$1:$I$89,5,0)</f>
        <v>461.47046400000096</v>
      </c>
      <c r="CV152" s="14">
        <f t="shared" si="149"/>
        <v>104.13329806929862</v>
      </c>
      <c r="CW152" s="22">
        <f t="shared" si="121"/>
        <v>985.09321893736342</v>
      </c>
      <c r="CX152" s="62">
        <f t="shared" si="122"/>
        <v>1278.4265522706967</v>
      </c>
      <c r="CY152" s="62">
        <f ca="1">AVERAGE(OFFSET($CX$3,0,0,'Données projet'!$E$13+1,1))-AVERAGE(OFFSET($H$3,0,0,'Données projet'!$E$13+1,1))</f>
        <v>467.37715054082025</v>
      </c>
      <c r="CZ152" s="62">
        <f t="shared" si="150"/>
        <v>443.35096563136415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0.95483639402276821</v>
      </c>
      <c r="DG152" s="23">
        <f>EXP(-LN(2)/25)*DG151+(1-EXP(-LN(2)/25))/(LN(2)/25)*Calculateur!DB152*Calculateur!DD152*VLOOKUP('Données projet'!$B$13,Paramètres!$A$1:$I$89,3,0)*0.475*44/12</f>
        <v>0.53997777558612758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1.4948141696088957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477.12000000000097</v>
      </c>
      <c r="DP152" s="18">
        <f>DO152*VLOOKUP('Données projet'!$B$14,Paramètres!$A$1:$I$89,3,0)*VLOOKUP('Données projet'!$B$14,Paramètres!$A$1:$I$89,5,0)</f>
        <v>513.57196800000099</v>
      </c>
      <c r="DQ152" s="14">
        <f t="shared" si="151"/>
        <v>114.45621584436451</v>
      </c>
      <c r="DR152" s="22">
        <f t="shared" si="124"/>
        <v>1093.8157535289363</v>
      </c>
      <c r="DS152" s="62">
        <f t="shared" si="125"/>
        <v>1387.1490868622695</v>
      </c>
      <c r="DT152" s="62">
        <f ca="1">AVERAGE(OFFSET($DS$3,0,0,'Données projet'!$E$14+1,1))-AVERAGE(OFFSET($H$3,0,0,'Données projet'!$E$14+1,1))</f>
        <v>524.51242549438939</v>
      </c>
      <c r="DU152" s="62">
        <f t="shared" si="152"/>
        <v>494.88778446576327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1.0626405030253372</v>
      </c>
      <c r="EB152" s="23">
        <f>EXP(-LN(2)/25)*EB151+(1-EXP(-LN(2)/25))/(LN(2)/25)*Calculateur!DW152*Calculateur!DY152*VLOOKUP('Données projet'!$B$14,Paramètres!$A$1:$I$89,3,0)*0.475*44/12</f>
        <v>0.60094300831359382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1.663583511338931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549.53872812441477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1.1999999999999982</v>
      </c>
      <c r="N153" s="14">
        <f>IF('Données projet'!$A$36&gt;35,N152+M153-V152,IF(A153&lt;'Données projet'!$A$36,$K$205^A153,IF(A153='Données projet'!$A$36,'Données projet'!$B$36,N152+M153-V152)))</f>
        <v>276.61999999999989</v>
      </c>
      <c r="O153" s="14">
        <f>N153*VLOOKUP('Données projet'!$B$9,Paramètres!$A$1:$I$89,3,0)*VLOOKUP('Données projet'!$B$9,Paramètres!$A$1:$I$89,5,0)</f>
        <v>250.28577599999988</v>
      </c>
      <c r="P153" s="14">
        <f t="shared" si="141"/>
        <v>60.647131412164285</v>
      </c>
      <c r="Q153" s="22">
        <f t="shared" si="108"/>
        <v>541.54148040951929</v>
      </c>
      <c r="R153" s="62">
        <f t="shared" si="109"/>
        <v>834.87481374285267</v>
      </c>
      <c r="S153" s="62">
        <f ca="1">AVERAGE(OFFSET($R$3,0,0,'Données projet'!$E$9+1,1))-AVERAGE(OFFSET($H$3,0,0,'Données projet'!$E$9+1,1))</f>
        <v>299.17641394512162</v>
      </c>
      <c r="T153" s="62">
        <f t="shared" si="142"/>
        <v>180.73046320039873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9.8417555468975841</v>
      </c>
      <c r="AA153" s="23">
        <f>EXP(-LN(2)/25)*AA152+(1-EXP(-LN(2)/25))/(LN(2)/25)*Calculateur!V153*Calculateur!X153*VLOOKUP('Données projet'!$B$9,Paramètres!$A$1:$I$89,3,0)*0.475*44/12</f>
        <v>7.1145894809957264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16.95634502789331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4.4499999999999931</v>
      </c>
      <c r="AI153" s="14">
        <f>IF('Données projet'!$A$62&gt;35,AI152+AH153-AQ152,IF(A153&lt;'Données projet'!$A$62,$AF$205^A153,IF(A153='Données projet'!$A$62,'Données projet'!$B$62,AI152+AH153-AQ152)))</f>
        <v>370.18999999999869</v>
      </c>
      <c r="AJ153" s="14">
        <f>AI153*VLOOKUP('Données projet'!$B$10,Paramètres!$A$1:$I$89,3,0)*VLOOKUP('Données projet'!$B$10,Paramètres!$A$1:$I$89,5,0)</f>
        <v>375.37265999999869</v>
      </c>
      <c r="AK153" s="14">
        <f t="shared" si="143"/>
        <v>86.76553554354291</v>
      </c>
      <c r="AL153" s="22">
        <f t="shared" si="112"/>
        <v>804.89069057166819</v>
      </c>
      <c r="AM153" s="62">
        <f t="shared" si="113"/>
        <v>1098.2240239050016</v>
      </c>
      <c r="AN153" s="62">
        <f ca="1">AVERAGE(OFFSET($AM$3,0,0,'Données projet'!$E$10+1,1))-AVERAGE(OFFSET($H$3,0,0,'Données projet'!$E$10+1,1))</f>
        <v>384.66322295929552</v>
      </c>
      <c r="AO153" s="62">
        <f t="shared" si="144"/>
        <v>248.53970183513286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10.080568712815333</v>
      </c>
      <c r="AV153" s="23">
        <f>EXP(-LN(2)/25)*AV152+(1-EXP(-LN(2)/25))/(LN(2)/25)*Calculateur!AQ153*Calculateur!AS153*VLOOKUP('Données projet'!$B$10,Paramètres!$A$1:$I$89,3,0)*0.475*44/12</f>
        <v>7.193417622681058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17.273986335496392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343.79999999999995</v>
      </c>
      <c r="BE153" s="14">
        <f>BD153*VLOOKUP('Données projet'!$B$11,Paramètres!$A$1:$I$89,3,0)*VLOOKUP('Données projet'!$B$11,Paramètres!$A$1:$I$89,5,0)</f>
        <v>205.5924</v>
      </c>
      <c r="BF153" s="14">
        <f t="shared" si="145"/>
        <v>50.971228364263673</v>
      </c>
      <c r="BG153" s="22">
        <f t="shared" si="115"/>
        <v>446.84831940109251</v>
      </c>
      <c r="BH153" s="62">
        <f t="shared" si="116"/>
        <v>740.18165273442582</v>
      </c>
      <c r="BI153" s="62">
        <f ca="1">AVERAGE(OFFSET($BH$3,0,0,'Données projet'!$E$11+1,1))-AVERAGE(OFFSET($H$3,0,0,'Données projet'!$E$11+1,1))</f>
        <v>146.25807703055079</v>
      </c>
      <c r="BJ153" s="62">
        <f t="shared" si="146"/>
        <v>177.40137940534413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0.88447821375708657</v>
      </c>
      <c r="BQ153" s="23">
        <f>EXP(-LN(2)/25)*BQ152+(1-EXP(-LN(2)/25))/(LN(2)/25)*Calculateur!BL153*Calculateur!BN153*VLOOKUP('Données projet'!$B$11,Paramètres!$A$1:$I$89,3,0)*0.475*44/12</f>
        <v>0.35020906235926486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1.2346872761163514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760.1400000000001</v>
      </c>
      <c r="BZ153" s="14">
        <f>BY153*VLOOKUP('Données projet'!$B$12,Paramètres!$A$1:$I$89,3,0)*VLOOKUP('Données projet'!$B$12,Paramètres!$A$1:$I$89,5,0)</f>
        <v>355.74552000000006</v>
      </c>
      <c r="CA153" s="14">
        <f t="shared" si="147"/>
        <v>82.744450026504168</v>
      </c>
      <c r="CB153" s="22">
        <f t="shared" si="118"/>
        <v>763.70336446282818</v>
      </c>
      <c r="CC153" s="62">
        <f t="shared" si="119"/>
        <v>1057.0366977961614</v>
      </c>
      <c r="CD153" s="62">
        <f ca="1">AVERAGE(OFFSET($CC$3,0,0,'Données projet'!$E$12+1,1))-AVERAGE(OFFSET($H$3,0,0,'Données projet'!$E$12+1,1))</f>
        <v>287.12723448949828</v>
      </c>
      <c r="CE153" s="62">
        <f t="shared" si="148"/>
        <v>170.5203352323382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1.0735484723791866</v>
      </c>
      <c r="CL153" s="23">
        <f>EXP(-LN(2)/25)*CL152+(1-EXP(-LN(2)/25))/(LN(2)/25)*Calculateur!CG153*Calculateur!CI153*VLOOKUP('Données projet'!$B$12,Paramètres!$A$1:$I$89,3,0)*0.475*44/12</f>
        <v>3.3118532074078511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4.3854016797870372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477.12000000000097</v>
      </c>
      <c r="CU153" s="18">
        <f>CT153*VLOOKUP('Données projet'!$B$13,Paramètres!$A$1:$I$89,3,0)*VLOOKUP('Données projet'!$B$13,Paramètres!$A$1:$I$89,5,0)</f>
        <v>461.47046400000096</v>
      </c>
      <c r="CV153" s="14">
        <f t="shared" si="149"/>
        <v>104.13329806929862</v>
      </c>
      <c r="CW153" s="22">
        <f t="shared" si="121"/>
        <v>985.09321893736342</v>
      </c>
      <c r="CX153" s="62">
        <f t="shared" si="122"/>
        <v>1278.4265522706967</v>
      </c>
      <c r="CY153" s="62">
        <f ca="1">AVERAGE(OFFSET($CX$3,0,0,'Données projet'!$E$13+1,1))-AVERAGE(OFFSET($H$3,0,0,'Données projet'!$E$13+1,1))</f>
        <v>467.37715054082025</v>
      </c>
      <c r="CZ153" s="62">
        <f t="shared" si="150"/>
        <v>443.35096563136415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0.93611263472867556</v>
      </c>
      <c r="DG153" s="23">
        <f>EXP(-LN(2)/25)*DG152+(1-EXP(-LN(2)/25))/(LN(2)/25)*Calculateur!DB153*Calculateur!DD153*VLOOKUP('Données projet'!$B$13,Paramètres!$A$1:$I$89,3,0)*0.475*44/12</f>
        <v>0.52521205491652789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1.4613246896452035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477.12000000000097</v>
      </c>
      <c r="DP153" s="18">
        <f>DO153*VLOOKUP('Données projet'!$B$14,Paramètres!$A$1:$I$89,3,0)*VLOOKUP('Données projet'!$B$14,Paramètres!$A$1:$I$89,5,0)</f>
        <v>513.57196800000099</v>
      </c>
      <c r="DQ153" s="14">
        <f t="shared" si="151"/>
        <v>114.45621584436451</v>
      </c>
      <c r="DR153" s="22">
        <f t="shared" si="124"/>
        <v>1093.8157535289363</v>
      </c>
      <c r="DS153" s="62">
        <f t="shared" si="125"/>
        <v>1387.1490868622695</v>
      </c>
      <c r="DT153" s="62">
        <f ca="1">AVERAGE(OFFSET($DS$3,0,0,'Données projet'!$E$14+1,1))-AVERAGE(OFFSET($H$3,0,0,'Données projet'!$E$14+1,1))</f>
        <v>524.51242549438939</v>
      </c>
      <c r="DU153" s="62">
        <f t="shared" si="152"/>
        <v>494.88778446576327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1.041802770907718</v>
      </c>
      <c r="EB153" s="23">
        <f>EXP(-LN(2)/25)*EB152+(1-EXP(-LN(2)/25))/(LN(2)/25)*Calculateur!DW153*Calculateur!DY153*VLOOKUP('Données projet'!$B$14,Paramètres!$A$1:$I$89,3,0)*0.475*44/12</f>
        <v>0.58451019014903927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1.6263129610567573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551.4440692384635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1.1999999999999982</v>
      </c>
      <c r="N154" s="14">
        <f>IF('Données projet'!$A$36&gt;35,N153+M154-V153,IF(A154&lt;'Données projet'!$A$36,$K$205^A154,IF(A154='Données projet'!$A$36,'Données projet'!$B$36,N153+M154-V153)))</f>
        <v>277.81999999999988</v>
      </c>
      <c r="O154" s="14">
        <f>N154*VLOOKUP('Données projet'!$B$9,Paramètres!$A$1:$I$89,3,0)*VLOOKUP('Données projet'!$B$9,Paramètres!$A$1:$I$89,5,0)</f>
        <v>251.37153599999991</v>
      </c>
      <c r="P154" s="14">
        <f t="shared" si="141"/>
        <v>60.879541060586114</v>
      </c>
      <c r="Q154" s="22">
        <f t="shared" ref="Q154:Q203" si="162">(O154+P154)*0.475*44/12</f>
        <v>543.83729254718719</v>
      </c>
      <c r="R154" s="62">
        <f t="shared" si="109"/>
        <v>837.17062588052045</v>
      </c>
      <c r="S154" s="62">
        <f ca="1">AVERAGE(OFFSET($R$3,0,0,'Données projet'!$E$9+1,1))-AVERAGE(OFFSET($H$3,0,0,'Données projet'!$E$9+1,1))</f>
        <v>299.17641394512162</v>
      </c>
      <c r="T154" s="62">
        <f t="shared" si="142"/>
        <v>180.73046320039873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9.6487647235010705</v>
      </c>
      <c r="AA154" s="23">
        <f>EXP(-LN(2)/25)*AA153+(1-EXP(-LN(2)/25))/(LN(2)/25)*Calculateur!V154*Calculateur!X154*VLOOKUP('Données projet'!$B$9,Paramètres!$A$1:$I$89,3,0)*0.475*44/12</f>
        <v>6.9200406574978981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16.568805380998967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4.4499999999999931</v>
      </c>
      <c r="AI154" s="14">
        <f>IF('Données projet'!$A$62&gt;35,AI153+AH154-AQ153,IF(A154&lt;'Données projet'!$A$62,$AF$205^A154,IF(A154='Données projet'!$A$62,'Données projet'!$B$62,AI153+AH154-AQ153)))</f>
        <v>374.63999999999868</v>
      </c>
      <c r="AJ154" s="14">
        <f>AI154*VLOOKUP('Données projet'!$B$10,Paramètres!$A$1:$I$89,3,0)*VLOOKUP('Données projet'!$B$10,Paramètres!$A$1:$I$89,5,0)</f>
        <v>379.88495999999867</v>
      </c>
      <c r="AK154" s="14">
        <f t="shared" ref="AK154:AK203" si="164">EXP(-1.0587+0.8836*LN(AJ154)+0.284)</f>
        <v>87.686484783540919</v>
      </c>
      <c r="AL154" s="22">
        <f t="shared" ref="AL154:AL203" si="165">(AJ154+AK154)*0.475*44/12</f>
        <v>814.35359966466478</v>
      </c>
      <c r="AM154" s="62">
        <f t="shared" si="113"/>
        <v>1107.6869329979982</v>
      </c>
      <c r="AN154" s="62">
        <f ca="1">AVERAGE(OFFSET($AM$3,0,0,'Données projet'!$E$10+1,1))-AVERAGE(OFFSET($H$3,0,0,'Données projet'!$E$10+1,1))</f>
        <v>384.66322295929552</v>
      </c>
      <c r="AO154" s="62">
        <f t="shared" si="144"/>
        <v>248.53970183513286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9.8828949088968212</v>
      </c>
      <c r="AV154" s="23">
        <f>EXP(-LN(2)/25)*AV153+(1-EXP(-LN(2)/25))/(LN(2)/25)*Calculateur!AQ154*Calculateur!AS154*VLOOKUP('Données projet'!$B$10,Paramètres!$A$1:$I$89,3,0)*0.475*44/12</f>
        <v>6.9967132395034524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16.879608148400273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343.79999999999995</v>
      </c>
      <c r="BE154" s="14">
        <f>BD154*VLOOKUP('Données projet'!$B$11,Paramètres!$A$1:$I$89,3,0)*VLOOKUP('Données projet'!$B$11,Paramètres!$A$1:$I$89,5,0)</f>
        <v>205.5924</v>
      </c>
      <c r="BF154" s="14">
        <f t="shared" ref="BF154:BF203" si="167">EXP(-1.0587+0.8836*LN(BE154)+0.284)</f>
        <v>50.971228364263673</v>
      </c>
      <c r="BG154" s="22">
        <f t="shared" ref="BG154:BG203" si="168">(BE154+BF154)*0.475*44/12</f>
        <v>446.84831940109251</v>
      </c>
      <c r="BH154" s="62">
        <f t="shared" si="116"/>
        <v>740.18165273442582</v>
      </c>
      <c r="BI154" s="62">
        <f ca="1">AVERAGE(OFFSET($BH$3,0,0,'Données projet'!$E$11+1,1))-AVERAGE(OFFSET($H$3,0,0,'Données projet'!$E$11+1,1))</f>
        <v>146.25807703055079</v>
      </c>
      <c r="BJ154" s="62">
        <f t="shared" si="146"/>
        <v>177.40137940534413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0.8671341354637514</v>
      </c>
      <c r="BQ154" s="23">
        <f>EXP(-LN(2)/25)*BQ153+(1-EXP(-LN(2)/25))/(LN(2)/25)*Calculateur!BL154*Calculateur!BN154*VLOOKUP('Données projet'!$B$11,Paramètres!$A$1:$I$89,3,0)*0.475*44/12</f>
        <v>0.34063257713235656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1.207766712596108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760.1400000000001</v>
      </c>
      <c r="BZ154" s="14">
        <f>BY154*VLOOKUP('Données projet'!$B$12,Paramètres!$A$1:$I$89,3,0)*VLOOKUP('Données projet'!$B$12,Paramètres!$A$1:$I$89,5,0)</f>
        <v>355.74552000000006</v>
      </c>
      <c r="CA154" s="14">
        <f t="shared" ref="CA154:CA203" si="170">EXP(-1.0587+0.8836*LN(BZ154)+0.284)</f>
        <v>82.744450026504168</v>
      </c>
      <c r="CB154" s="22">
        <f t="shared" ref="CB154:CB203" si="171">(BZ154+CA154)*0.475*44/12</f>
        <v>763.70336446282818</v>
      </c>
      <c r="CC154" s="62">
        <f t="shared" si="119"/>
        <v>1057.0366977961614</v>
      </c>
      <c r="CD154" s="62">
        <f ca="1">AVERAGE(OFFSET($CC$3,0,0,'Données projet'!$E$12+1,1))-AVERAGE(OFFSET($H$3,0,0,'Données projet'!$E$12+1,1))</f>
        <v>287.12723448949828</v>
      </c>
      <c r="CE154" s="62">
        <f t="shared" si="148"/>
        <v>170.5203352323382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1.0524968416357428</v>
      </c>
      <c r="CL154" s="23">
        <f>EXP(-LN(2)/25)*CL153+(1-EXP(-LN(2)/25))/(LN(2)/25)*Calculateur!CG154*Calculateur!CI154*VLOOKUP('Données projet'!$B$12,Paramètres!$A$1:$I$89,3,0)*0.475*44/12</f>
        <v>3.2212904072884925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4.2737872489242354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477.12000000000097</v>
      </c>
      <c r="CU154" s="18">
        <f>CT154*VLOOKUP('Données projet'!$B$13,Paramètres!$A$1:$I$89,3,0)*VLOOKUP('Données projet'!$B$13,Paramètres!$A$1:$I$89,5,0)</f>
        <v>461.47046400000096</v>
      </c>
      <c r="CV154" s="14">
        <f t="shared" ref="CV154:CV203" si="173">EXP(-1.0587+0.8836*LN(CU154)+0.284)</f>
        <v>104.13329806929862</v>
      </c>
      <c r="CW154" s="22">
        <f t="shared" ref="CW154:CW203" si="174">(CU154+CV154)*0.475*44/12</f>
        <v>985.09321893736342</v>
      </c>
      <c r="CX154" s="62">
        <f t="shared" si="122"/>
        <v>1278.4265522706967</v>
      </c>
      <c r="CY154" s="62">
        <f ca="1">AVERAGE(OFFSET($CX$3,0,0,'Données projet'!$E$13+1,1))-AVERAGE(OFFSET($H$3,0,0,'Données projet'!$E$13+1,1))</f>
        <v>467.37715054082025</v>
      </c>
      <c r="CZ154" s="62">
        <f t="shared" si="150"/>
        <v>443.35096563136415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0.91775603693397456</v>
      </c>
      <c r="DG154" s="23">
        <f>EXP(-LN(2)/25)*DG153+(1-EXP(-LN(2)/25))/(LN(2)/25)*Calculateur!DB154*Calculateur!DD154*VLOOKUP('Données projet'!$B$13,Paramètres!$A$1:$I$89,3,0)*0.475*44/12</f>
        <v>0.51085010365513384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1.4286061405891084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477.12000000000097</v>
      </c>
      <c r="DP154" s="18">
        <f>DO154*VLOOKUP('Données projet'!$B$14,Paramètres!$A$1:$I$89,3,0)*VLOOKUP('Données projet'!$B$14,Paramètres!$A$1:$I$89,5,0)</f>
        <v>513.57196800000099</v>
      </c>
      <c r="DQ154" s="14">
        <f t="shared" ref="DQ154:DQ203" si="176">EXP(-1.0587+0.8836*LN(DP154)+0.284)</f>
        <v>114.45621584436451</v>
      </c>
      <c r="DR154" s="22">
        <f t="shared" ref="DR154:DR203" si="177">(DP154+DQ154)*0.475*44/12</f>
        <v>1093.8157535289363</v>
      </c>
      <c r="DS154" s="62">
        <f t="shared" si="125"/>
        <v>1387.1490868622695</v>
      </c>
      <c r="DT154" s="62">
        <f ca="1">AVERAGE(OFFSET($DS$3,0,0,'Données projet'!$E$14+1,1))-AVERAGE(OFFSET($H$3,0,0,'Données projet'!$E$14+1,1))</f>
        <v>524.51242549438939</v>
      </c>
      <c r="DU154" s="62">
        <f t="shared" si="152"/>
        <v>494.88778446576327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1.0213736540071636</v>
      </c>
      <c r="EB154" s="23">
        <f>EXP(-LN(2)/25)*EB153+(1-EXP(-LN(2)/25))/(LN(2)/25)*Calculateur!DW154*Calculateur!DY154*VLOOKUP('Données projet'!$B$14,Paramètres!$A$1:$I$89,3,0)*0.475*44/12</f>
        <v>0.56852672826135875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1.5899003822685223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553.34913552791727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1.1999999999999982</v>
      </c>
      <c r="N155" s="14">
        <f>IF('Données projet'!$A$36&gt;35,N154+M155-V154,IF(A155&lt;'Données projet'!$A$36,$K$205^A155,IF(A155='Données projet'!$A$36,'Données projet'!$B$36,N154+M155-V154)))</f>
        <v>279.01999999999987</v>
      </c>
      <c r="O155" s="14">
        <f>N155*VLOOKUP('Données projet'!$B$9,Paramètres!$A$1:$I$89,3,0)*VLOOKUP('Données projet'!$B$9,Paramètres!$A$1:$I$89,5,0)</f>
        <v>252.4572959999999</v>
      </c>
      <c r="P155" s="14">
        <f t="shared" si="141"/>
        <v>61.11183388902699</v>
      </c>
      <c r="Q155" s="22">
        <f t="shared" si="162"/>
        <v>546.13290122338844</v>
      </c>
      <c r="R155" s="62">
        <f t="shared" si="109"/>
        <v>839.4662345567217</v>
      </c>
      <c r="S155" s="62">
        <f ca="1">AVERAGE(OFFSET($R$3,0,0,'Données projet'!$E$9+1,1))-AVERAGE(OFFSET($H$3,0,0,'Données projet'!$E$9+1,1))</f>
        <v>299.17641394512162</v>
      </c>
      <c r="T155" s="62">
        <f t="shared" si="142"/>
        <v>180.73046320039873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9.4595583324385846</v>
      </c>
      <c r="AA155" s="23">
        <f>EXP(-LN(2)/25)*AA154+(1-EXP(-LN(2)/25))/(LN(2)/25)*Calculateur!V155*Calculateur!X155*VLOOKUP('Données projet'!$B$9,Paramètres!$A$1:$I$89,3,0)*0.475*44/12</f>
        <v>6.7308117818094955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16.190370114248079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4.4499999999999931</v>
      </c>
      <c r="AI155" s="14">
        <f>IF('Données projet'!$A$62&gt;35,AI154+AH155-AQ154,IF(A155&lt;'Données projet'!$A$62,$AF$205^A155,IF(A155='Données projet'!$A$62,'Données projet'!$B$62,AI154+AH155-AQ154)))</f>
        <v>379.08999999999867</v>
      </c>
      <c r="AJ155" s="14">
        <f>AI155*VLOOKUP('Données projet'!$B$10,Paramètres!$A$1:$I$89,3,0)*VLOOKUP('Données projet'!$B$10,Paramètres!$A$1:$I$89,5,0)</f>
        <v>384.39725999999871</v>
      </c>
      <c r="AK155" s="14">
        <f t="shared" si="164"/>
        <v>88.606161560590792</v>
      </c>
      <c r="AL155" s="22">
        <f t="shared" si="165"/>
        <v>823.81429255136015</v>
      </c>
      <c r="AM155" s="62">
        <f t="shared" si="113"/>
        <v>1117.1476258846935</v>
      </c>
      <c r="AN155" s="62">
        <f ca="1">AVERAGE(OFFSET($AM$3,0,0,'Données projet'!$E$10+1,1))-AVERAGE(OFFSET($H$3,0,0,'Données projet'!$E$10+1,1))</f>
        <v>384.66322295929552</v>
      </c>
      <c r="AO155" s="62">
        <f t="shared" si="144"/>
        <v>248.53970183513286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9.6890973677040364</v>
      </c>
      <c r="AV155" s="23">
        <f>EXP(-LN(2)/25)*AV154+(1-EXP(-LN(2)/25))/(LN(2)/25)*Calculateur!AQ155*Calculateur!AS155*VLOOKUP('Données projet'!$B$10,Paramètres!$A$1:$I$89,3,0)*0.475*44/12</f>
        <v>6.805387748028072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16.494485115732108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343.79999999999995</v>
      </c>
      <c r="BE155" s="14">
        <f>BD155*VLOOKUP('Données projet'!$B$11,Paramètres!$A$1:$I$89,3,0)*VLOOKUP('Données projet'!$B$11,Paramètres!$A$1:$I$89,5,0)</f>
        <v>205.5924</v>
      </c>
      <c r="BF155" s="14">
        <f t="shared" si="167"/>
        <v>50.971228364263673</v>
      </c>
      <c r="BG155" s="22">
        <f t="shared" si="168"/>
        <v>446.84831940109251</v>
      </c>
      <c r="BH155" s="62">
        <f t="shared" si="116"/>
        <v>740.18165273442582</v>
      </c>
      <c r="BI155" s="62">
        <f ca="1">AVERAGE(OFFSET($BH$3,0,0,'Données projet'!$E$11+1,1))-AVERAGE(OFFSET($H$3,0,0,'Données projet'!$E$11+1,1))</f>
        <v>146.25807703055079</v>
      </c>
      <c r="BJ155" s="62">
        <f t="shared" si="146"/>
        <v>177.40137940534413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0.85013016396690533</v>
      </c>
      <c r="BQ155" s="23">
        <f>EXP(-LN(2)/25)*BQ154+(1-EXP(-LN(2)/25))/(LN(2)/25)*Calculateur!BL155*Calculateur!BN155*VLOOKUP('Données projet'!$B$11,Paramètres!$A$1:$I$89,3,0)*0.475*44/12</f>
        <v>0.33131796139758357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1.1814481253644888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760.1400000000001</v>
      </c>
      <c r="BZ155" s="14">
        <f>BY155*VLOOKUP('Données projet'!$B$12,Paramètres!$A$1:$I$89,3,0)*VLOOKUP('Données projet'!$B$12,Paramètres!$A$1:$I$89,5,0)</f>
        <v>355.74552000000006</v>
      </c>
      <c r="CA155" s="14">
        <f t="shared" si="170"/>
        <v>82.744450026504168</v>
      </c>
      <c r="CB155" s="22">
        <f t="shared" si="171"/>
        <v>763.70336446282818</v>
      </c>
      <c r="CC155" s="62">
        <f t="shared" si="119"/>
        <v>1057.0366977961614</v>
      </c>
      <c r="CD155" s="62">
        <f ca="1">AVERAGE(OFFSET($CC$3,0,0,'Données projet'!$E$12+1,1))-AVERAGE(OFFSET($H$3,0,0,'Données projet'!$E$12+1,1))</f>
        <v>287.12723448949828</v>
      </c>
      <c r="CE155" s="62">
        <f t="shared" si="148"/>
        <v>170.5203352323382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1.0318580205309509</v>
      </c>
      <c r="CL155" s="23">
        <f>EXP(-LN(2)/25)*CL154+(1-EXP(-LN(2)/25))/(LN(2)/25)*Calculateur!CG155*Calculateur!CI155*VLOOKUP('Données projet'!$B$12,Paramètres!$A$1:$I$89,3,0)*0.475*44/12</f>
        <v>3.1332040517008886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4.165062072231839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477.12000000000097</v>
      </c>
      <c r="CU155" s="18">
        <f>CT155*VLOOKUP('Données projet'!$B$13,Paramètres!$A$1:$I$89,3,0)*VLOOKUP('Données projet'!$B$13,Paramètres!$A$1:$I$89,5,0)</f>
        <v>461.47046400000096</v>
      </c>
      <c r="CV155" s="14">
        <f t="shared" si="173"/>
        <v>104.13329806929862</v>
      </c>
      <c r="CW155" s="22">
        <f t="shared" si="174"/>
        <v>985.09321893736342</v>
      </c>
      <c r="CX155" s="62">
        <f t="shared" si="122"/>
        <v>1278.4265522706967</v>
      </c>
      <c r="CY155" s="62">
        <f ca="1">AVERAGE(OFFSET($CX$3,0,0,'Données projet'!$E$13+1,1))-AVERAGE(OFFSET($H$3,0,0,'Données projet'!$E$13+1,1))</f>
        <v>467.37715054082025</v>
      </c>
      <c r="CZ155" s="62">
        <f t="shared" si="150"/>
        <v>443.35096563136415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0.89975940082560857</v>
      </c>
      <c r="DG155" s="23">
        <f>EXP(-LN(2)/25)*DG154+(1-EXP(-LN(2)/25))/(LN(2)/25)*Calculateur!DB155*Calculateur!DD155*VLOOKUP('Données projet'!$B$13,Paramètres!$A$1:$I$89,3,0)*0.475*44/12</f>
        <v>0.49688088070624481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1.3966402815318535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477.12000000000097</v>
      </c>
      <c r="DP155" s="18">
        <f>DO155*VLOOKUP('Données projet'!$B$14,Paramètres!$A$1:$I$89,3,0)*VLOOKUP('Données projet'!$B$14,Paramètres!$A$1:$I$89,5,0)</f>
        <v>513.57196800000099</v>
      </c>
      <c r="DQ155" s="14">
        <f t="shared" si="176"/>
        <v>114.45621584436451</v>
      </c>
      <c r="DR155" s="22">
        <f t="shared" si="177"/>
        <v>1093.8157535289363</v>
      </c>
      <c r="DS155" s="62">
        <f t="shared" si="125"/>
        <v>1387.1490868622695</v>
      </c>
      <c r="DT155" s="62">
        <f ca="1">AVERAGE(OFFSET($DS$3,0,0,'Données projet'!$E$14+1,1))-AVERAGE(OFFSET($H$3,0,0,'Données projet'!$E$14+1,1))</f>
        <v>524.51242549438939</v>
      </c>
      <c r="DU155" s="62">
        <f t="shared" si="152"/>
        <v>494.88778446576327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1.0013451396284982</v>
      </c>
      <c r="EB155" s="23">
        <f>EXP(-LN(2)/25)*EB154+(1-EXP(-LN(2)/25))/(LN(2)/25)*Calculateur!DW155*Calculateur!DY155*VLOOKUP('Données projet'!$B$14,Paramètres!$A$1:$I$89,3,0)*0.475*44/12</f>
        <v>0.55298033497953059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1.5543254746080288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555.25392901054693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1.1999999999999982</v>
      </c>
      <c r="N156" s="14">
        <f>IF('Données projet'!$A$36&gt;35,N155+M156-V155,IF(A156&lt;'Données projet'!$A$36,$K$205^A156,IF(A156='Données projet'!$A$36,'Données projet'!$B$36,N155+M156-V155)))</f>
        <v>280.21999999999986</v>
      </c>
      <c r="O156" s="14">
        <f>N156*VLOOKUP('Données projet'!$B$9,Paramètres!$A$1:$I$89,3,0)*VLOOKUP('Données projet'!$B$9,Paramètres!$A$1:$I$89,5,0)</f>
        <v>253.54305599999984</v>
      </c>
      <c r="P156" s="14">
        <f t="shared" si="141"/>
        <v>61.344010458246693</v>
      </c>
      <c r="Q156" s="22">
        <f t="shared" si="162"/>
        <v>548.4283074147794</v>
      </c>
      <c r="R156" s="62">
        <f t="shared" si="109"/>
        <v>841.76164074811277</v>
      </c>
      <c r="S156" s="62">
        <f ca="1">AVERAGE(OFFSET($R$3,0,0,'Données projet'!$E$9+1,1))-AVERAGE(OFFSET($H$3,0,0,'Données projet'!$E$9+1,1))</f>
        <v>299.17641394512162</v>
      </c>
      <c r="T156" s="62">
        <f t="shared" si="142"/>
        <v>180.73046320039873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9.2740621633003304</v>
      </c>
      <c r="AA156" s="23">
        <f>EXP(-LN(2)/25)*AA155+(1-EXP(-LN(2)/25))/(LN(2)/25)*Calculateur!V156*Calculateur!X156*VLOOKUP('Données projet'!$B$9,Paramètres!$A$1:$I$89,3,0)*0.475*44/12</f>
        <v>6.5467573796779064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15.820819542978237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4.4499999999999931</v>
      </c>
      <c r="AI156" s="14">
        <f>IF('Données projet'!$A$62&gt;35,AI155+AH156-AQ155,IF(A156&lt;'Données projet'!$A$62,$AF$205^A156,IF(A156='Données projet'!$A$62,'Données projet'!$B$62,AI155+AH156-AQ155)))</f>
        <v>383.53999999999866</v>
      </c>
      <c r="AJ156" s="14">
        <f>AI156*VLOOKUP('Données projet'!$B$10,Paramètres!$A$1:$I$89,3,0)*VLOOKUP('Données projet'!$B$10,Paramètres!$A$1:$I$89,5,0)</f>
        <v>388.90955999999869</v>
      </c>
      <c r="AK156" s="14">
        <f t="shared" si="164"/>
        <v>89.5245825397202</v>
      </c>
      <c r="AL156" s="22">
        <f t="shared" si="165"/>
        <v>833.27279825667711</v>
      </c>
      <c r="AM156" s="62">
        <f t="shared" si="113"/>
        <v>1126.6061315900104</v>
      </c>
      <c r="AN156" s="62">
        <f ca="1">AVERAGE(OFFSET($AM$3,0,0,'Données projet'!$E$10+1,1))-AVERAGE(OFFSET($H$3,0,0,'Données projet'!$E$10+1,1))</f>
        <v>384.66322295929552</v>
      </c>
      <c r="AO156" s="62">
        <f t="shared" si="144"/>
        <v>248.53970183513286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9.4991000780892136</v>
      </c>
      <c r="AV156" s="23">
        <f>EXP(-LN(2)/25)*AV155+(1-EXP(-LN(2)/25))/(LN(2)/25)*Calculateur!AQ156*Calculateur!AS156*VLOOKUP('Données projet'!$B$10,Paramètres!$A$1:$I$89,3,0)*0.475*44/12</f>
        <v>6.6192940621784571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16.118394140267672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343.79999999999995</v>
      </c>
      <c r="BE156" s="14">
        <f>BD156*VLOOKUP('Données projet'!$B$11,Paramètres!$A$1:$I$89,3,0)*VLOOKUP('Données projet'!$B$11,Paramètres!$A$1:$I$89,5,0)</f>
        <v>205.5924</v>
      </c>
      <c r="BF156" s="14">
        <f t="shared" si="167"/>
        <v>50.971228364263673</v>
      </c>
      <c r="BG156" s="22">
        <f t="shared" si="168"/>
        <v>446.84831940109251</v>
      </c>
      <c r="BH156" s="62">
        <f t="shared" si="116"/>
        <v>740.18165273442582</v>
      </c>
      <c r="BI156" s="62">
        <f ca="1">AVERAGE(OFFSET($BH$3,0,0,'Données projet'!$E$11+1,1))-AVERAGE(OFFSET($H$3,0,0,'Données projet'!$E$11+1,1))</f>
        <v>146.25807703055079</v>
      </c>
      <c r="BJ156" s="62">
        <f t="shared" si="146"/>
        <v>177.40137940534413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0.8334596299797139</v>
      </c>
      <c r="BQ156" s="23">
        <f>EXP(-LN(2)/25)*BQ155+(1-EXP(-LN(2)/25))/(LN(2)/25)*Calculateur!BL156*Calculateur!BN156*VLOOKUP('Données projet'!$B$11,Paramètres!$A$1:$I$89,3,0)*0.475*44/12</f>
        <v>0.32225805431991228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1.1557176842996262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760.1400000000001</v>
      </c>
      <c r="BZ156" s="14">
        <f>BY156*VLOOKUP('Données projet'!$B$12,Paramètres!$A$1:$I$89,3,0)*VLOOKUP('Données projet'!$B$12,Paramètres!$A$1:$I$89,5,0)</f>
        <v>355.74552000000006</v>
      </c>
      <c r="CA156" s="14">
        <f t="shared" si="170"/>
        <v>82.744450026504168</v>
      </c>
      <c r="CB156" s="22">
        <f t="shared" si="171"/>
        <v>763.70336446282818</v>
      </c>
      <c r="CC156" s="62">
        <f t="shared" si="119"/>
        <v>1057.0366977961614</v>
      </c>
      <c r="CD156" s="62">
        <f ca="1">AVERAGE(OFFSET($CC$3,0,0,'Données projet'!$E$12+1,1))-AVERAGE(OFFSET($H$3,0,0,'Données projet'!$E$12+1,1))</f>
        <v>287.12723448949828</v>
      </c>
      <c r="CE156" s="62">
        <f t="shared" si="148"/>
        <v>170.5203352323382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1.0116239141195862</v>
      </c>
      <c r="CL156" s="23">
        <f>EXP(-LN(2)/25)*CL155+(1-EXP(-LN(2)/25))/(LN(2)/25)*Calculateur!CG156*Calculateur!CI156*VLOOKUP('Données projet'!$B$12,Paramètres!$A$1:$I$89,3,0)*0.475*44/12</f>
        <v>3.0475264221390876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4.0591503362586741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477.12000000000097</v>
      </c>
      <c r="CU156" s="18">
        <f>CT156*VLOOKUP('Données projet'!$B$13,Paramètres!$A$1:$I$89,3,0)*VLOOKUP('Données projet'!$B$13,Paramètres!$A$1:$I$89,5,0)</f>
        <v>461.47046400000096</v>
      </c>
      <c r="CV156" s="14">
        <f t="shared" si="173"/>
        <v>104.13329806929862</v>
      </c>
      <c r="CW156" s="22">
        <f t="shared" si="174"/>
        <v>985.09321893736342</v>
      </c>
      <c r="CX156" s="62">
        <f t="shared" si="122"/>
        <v>1278.4265522706967</v>
      </c>
      <c r="CY156" s="62">
        <f ca="1">AVERAGE(OFFSET($CX$3,0,0,'Données projet'!$E$13+1,1))-AVERAGE(OFFSET($H$3,0,0,'Données projet'!$E$13+1,1))</f>
        <v>467.37715054082025</v>
      </c>
      <c r="CZ156" s="62">
        <f t="shared" si="150"/>
        <v>443.35096563136415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0.88211566777446349</v>
      </c>
      <c r="DG156" s="23">
        <f>EXP(-LN(2)/25)*DG155+(1-EXP(-LN(2)/25))/(LN(2)/25)*Calculateur!DB156*Calculateur!DD156*VLOOKUP('Données projet'!$B$13,Paramètres!$A$1:$I$89,3,0)*0.475*44/12</f>
        <v>0.48329364689350268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1.3654093146679662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477.12000000000097</v>
      </c>
      <c r="DP156" s="18">
        <f>DO156*VLOOKUP('Données projet'!$B$14,Paramètres!$A$1:$I$89,3,0)*VLOOKUP('Données projet'!$B$14,Paramètres!$A$1:$I$89,5,0)</f>
        <v>513.57196800000099</v>
      </c>
      <c r="DQ156" s="14">
        <f t="shared" si="176"/>
        <v>114.45621584436451</v>
      </c>
      <c r="DR156" s="22">
        <f t="shared" si="177"/>
        <v>1093.8157535289363</v>
      </c>
      <c r="DS156" s="62">
        <f t="shared" si="125"/>
        <v>1387.1490868622695</v>
      </c>
      <c r="DT156" s="62">
        <f ca="1">AVERAGE(OFFSET($DS$3,0,0,'Données projet'!$E$14+1,1))-AVERAGE(OFFSET($H$3,0,0,'Données projet'!$E$14+1,1))</f>
        <v>524.51242549438939</v>
      </c>
      <c r="DU156" s="62">
        <f t="shared" si="152"/>
        <v>494.88778446576327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0.98170937220061105</v>
      </c>
      <c r="EB156" s="23">
        <f>EXP(-LN(2)/25)*EB155+(1-EXP(-LN(2)/25))/(LN(2)/25)*Calculateur!DW156*Calculateur!DY156*VLOOKUP('Données projet'!$B$14,Paramètres!$A$1:$I$89,3,0)*0.475*44/12</f>
        <v>0.53785905863954331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1.5195684308401542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557.1584516762224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1.1999999999999982</v>
      </c>
      <c r="N157" s="14">
        <f>IF('Données projet'!$A$36&gt;35,N156+M157-V156,IF(A157&lt;'Données projet'!$A$36,$K$205^A157,IF(A157='Données projet'!$A$36,'Données projet'!$B$36,N156+M157-V156)))</f>
        <v>281.41999999999985</v>
      </c>
      <c r="O157" s="14">
        <f>N157*VLOOKUP('Données projet'!$B$9,Paramètres!$A$1:$I$89,3,0)*VLOOKUP('Données projet'!$B$9,Paramètres!$A$1:$I$89,5,0)</f>
        <v>254.62881599999983</v>
      </c>
      <c r="P157" s="14">
        <f t="shared" si="141"/>
        <v>61.576071323924076</v>
      </c>
      <c r="Q157" s="22">
        <f t="shared" si="162"/>
        <v>550.72351208916746</v>
      </c>
      <c r="R157" s="62">
        <f t="shared" si="109"/>
        <v>844.05684542250083</v>
      </c>
      <c r="S157" s="62">
        <f ca="1">AVERAGE(OFFSET($R$3,0,0,'Données projet'!$E$9+1,1))-AVERAGE(OFFSET($H$3,0,0,'Données projet'!$E$9+1,1))</f>
        <v>299.17641394512162</v>
      </c>
      <c r="T157" s="62">
        <f t="shared" si="142"/>
        <v>180.73046320039873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9.0922034608973856</v>
      </c>
      <c r="AA157" s="23">
        <f>EXP(-LN(2)/25)*AA156+(1-EXP(-LN(2)/25))/(LN(2)/25)*Calculateur!V157*Calculateur!X157*VLOOKUP('Données projet'!$B$9,Paramètres!$A$1:$I$89,3,0)*0.475*44/12</f>
        <v>6.3677359548516064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15.459939415748991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4.4499999999999931</v>
      </c>
      <c r="AI157" s="14">
        <f>IF('Données projet'!$A$62&gt;35,AI156+AH157-AQ156,IF(A157&lt;'Données projet'!$A$62,$AF$205^A157,IF(A157='Données projet'!$A$62,'Données projet'!$B$62,AI156+AH157-AQ156)))</f>
        <v>387.98999999999864</v>
      </c>
      <c r="AJ157" s="14">
        <f>AI157*VLOOKUP('Données projet'!$B$10,Paramètres!$A$1:$I$89,3,0)*VLOOKUP('Données projet'!$B$10,Paramètres!$A$1:$I$89,5,0)</f>
        <v>393.42185999999862</v>
      </c>
      <c r="AK157" s="14">
        <f t="shared" si="164"/>
        <v>90.441763976989193</v>
      </c>
      <c r="AL157" s="22">
        <f t="shared" si="165"/>
        <v>842.72914509325381</v>
      </c>
      <c r="AM157" s="62">
        <f t="shared" si="113"/>
        <v>1136.0624784265872</v>
      </c>
      <c r="AN157" s="62">
        <f ca="1">AVERAGE(OFFSET($AM$3,0,0,'Données projet'!$E$10+1,1))-AVERAGE(OFFSET($H$3,0,0,'Données projet'!$E$10+1,1))</f>
        <v>384.66322295929552</v>
      </c>
      <c r="AO157" s="62">
        <f t="shared" si="144"/>
        <v>248.53970183513286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9.3128285194368345</v>
      </c>
      <c r="AV157" s="23">
        <f>EXP(-LN(2)/25)*AV156+(1-EXP(-LN(2)/25))/(LN(2)/25)*Calculateur!AQ157*Calculateur!AS157*VLOOKUP('Données projet'!$B$10,Paramètres!$A$1:$I$89,3,0)*0.475*44/12</f>
        <v>6.4382891179546409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15.751117637391475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343.79999999999995</v>
      </c>
      <c r="BE157" s="14">
        <f>BD157*VLOOKUP('Données projet'!$B$11,Paramètres!$A$1:$I$89,3,0)*VLOOKUP('Données projet'!$B$11,Paramètres!$A$1:$I$89,5,0)</f>
        <v>205.5924</v>
      </c>
      <c r="BF157" s="14">
        <f t="shared" si="167"/>
        <v>50.971228364263673</v>
      </c>
      <c r="BG157" s="22">
        <f t="shared" si="168"/>
        <v>446.84831940109251</v>
      </c>
      <c r="BH157" s="62">
        <f t="shared" si="116"/>
        <v>740.18165273442582</v>
      </c>
      <c r="BI157" s="62">
        <f ca="1">AVERAGE(OFFSET($BH$3,0,0,'Données projet'!$E$11+1,1))-AVERAGE(OFFSET($H$3,0,0,'Données projet'!$E$11+1,1))</f>
        <v>146.25807703055079</v>
      </c>
      <c r="BJ157" s="62">
        <f t="shared" si="146"/>
        <v>177.40137940534413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0.81711599499598964</v>
      </c>
      <c r="BQ157" s="23">
        <f>EXP(-LN(2)/25)*BQ156+(1-EXP(-LN(2)/25))/(LN(2)/25)*Calculateur!BL157*Calculateur!BN157*VLOOKUP('Données projet'!$B$11,Paramètres!$A$1:$I$89,3,0)*0.475*44/12</f>
        <v>0.31344589087771974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1.1305618858737094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760.1400000000001</v>
      </c>
      <c r="BZ157" s="14">
        <f>BY157*VLOOKUP('Données projet'!$B$12,Paramètres!$A$1:$I$89,3,0)*VLOOKUP('Données projet'!$B$12,Paramètres!$A$1:$I$89,5,0)</f>
        <v>355.74552000000006</v>
      </c>
      <c r="CA157" s="14">
        <f t="shared" si="170"/>
        <v>82.744450026504168</v>
      </c>
      <c r="CB157" s="22">
        <f t="shared" si="171"/>
        <v>763.70336446282818</v>
      </c>
      <c r="CC157" s="62">
        <f t="shared" si="119"/>
        <v>1057.0366977961614</v>
      </c>
      <c r="CD157" s="62">
        <f ca="1">AVERAGE(OFFSET($CC$3,0,0,'Données projet'!$E$12+1,1))-AVERAGE(OFFSET($H$3,0,0,'Données projet'!$E$12+1,1))</f>
        <v>287.12723448949828</v>
      </c>
      <c r="CE157" s="62">
        <f t="shared" si="148"/>
        <v>170.5203352323382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0.99178658619336213</v>
      </c>
      <c r="CL157" s="23">
        <f>EXP(-LN(2)/25)*CL156+(1-EXP(-LN(2)/25))/(LN(2)/25)*Calculateur!CG157*Calculateur!CI157*VLOOKUP('Données projet'!$B$12,Paramètres!$A$1:$I$89,3,0)*0.475*44/12</f>
        <v>2.9641916518632452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3.9559782380566073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477.12000000000097</v>
      </c>
      <c r="CU157" s="18">
        <f>CT157*VLOOKUP('Données projet'!$B$13,Paramètres!$A$1:$I$89,3,0)*VLOOKUP('Données projet'!$B$13,Paramètres!$A$1:$I$89,5,0)</f>
        <v>461.47046400000096</v>
      </c>
      <c r="CV157" s="14">
        <f t="shared" si="173"/>
        <v>104.13329806929862</v>
      </c>
      <c r="CW157" s="22">
        <f t="shared" si="174"/>
        <v>985.09321893736342</v>
      </c>
      <c r="CX157" s="62">
        <f t="shared" si="122"/>
        <v>1278.4265522706967</v>
      </c>
      <c r="CY157" s="62">
        <f ca="1">AVERAGE(OFFSET($CX$3,0,0,'Données projet'!$E$13+1,1))-AVERAGE(OFFSET($H$3,0,0,'Données projet'!$E$13+1,1))</f>
        <v>467.37715054082025</v>
      </c>
      <c r="CZ157" s="62">
        <f t="shared" si="150"/>
        <v>443.35096563136415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0.86481791756683679</v>
      </c>
      <c r="DG157" s="23">
        <f>EXP(-LN(2)/25)*DG156+(1-EXP(-LN(2)/25))/(LN(2)/25)*Calculateur!DB157*Calculateur!DD157*VLOOKUP('Données projet'!$B$13,Paramètres!$A$1:$I$89,3,0)*0.475*44/12</f>
        <v>0.47007795670389152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1.3348958742707282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477.12000000000097</v>
      </c>
      <c r="DP157" s="18">
        <f>DO157*VLOOKUP('Données projet'!$B$14,Paramètres!$A$1:$I$89,3,0)*VLOOKUP('Données projet'!$B$14,Paramètres!$A$1:$I$89,5,0)</f>
        <v>513.57196800000099</v>
      </c>
      <c r="DQ157" s="14">
        <f t="shared" si="176"/>
        <v>114.45621584436451</v>
      </c>
      <c r="DR157" s="22">
        <f t="shared" si="177"/>
        <v>1093.8157535289363</v>
      </c>
      <c r="DS157" s="62">
        <f t="shared" si="125"/>
        <v>1387.1490868622695</v>
      </c>
      <c r="DT157" s="62">
        <f ca="1">AVERAGE(OFFSET($DS$3,0,0,'Données projet'!$E$14+1,1))-AVERAGE(OFFSET($H$3,0,0,'Données projet'!$E$14+1,1))</f>
        <v>524.51242549438939</v>
      </c>
      <c r="DU157" s="62">
        <f t="shared" si="152"/>
        <v>494.88778446576327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0.96245865019534915</v>
      </c>
      <c r="EB157" s="23">
        <f>EXP(-LN(2)/25)*EB156+(1-EXP(-LN(2)/25))/(LN(2)/25)*Calculateur!DW157*Calculateur!DY157*VLOOKUP('Données projet'!$B$14,Paramètres!$A$1:$I$89,3,0)*0.475*44/12</f>
        <v>0.52315127439626641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1.4856099245916154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559.06270548747648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1.1999999999999982</v>
      </c>
      <c r="N158" s="14">
        <f>IF('Données projet'!$A$36&gt;35,N157+M158-V157,IF(A158&lt;'Données projet'!$A$36,$K$205^A158,IF(A158='Données projet'!$A$36,'Données projet'!$B$36,N157+M158-V157)))</f>
        <v>282.61999999999983</v>
      </c>
      <c r="O158" s="14">
        <f>N158*VLOOKUP('Données projet'!$B$9,Paramètres!$A$1:$I$89,3,0)*VLOOKUP('Données projet'!$B$9,Paramètres!$A$1:$I$89,5,0)</f>
        <v>255.71457599999982</v>
      </c>
      <c r="P158" s="14">
        <f t="shared" si="141"/>
        <v>61.808017036724266</v>
      </c>
      <c r="Q158" s="22">
        <f t="shared" si="162"/>
        <v>553.01851620562775</v>
      </c>
      <c r="R158" s="62">
        <f t="shared" si="109"/>
        <v>846.35184953896101</v>
      </c>
      <c r="S158" s="62">
        <f ca="1">AVERAGE(OFFSET($R$3,0,0,'Données projet'!$E$9+1,1))-AVERAGE(OFFSET($H$3,0,0,'Données projet'!$E$9+1,1))</f>
        <v>299.17641394512162</v>
      </c>
      <c r="T158" s="62">
        <f t="shared" si="142"/>
        <v>180.73046320039873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8.9139108967257066</v>
      </c>
      <c r="AA158" s="23">
        <f>EXP(-LN(2)/25)*AA157+(1-EXP(-LN(2)/25))/(LN(2)/25)*Calculateur!V158*Calculateur!X158*VLOOKUP('Données projet'!$B$9,Paramètres!$A$1:$I$89,3,0)*0.475*44/12</f>
        <v>6.1936098803015094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15.107520777027215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4.4499999999999931</v>
      </c>
      <c r="AI158" s="14">
        <f>IF('Données projet'!$A$62&gt;35,AI157+AH158-AQ157,IF(A158&lt;'Données projet'!$A$62,$AF$205^A158,IF(A158='Données projet'!$A$62,'Données projet'!$B$62,AI157+AH158-AQ157)))</f>
        <v>392.43999999999863</v>
      </c>
      <c r="AJ158" s="14">
        <f>AI158*VLOOKUP('Données projet'!$B$10,Paramètres!$A$1:$I$89,3,0)*VLOOKUP('Données projet'!$B$10,Paramètres!$A$1:$I$89,5,0)</f>
        <v>397.93415999999866</v>
      </c>
      <c r="AK158" s="14">
        <f t="shared" si="164"/>
        <v>91.357721734099457</v>
      </c>
      <c r="AL158" s="22">
        <f t="shared" si="165"/>
        <v>852.18336068688757</v>
      </c>
      <c r="AM158" s="62">
        <f t="shared" si="113"/>
        <v>1145.5166940202209</v>
      </c>
      <c r="AN158" s="62">
        <f ca="1">AVERAGE(OFFSET($AM$3,0,0,'Données projet'!$E$10+1,1))-AVERAGE(OFFSET($H$3,0,0,'Données projet'!$E$10+1,1))</f>
        <v>384.66322295929552</v>
      </c>
      <c r="AO158" s="62">
        <f t="shared" si="144"/>
        <v>248.53970183513286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9.1302096324351947</v>
      </c>
      <c r="AV158" s="23">
        <f>EXP(-LN(2)/25)*AV157+(1-EXP(-LN(2)/25))/(LN(2)/25)*Calculateur!AQ158*Calculateur!AS158*VLOOKUP('Données projet'!$B$10,Paramètres!$A$1:$I$89,3,0)*0.475*44/12</f>
        <v>6.2622337634492613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15.392443395884456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343.79999999999995</v>
      </c>
      <c r="BE158" s="14">
        <f>BD158*VLOOKUP('Données projet'!$B$11,Paramètres!$A$1:$I$89,3,0)*VLOOKUP('Données projet'!$B$11,Paramètres!$A$1:$I$89,5,0)</f>
        <v>205.5924</v>
      </c>
      <c r="BF158" s="14">
        <f t="shared" si="167"/>
        <v>50.971228364263673</v>
      </c>
      <c r="BG158" s="22">
        <f t="shared" si="168"/>
        <v>446.84831940109251</v>
      </c>
      <c r="BH158" s="62">
        <f t="shared" si="116"/>
        <v>740.18165273442582</v>
      </c>
      <c r="BI158" s="62">
        <f ca="1">AVERAGE(OFFSET($BH$3,0,0,'Données projet'!$E$11+1,1))-AVERAGE(OFFSET($H$3,0,0,'Données projet'!$E$11+1,1))</f>
        <v>146.25807703055079</v>
      </c>
      <c r="BJ158" s="62">
        <f t="shared" si="146"/>
        <v>177.40137940534413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0.80109284872566311</v>
      </c>
      <c r="BQ158" s="23">
        <f>EXP(-LN(2)/25)*BQ157+(1-EXP(-LN(2)/25))/(LN(2)/25)*Calculateur!BL158*Calculateur!BN158*VLOOKUP('Données projet'!$B$11,Paramètres!$A$1:$I$89,3,0)*0.475*44/12</f>
        <v>0.30487469650826549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1.1059675452339286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760.1400000000001</v>
      </c>
      <c r="BZ158" s="14">
        <f>BY158*VLOOKUP('Données projet'!$B$12,Paramètres!$A$1:$I$89,3,0)*VLOOKUP('Données projet'!$B$12,Paramètres!$A$1:$I$89,5,0)</f>
        <v>355.74552000000006</v>
      </c>
      <c r="CA158" s="14">
        <f t="shared" si="170"/>
        <v>82.744450026504168</v>
      </c>
      <c r="CB158" s="22">
        <f t="shared" si="171"/>
        <v>763.70336446282818</v>
      </c>
      <c r="CC158" s="62">
        <f t="shared" si="119"/>
        <v>1057.0366977961614</v>
      </c>
      <c r="CD158" s="62">
        <f ca="1">AVERAGE(OFFSET($CC$3,0,0,'Données projet'!$E$12+1,1))-AVERAGE(OFFSET($H$3,0,0,'Données projet'!$E$12+1,1))</f>
        <v>287.12723448949828</v>
      </c>
      <c r="CE158" s="62">
        <f t="shared" si="148"/>
        <v>170.5203352323382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0.97233825616819602</v>
      </c>
      <c r="CL158" s="23">
        <f>EXP(-LN(2)/25)*CL157+(1-EXP(-LN(2)/25))/(LN(2)/25)*Calculateur!CG158*Calculateur!CI158*VLOOKUP('Données projet'!$B$12,Paramètres!$A$1:$I$89,3,0)*0.475*44/12</f>
        <v>2.8831356752629804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3.8554739314311766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477.12000000000097</v>
      </c>
      <c r="CU158" s="18">
        <f>CT158*VLOOKUP('Données projet'!$B$13,Paramètres!$A$1:$I$89,3,0)*VLOOKUP('Données projet'!$B$13,Paramètres!$A$1:$I$89,5,0)</f>
        <v>461.47046400000096</v>
      </c>
      <c r="CV158" s="14">
        <f t="shared" si="173"/>
        <v>104.13329806929862</v>
      </c>
      <c r="CW158" s="22">
        <f t="shared" si="174"/>
        <v>985.09321893736342</v>
      </c>
      <c r="CX158" s="62">
        <f t="shared" si="122"/>
        <v>1278.4265522706967</v>
      </c>
      <c r="CY158" s="62">
        <f ca="1">AVERAGE(OFFSET($CX$3,0,0,'Données projet'!$E$13+1,1))-AVERAGE(OFFSET($H$3,0,0,'Données projet'!$E$13+1,1))</f>
        <v>467.37715054082025</v>
      </c>
      <c r="CZ158" s="62">
        <f t="shared" si="150"/>
        <v>443.35096563136415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0.84785936569019582</v>
      </c>
      <c r="DG158" s="23">
        <f>EXP(-LN(2)/25)*DG157+(1-EXP(-LN(2)/25))/(LN(2)/25)*Calculateur!DB158*Calculateur!DD158*VLOOKUP('Données projet'!$B$13,Paramètres!$A$1:$I$89,3,0)*0.475*44/12</f>
        <v>0.45722365025749823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1.305083015947694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477.12000000000097</v>
      </c>
      <c r="DP158" s="18">
        <f>DO158*VLOOKUP('Données projet'!$B$14,Paramètres!$A$1:$I$89,3,0)*VLOOKUP('Données projet'!$B$14,Paramètres!$A$1:$I$89,5,0)</f>
        <v>513.57196800000099</v>
      </c>
      <c r="DQ158" s="14">
        <f t="shared" si="176"/>
        <v>114.45621584436451</v>
      </c>
      <c r="DR158" s="22">
        <f t="shared" si="177"/>
        <v>1093.8157535289363</v>
      </c>
      <c r="DS158" s="62">
        <f t="shared" si="125"/>
        <v>1387.1490868622695</v>
      </c>
      <c r="DT158" s="62">
        <f ca="1">AVERAGE(OFFSET($DS$3,0,0,'Données projet'!$E$14+1,1))-AVERAGE(OFFSET($H$3,0,0,'Données projet'!$E$14+1,1))</f>
        <v>524.51242549438939</v>
      </c>
      <c r="DU158" s="62">
        <f t="shared" si="152"/>
        <v>494.88778446576327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0.94358542310682936</v>
      </c>
      <c r="EB158" s="23">
        <f>EXP(-LN(2)/25)*EB157+(1-EXP(-LN(2)/25))/(LN(2)/25)*Calculateur!DW158*Calculateur!DY158*VLOOKUP('Données projet'!$B$14,Paramètres!$A$1:$I$89,3,0)*0.475*44/12</f>
        <v>0.50884567528657065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1.4524310983933999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560.96669238005484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1.1999999999999982</v>
      </c>
      <c r="N159" s="14">
        <f>IF('Données projet'!$A$36&gt;35,N158+M159-V158,IF(A159&lt;'Données projet'!$A$36,$K$205^A159,IF(A159='Données projet'!$A$36,'Données projet'!$B$36,N158+M159-V158)))</f>
        <v>283.81999999999982</v>
      </c>
      <c r="O159" s="14">
        <f>N159*VLOOKUP('Données projet'!$B$9,Paramètres!$A$1:$I$89,3,0)*VLOOKUP('Données projet'!$B$9,Paramètres!$A$1:$I$89,5,0)</f>
        <v>256.80033599999985</v>
      </c>
      <c r="P159" s="14">
        <f t="shared" si="141"/>
        <v>62.039848142365287</v>
      </c>
      <c r="Q159" s="22">
        <f t="shared" si="162"/>
        <v>555.31332071461941</v>
      </c>
      <c r="R159" s="62">
        <f t="shared" si="109"/>
        <v>848.64665404795278</v>
      </c>
      <c r="S159" s="62">
        <f ca="1">AVERAGE(OFFSET($R$3,0,0,'Données projet'!$E$9+1,1))-AVERAGE(OFFSET($H$3,0,0,'Données projet'!$E$9+1,1))</f>
        <v>299.17641394512162</v>
      </c>
      <c r="T159" s="62">
        <f t="shared" si="142"/>
        <v>180.73046320039873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8.7391145409897089</v>
      </c>
      <c r="AA159" s="23">
        <f>EXP(-LN(2)/25)*AA158+(1-EXP(-LN(2)/25))/(LN(2)/25)*Calculateur!V159*Calculateur!X159*VLOOKUP('Données projet'!$B$9,Paramètres!$A$1:$I$89,3,0)*0.475*44/12</f>
        <v>6.024245292416877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14.763359833406586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4.4499999999999931</v>
      </c>
      <c r="AI159" s="14">
        <f>IF('Données projet'!$A$62&gt;35,AI158+AH159-AQ158,IF(A159&lt;'Données projet'!$A$62,$AF$205^A159,IF(A159='Données projet'!$A$62,'Données projet'!$B$62,AI158+AH159-AQ158)))</f>
        <v>396.88999999999862</v>
      </c>
      <c r="AJ159" s="14">
        <f>AI159*VLOOKUP('Données projet'!$B$10,Paramètres!$A$1:$I$89,3,0)*VLOOKUP('Données projet'!$B$10,Paramètres!$A$1:$I$89,5,0)</f>
        <v>402.44645999999858</v>
      </c>
      <c r="AK159" s="14">
        <f t="shared" si="164"/>
        <v>92.27247129232228</v>
      </c>
      <c r="AL159" s="22">
        <f t="shared" si="165"/>
        <v>861.63547200079211</v>
      </c>
      <c r="AM159" s="62">
        <f t="shared" si="113"/>
        <v>1154.9688053341254</v>
      </c>
      <c r="AN159" s="62">
        <f ca="1">AVERAGE(OFFSET($AM$3,0,0,'Données projet'!$E$10+1,1))-AVERAGE(OFFSET($H$3,0,0,'Données projet'!$E$10+1,1))</f>
        <v>384.66322295929552</v>
      </c>
      <c r="AO159" s="62">
        <f t="shared" si="144"/>
        <v>248.53970183513286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8.9511717904211352</v>
      </c>
      <c r="AV159" s="23">
        <f>EXP(-LN(2)/25)*AV158+(1-EXP(-LN(2)/25))/(LN(2)/25)*Calculateur!AQ159*Calculateur!AS159*VLOOKUP('Données projet'!$B$10,Paramètres!$A$1:$I$89,3,0)*0.475*44/12</f>
        <v>6.0909926518711801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15.042164442292314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343.79999999999995</v>
      </c>
      <c r="BE159" s="14">
        <f>BD159*VLOOKUP('Données projet'!$B$11,Paramètres!$A$1:$I$89,3,0)*VLOOKUP('Données projet'!$B$11,Paramètres!$A$1:$I$89,5,0)</f>
        <v>205.5924</v>
      </c>
      <c r="BF159" s="14">
        <f t="shared" si="167"/>
        <v>50.971228364263673</v>
      </c>
      <c r="BG159" s="22">
        <f t="shared" si="168"/>
        <v>446.84831940109251</v>
      </c>
      <c r="BH159" s="62">
        <f t="shared" si="116"/>
        <v>740.18165273442582</v>
      </c>
      <c r="BI159" s="62">
        <f ca="1">AVERAGE(OFFSET($BH$3,0,0,'Données projet'!$E$11+1,1))-AVERAGE(OFFSET($H$3,0,0,'Données projet'!$E$11+1,1))</f>
        <v>146.25807703055079</v>
      </c>
      <c r="BJ159" s="62">
        <f t="shared" si="146"/>
        <v>177.40137940534413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0.78538390658054347</v>
      </c>
      <c r="BQ159" s="23">
        <f>EXP(-LN(2)/25)*BQ158+(1-EXP(-LN(2)/25))/(LN(2)/25)*Calculateur!BL159*Calculateur!BN159*VLOOKUP('Données projet'!$B$11,Paramètres!$A$1:$I$89,3,0)*0.475*44/12</f>
        <v>0.29653788189958347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1.0819217884801269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760.1400000000001</v>
      </c>
      <c r="BZ159" s="14">
        <f>BY159*VLOOKUP('Données projet'!$B$12,Paramètres!$A$1:$I$89,3,0)*VLOOKUP('Données projet'!$B$12,Paramètres!$A$1:$I$89,5,0)</f>
        <v>355.74552000000006</v>
      </c>
      <c r="CA159" s="14">
        <f t="shared" si="170"/>
        <v>82.744450026504168</v>
      </c>
      <c r="CB159" s="22">
        <f t="shared" si="171"/>
        <v>763.70336446282818</v>
      </c>
      <c r="CC159" s="62">
        <f t="shared" si="119"/>
        <v>1057.0366977961614</v>
      </c>
      <c r="CD159" s="62">
        <f ca="1">AVERAGE(OFFSET($CC$3,0,0,'Données projet'!$E$12+1,1))-AVERAGE(OFFSET($H$3,0,0,'Données projet'!$E$12+1,1))</f>
        <v>287.12723448949828</v>
      </c>
      <c r="CE159" s="62">
        <f t="shared" si="148"/>
        <v>170.5203352323382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0.95327129603251337</v>
      </c>
      <c r="CL159" s="23">
        <f>EXP(-LN(2)/25)*CL158+(1-EXP(-LN(2)/25))/(LN(2)/25)*Calculateur!CG159*Calculateur!CI159*VLOOKUP('Données projet'!$B$12,Paramètres!$A$1:$I$89,3,0)*0.475*44/12</f>
        <v>2.8042961786053984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3.757567474637912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477.12000000000097</v>
      </c>
      <c r="CU159" s="18">
        <f>CT159*VLOOKUP('Données projet'!$B$13,Paramètres!$A$1:$I$89,3,0)*VLOOKUP('Données projet'!$B$13,Paramètres!$A$1:$I$89,5,0)</f>
        <v>461.47046400000096</v>
      </c>
      <c r="CV159" s="14">
        <f t="shared" si="173"/>
        <v>104.13329806929862</v>
      </c>
      <c r="CW159" s="22">
        <f t="shared" si="174"/>
        <v>985.09321893736342</v>
      </c>
      <c r="CX159" s="62">
        <f t="shared" si="122"/>
        <v>1278.4265522706967</v>
      </c>
      <c r="CY159" s="62">
        <f ca="1">AVERAGE(OFFSET($CX$3,0,0,'Données projet'!$E$13+1,1))-AVERAGE(OFFSET($H$3,0,0,'Données projet'!$E$13+1,1))</f>
        <v>467.37715054082025</v>
      </c>
      <c r="CZ159" s="62">
        <f t="shared" si="150"/>
        <v>443.35096563136415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0.83123336067216047</v>
      </c>
      <c r="DG159" s="23">
        <f>EXP(-LN(2)/25)*DG158+(1-EXP(-LN(2)/25))/(LN(2)/25)*Calculateur!DB159*Calculateur!DD159*VLOOKUP('Données projet'!$B$13,Paramètres!$A$1:$I$89,3,0)*0.475*44/12</f>
        <v>0.4447208454968602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1.2759542061690206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477.12000000000097</v>
      </c>
      <c r="DP159" s="18">
        <f>DO159*VLOOKUP('Données projet'!$B$14,Paramètres!$A$1:$I$89,3,0)*VLOOKUP('Données projet'!$B$14,Paramètres!$A$1:$I$89,5,0)</f>
        <v>513.57196800000099</v>
      </c>
      <c r="DQ159" s="14">
        <f t="shared" si="176"/>
        <v>114.45621584436451</v>
      </c>
      <c r="DR159" s="22">
        <f t="shared" si="177"/>
        <v>1093.8157535289363</v>
      </c>
      <c r="DS159" s="62">
        <f t="shared" si="125"/>
        <v>1387.1490868622695</v>
      </c>
      <c r="DT159" s="62">
        <f ca="1">AVERAGE(OFFSET($DS$3,0,0,'Données projet'!$E$14+1,1))-AVERAGE(OFFSET($H$3,0,0,'Données projet'!$E$14+1,1))</f>
        <v>524.51242549438939</v>
      </c>
      <c r="DU159" s="62">
        <f t="shared" si="152"/>
        <v>494.88778446576327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0.92508228848998364</v>
      </c>
      <c r="EB159" s="23">
        <f>EXP(-LN(2)/25)*EB158+(1-EXP(-LN(2)/25))/(LN(2)/25)*Calculateur!DW159*Calculateur!DY159*VLOOKUP('Données projet'!$B$14,Paramètres!$A$1:$I$89,3,0)*0.475*44/12</f>
        <v>0.49493126353682831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1.420013552026812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562.8704142634507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>
        <f>VLOOKUP(A160,'Données projet'!$A$35:$I$55,2,0)</f>
        <v>285.02</v>
      </c>
      <c r="L160" s="13">
        <f>VLOOKUP(A160,'Données projet'!$A$35:$I$55,9,0)</f>
        <v>1.1999999999999982</v>
      </c>
      <c r="M160" s="13">
        <f t="array" ref="M160">INDEX(L:L,MIN(IF(ISNUMBER(L160:L356),ROW(L160:L356),"")))</f>
        <v>1.1999999999999982</v>
      </c>
      <c r="N160" s="14">
        <f>IF('Données projet'!$A$36&gt;35,N159+M160-V159,IF(A160&lt;'Données projet'!$A$36,$K$205^A160,IF(A160='Données projet'!$A$36,'Données projet'!$B$36,N159+M160-V159)))</f>
        <v>285.01999999999981</v>
      </c>
      <c r="O160" s="14">
        <f>N160*VLOOKUP('Données projet'!$B$9,Paramètres!$A$1:$I$89,3,0)*VLOOKUP('Données projet'!$B$9,Paramètres!$A$1:$I$89,5,0)</f>
        <v>257.88609599999984</v>
      </c>
      <c r="P160" s="14">
        <f t="shared" si="141"/>
        <v>62.271565181683073</v>
      </c>
      <c r="Q160" s="22">
        <f t="shared" si="162"/>
        <v>557.60792655809757</v>
      </c>
      <c r="R160" s="62">
        <f t="shared" si="109"/>
        <v>850.94125989143095</v>
      </c>
      <c r="S160" s="62">
        <f ca="1">AVERAGE(OFFSET($R$3,0,0,'Données projet'!$E$9+1,1))-AVERAGE(OFFSET($H$3,0,0,'Données projet'!$E$9+1,1))</f>
        <v>299.17641394512162</v>
      </c>
      <c r="T160" s="62">
        <f t="shared" si="142"/>
        <v>180.73046320039873</v>
      </c>
      <c r="U160" s="16">
        <f>IF(ISNA(VLOOKUP(A160,'Données projet'!$A$35:$I$55,3,0)),0,VLOOKUP(A160,'Données projet'!$A$35:$I$55,3,0))</f>
        <v>12</v>
      </c>
      <c r="V160" s="16">
        <f>IF(ISNA(VLOOKUP(A160,'Données projet'!$A$35:$I$55,4,0)),0,VLOOKUP(A160,'Données projet'!$A$35:$I$55,4,0))</f>
        <v>28.5</v>
      </c>
      <c r="W160" s="17">
        <f>IF(ISNA(VLOOKUP(A160,'Données projet'!$A$35:$I$55,5,0)),0%,VLOOKUP(A160,'Données projet'!$A$35:$I$55,5,0)*VLOOKUP('Données projet'!$B$9,Paramètres!$A$1:$I$89,7,0))</f>
        <v>9.4600000000000004E-2</v>
      </c>
      <c r="X160" s="17">
        <f>IF(ISNA(VLOOKUP(A160,'Données projet'!$A$35:$I$55,6,0)),0%,VLOOKUP(A160,'Données projet'!$A$35:$I$55,6,0)*VLOOKUP('Données projet'!$B$9,Paramètres!$A$1:$I$89,7,0))</f>
        <v>8.1699999999999995E-2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11.264464858120595</v>
      </c>
      <c r="AA160" s="23">
        <f>EXP(-LN(2)/25)*AA159+(1-EXP(-LN(2)/25))/(LN(2)/25)*Calculateur!V160*Calculateur!X160*VLOOKUP('Données projet'!$B$9,Paramètres!$A$1:$I$89,3,0)*0.475*44/12</f>
        <v>8.179326498995529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19.443791357116126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>
        <f>VLOOKUP(A160,'Données projet'!$A$61:$I$81,2,0)</f>
        <v>401.34</v>
      </c>
      <c r="AG160" s="13">
        <f>VLOOKUP(A160,'Données projet'!$A$61:$I$81,9,0)</f>
        <v>4.4499999999999931</v>
      </c>
      <c r="AH160" s="13">
        <f t="array" ref="AH160">INDEX(AG:AG,MIN(IF(ISNUMBER(AG160:AG356),ROW(AG160:AG356),"")))</f>
        <v>4.4499999999999931</v>
      </c>
      <c r="AI160" s="14">
        <f>IF('Données projet'!$A$62&gt;35,AI159+AH160-AQ159,IF(A160&lt;'Données projet'!$A$62,$AF$205^A160,IF(A160='Données projet'!$A$62,'Données projet'!$B$62,AI159+AH160-AQ159)))</f>
        <v>401.33999999999861</v>
      </c>
      <c r="AJ160" s="14">
        <f>AI160*VLOOKUP('Données projet'!$B$10,Paramètres!$A$1:$I$89,3,0)*VLOOKUP('Données projet'!$B$10,Paramètres!$A$1:$I$89,5,0)</f>
        <v>406.95875999999868</v>
      </c>
      <c r="AK160" s="14">
        <f t="shared" si="164"/>
        <v>93.186027765783592</v>
      </c>
      <c r="AL160" s="22">
        <f t="shared" si="165"/>
        <v>871.08550535873746</v>
      </c>
      <c r="AM160" s="62">
        <f t="shared" si="113"/>
        <v>1164.4188386920707</v>
      </c>
      <c r="AN160" s="62">
        <f ca="1">AVERAGE(OFFSET($AM$3,0,0,'Données projet'!$E$10+1,1))-AVERAGE(OFFSET($H$3,0,0,'Données projet'!$E$10+1,1))</f>
        <v>384.66322295929552</v>
      </c>
      <c r="AO160" s="62">
        <f t="shared" si="144"/>
        <v>248.53970183513286</v>
      </c>
      <c r="AP160" s="16">
        <f>IF(ISNA(VLOOKUP(A160,'Données projet'!$A$61:$I$81,3,0)),0,VLOOKUP(A160,'Données projet'!$A$61:$I$81,3,0))</f>
        <v>12</v>
      </c>
      <c r="AQ160" s="16">
        <f>IF(ISNA(VLOOKUP(A160,'Données projet'!$A$61:$I$81,4,0)),0,VLOOKUP(A160,'Données projet'!$A$61:$I$81,4,0))</f>
        <v>40.130000000000003</v>
      </c>
      <c r="AR160" s="17">
        <f>IF(ISNA(VLOOKUP(A160,'Données projet'!$A$61:$I$81,5,0)),0%,VLOOKUP(A160,'Données projet'!$A$61:$I$81,5,0)*VLOOKUP('Données projet'!$B$10,Paramètres!$A$1:$I$89,7,0))</f>
        <v>7.7399999999999997E-2</v>
      </c>
      <c r="AS160" s="17">
        <f>IF(ISNA(VLOOKUP(A160,'Données projet'!$A$61:$I$81,6,0)),0%,VLOOKUP(A160,'Données projet'!$A$61:$I$81,6,0)*VLOOKUP('Données projet'!$B$10,Paramètres!$A$1:$I$89,7,0))</f>
        <v>6.4500000000000002E-2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12.257375542811445</v>
      </c>
      <c r="AV160" s="23">
        <f>EXP(-LN(2)/25)*AV159+(1-EXP(-LN(2)/25))/(LN(2)/25)*Calculateur!AQ160*Calculateur!AS160*VLOOKUP('Données projet'!$B$10,Paramètres!$A$1:$I$89,3,0)*0.475*44/12</f>
        <v>8.8144523631892557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21.071827906000699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343.79999999999995</v>
      </c>
      <c r="BE160" s="14">
        <f>BD160*VLOOKUP('Données projet'!$B$11,Paramètres!$A$1:$I$89,3,0)*VLOOKUP('Données projet'!$B$11,Paramètres!$A$1:$I$89,5,0)</f>
        <v>205.5924</v>
      </c>
      <c r="BF160" s="14">
        <f t="shared" si="167"/>
        <v>50.971228364263673</v>
      </c>
      <c r="BG160" s="22">
        <f t="shared" si="168"/>
        <v>446.84831940109251</v>
      </c>
      <c r="BH160" s="62">
        <f t="shared" si="116"/>
        <v>740.18165273442582</v>
      </c>
      <c r="BI160" s="62">
        <f ca="1">AVERAGE(OFFSET($BH$3,0,0,'Données projet'!$E$11+1,1))-AVERAGE(OFFSET($H$3,0,0,'Données projet'!$E$11+1,1))</f>
        <v>146.25807703055079</v>
      </c>
      <c r="BJ160" s="62">
        <f t="shared" si="146"/>
        <v>177.40137940534413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0.76998300720938107</v>
      </c>
      <c r="BQ160" s="23">
        <f>EXP(-LN(2)/25)*BQ159+(1-EXP(-LN(2)/25))/(LN(2)/25)*Calculateur!BL160*Calculateur!BN160*VLOOKUP('Données projet'!$B$11,Paramètres!$A$1:$I$89,3,0)*0.475*44/12</f>
        <v>0.28842903792478991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1.058412045134171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760.1400000000001</v>
      </c>
      <c r="BZ160" s="14">
        <f>BY160*VLOOKUP('Données projet'!$B$12,Paramètres!$A$1:$I$89,3,0)*VLOOKUP('Données projet'!$B$12,Paramètres!$A$1:$I$89,5,0)</f>
        <v>355.74552000000006</v>
      </c>
      <c r="CA160" s="14">
        <f t="shared" si="170"/>
        <v>82.744450026504168</v>
      </c>
      <c r="CB160" s="22">
        <f t="shared" si="171"/>
        <v>763.70336446282818</v>
      </c>
      <c r="CC160" s="62">
        <f t="shared" si="119"/>
        <v>1057.0366977961614</v>
      </c>
      <c r="CD160" s="62">
        <f ca="1">AVERAGE(OFFSET($CC$3,0,0,'Données projet'!$E$12+1,1))-AVERAGE(OFFSET($H$3,0,0,'Données projet'!$E$12+1,1))</f>
        <v>287.12723448949828</v>
      </c>
      <c r="CE160" s="62">
        <f t="shared" si="148"/>
        <v>170.5203352323382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0.93457822735539409</v>
      </c>
      <c r="CL160" s="23">
        <f>EXP(-LN(2)/25)*CL159+(1-EXP(-LN(2)/25))/(LN(2)/25)*Calculateur!CG160*Calculateur!CI160*VLOOKUP('Données projet'!$B$12,Paramètres!$A$1:$I$89,3,0)*0.475*44/12</f>
        <v>2.7276125521299068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3.662190779485301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477.12000000000097</v>
      </c>
      <c r="CU160" s="18">
        <f>CT160*VLOOKUP('Données projet'!$B$13,Paramètres!$A$1:$I$89,3,0)*VLOOKUP('Données projet'!$B$13,Paramètres!$A$1:$I$89,5,0)</f>
        <v>461.47046400000096</v>
      </c>
      <c r="CV160" s="14">
        <f t="shared" si="173"/>
        <v>104.13329806929862</v>
      </c>
      <c r="CW160" s="22">
        <f t="shared" si="174"/>
        <v>985.09321893736342</v>
      </c>
      <c r="CX160" s="62">
        <f t="shared" si="122"/>
        <v>1278.4265522706967</v>
      </c>
      <c r="CY160" s="62">
        <f ca="1">AVERAGE(OFFSET($CX$3,0,0,'Données projet'!$E$13+1,1))-AVERAGE(OFFSET($H$3,0,0,'Données projet'!$E$13+1,1))</f>
        <v>467.37715054082025</v>
      </c>
      <c r="CZ160" s="62">
        <f t="shared" si="150"/>
        <v>443.35096563136415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0.81493338147166705</v>
      </c>
      <c r="DG160" s="23">
        <f>EXP(-LN(2)/25)*DG159+(1-EXP(-LN(2)/25))/(LN(2)/25)*Calculateur!DB160*Calculateur!DD160*VLOOKUP('Données projet'!$B$13,Paramètres!$A$1:$I$89,3,0)*0.475*44/12</f>
        <v>0.43255993058989572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1.2474933120615628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477.12000000000097</v>
      </c>
      <c r="DP160" s="18">
        <f>DO160*VLOOKUP('Données projet'!$B$14,Paramètres!$A$1:$I$89,3,0)*VLOOKUP('Données projet'!$B$14,Paramètres!$A$1:$I$89,5,0)</f>
        <v>513.57196800000099</v>
      </c>
      <c r="DQ160" s="14">
        <f t="shared" si="176"/>
        <v>114.45621584436451</v>
      </c>
      <c r="DR160" s="22">
        <f t="shared" si="177"/>
        <v>1093.8157535289363</v>
      </c>
      <c r="DS160" s="62">
        <f t="shared" si="125"/>
        <v>1387.1490868622695</v>
      </c>
      <c r="DT160" s="62">
        <f ca="1">AVERAGE(OFFSET($DS$3,0,0,'Données projet'!$E$14+1,1))-AVERAGE(OFFSET($H$3,0,0,'Données projet'!$E$14+1,1))</f>
        <v>524.51242549438939</v>
      </c>
      <c r="DU160" s="62">
        <f t="shared" si="152"/>
        <v>494.88778446576327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0.90694198905717649</v>
      </c>
      <c r="EB160" s="23">
        <f>EXP(-LN(2)/25)*EB159+(1-EXP(-LN(2)/25))/(LN(2)/25)*Calculateur!DW160*Calculateur!DY160*VLOOKUP('Données projet'!$B$14,Paramètres!$A$1:$I$89,3,0)*0.475*44/12</f>
        <v>0.48139734210810975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1.3883393311652863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564.77387302142597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256.51999999999981</v>
      </c>
      <c r="O161" s="14">
        <f>N161*VLOOKUP('Données projet'!$B$9,Paramètres!$A$1:$I$89,3,0)*VLOOKUP('Données projet'!$B$9,Paramètres!$A$1:$I$89,5,0)</f>
        <v>232.09929599999984</v>
      </c>
      <c r="P161" s="14">
        <f t="shared" si="141"/>
        <v>56.736358096348383</v>
      </c>
      <c r="Q161" s="22">
        <f t="shared" si="162"/>
        <v>503.0554308844732</v>
      </c>
      <c r="R161" s="62">
        <f t="shared" si="109"/>
        <v>796.38876421780651</v>
      </c>
      <c r="S161" s="62">
        <f ca="1">AVERAGE(OFFSET($R$3,0,0,'Données projet'!$E$9+1,1))-AVERAGE(OFFSET($H$3,0,0,'Données projet'!$E$9+1,1))</f>
        <v>299.17641394512162</v>
      </c>
      <c r="T161" s="62">
        <f t="shared" si="142"/>
        <v>180.73046320039873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11.043575572897995</v>
      </c>
      <c r="AA161" s="23">
        <f>EXP(-LN(2)/25)*AA160+(1-EXP(-LN(2)/25))/(LN(2)/25)*Calculateur!V161*Calculateur!X161*VLOOKUP('Données projet'!$B$9,Paramètres!$A$1:$I$89,3,0)*0.475*44/12</f>
        <v>7.9556623857484094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18.999237958646404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361.20999999999862</v>
      </c>
      <c r="AJ161" s="14">
        <f>AI161*VLOOKUP('Données projet'!$B$10,Paramètres!$A$1:$I$89,3,0)*VLOOKUP('Données projet'!$B$10,Paramètres!$A$1:$I$89,5,0)</f>
        <v>366.26693999999861</v>
      </c>
      <c r="AK161" s="14">
        <f t="shared" si="164"/>
        <v>84.903135734816331</v>
      </c>
      <c r="AL161" s="22">
        <f t="shared" si="165"/>
        <v>785.7878819048027</v>
      </c>
      <c r="AM161" s="62">
        <f t="shared" si="113"/>
        <v>1079.1212152381361</v>
      </c>
      <c r="AN161" s="62">
        <f ca="1">AVERAGE(OFFSET($AM$3,0,0,'Données projet'!$E$10+1,1))-AVERAGE(OFFSET($H$3,0,0,'Données projet'!$E$10+1,1))</f>
        <v>384.66322295929552</v>
      </c>
      <c r="AO161" s="62">
        <f t="shared" si="144"/>
        <v>248.53970183513286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12.017015884677775</v>
      </c>
      <c r="AV161" s="23">
        <f>EXP(-LN(2)/25)*AV160+(1-EXP(-LN(2)/25))/(LN(2)/25)*Calculateur!AQ161*Calculateur!AS161*VLOOKUP('Données projet'!$B$10,Paramètres!$A$1:$I$89,3,0)*0.475*44/12</f>
        <v>8.5734206997859417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20.590436584463717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343.79999999999995</v>
      </c>
      <c r="BE161" s="14">
        <f>BD161*VLOOKUP('Données projet'!$B$11,Paramètres!$A$1:$I$89,3,0)*VLOOKUP('Données projet'!$B$11,Paramètres!$A$1:$I$89,5,0)</f>
        <v>205.5924</v>
      </c>
      <c r="BF161" s="14">
        <f t="shared" si="167"/>
        <v>50.971228364263673</v>
      </c>
      <c r="BG161" s="22">
        <f t="shared" si="168"/>
        <v>446.84831940109251</v>
      </c>
      <c r="BH161" s="62">
        <f t="shared" si="116"/>
        <v>740.18165273442582</v>
      </c>
      <c r="BI161" s="62">
        <f ca="1">AVERAGE(OFFSET($BH$3,0,0,'Données projet'!$E$11+1,1))-AVERAGE(OFFSET($H$3,0,0,'Données projet'!$E$11+1,1))</f>
        <v>146.25807703055079</v>
      </c>
      <c r="BJ161" s="62">
        <f t="shared" si="146"/>
        <v>177.40137940534413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0.7548841100812661</v>
      </c>
      <c r="BQ161" s="23">
        <f>EXP(-LN(2)/25)*BQ160+(1-EXP(-LN(2)/25))/(LN(2)/25)*Calculateur!BL161*Calculateur!BN161*VLOOKUP('Données projet'!$B$11,Paramètres!$A$1:$I$89,3,0)*0.475*44/12</f>
        <v>0.28054193071491262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1.0354260407961786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760.1400000000001</v>
      </c>
      <c r="BZ161" s="14">
        <f>BY161*VLOOKUP('Données projet'!$B$12,Paramètres!$A$1:$I$89,3,0)*VLOOKUP('Données projet'!$B$12,Paramètres!$A$1:$I$89,5,0)</f>
        <v>355.74552000000006</v>
      </c>
      <c r="CA161" s="14">
        <f t="shared" si="170"/>
        <v>82.744450026504168</v>
      </c>
      <c r="CB161" s="22">
        <f t="shared" si="171"/>
        <v>763.70336446282818</v>
      </c>
      <c r="CC161" s="62">
        <f t="shared" si="119"/>
        <v>1057.0366977961614</v>
      </c>
      <c r="CD161" s="62">
        <f ca="1">AVERAGE(OFFSET($CC$3,0,0,'Données projet'!$E$12+1,1))-AVERAGE(OFFSET($H$3,0,0,'Données projet'!$E$12+1,1))</f>
        <v>287.12723448949828</v>
      </c>
      <c r="CE161" s="62">
        <f t="shared" si="148"/>
        <v>170.5203352323382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0.91625171835338703</v>
      </c>
      <c r="CL161" s="23">
        <f>EXP(-LN(2)/25)*CL160+(1-EXP(-LN(2)/25))/(LN(2)/25)*Calculateur!CG161*Calculateur!CI161*VLOOKUP('Données projet'!$B$12,Paramètres!$A$1:$I$89,3,0)*0.475*44/12</f>
        <v>2.6530258434530043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3.5692775618063912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477.12000000000097</v>
      </c>
      <c r="CU161" s="18">
        <f>CT161*VLOOKUP('Données projet'!$B$13,Paramètres!$A$1:$I$89,3,0)*VLOOKUP('Données projet'!$B$13,Paramètres!$A$1:$I$89,5,0)</f>
        <v>461.47046400000096</v>
      </c>
      <c r="CV161" s="14">
        <f t="shared" si="173"/>
        <v>104.13329806929862</v>
      </c>
      <c r="CW161" s="22">
        <f t="shared" si="174"/>
        <v>985.09321893736342</v>
      </c>
      <c r="CX161" s="62">
        <f t="shared" si="122"/>
        <v>1278.4265522706967</v>
      </c>
      <c r="CY161" s="62">
        <f ca="1">AVERAGE(OFFSET($CX$3,0,0,'Données projet'!$E$13+1,1))-AVERAGE(OFFSET($H$3,0,0,'Données projet'!$E$13+1,1))</f>
        <v>467.37715054082025</v>
      </c>
      <c r="CZ161" s="62">
        <f t="shared" si="150"/>
        <v>443.35096563136415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0.79895303492128977</v>
      </c>
      <c r="DG161" s="23">
        <f>EXP(-LN(2)/25)*DG160+(1-EXP(-LN(2)/25))/(LN(2)/25)*Calculateur!DB161*Calculateur!DD161*VLOOKUP('Données projet'!$B$13,Paramètres!$A$1:$I$89,3,0)*0.475*44/12</f>
        <v>0.42073155654057692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1.2196845914618666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477.12000000000097</v>
      </c>
      <c r="DP161" s="18">
        <f>DO161*VLOOKUP('Données projet'!$B$14,Paramètres!$A$1:$I$89,3,0)*VLOOKUP('Données projet'!$B$14,Paramètres!$A$1:$I$89,5,0)</f>
        <v>513.57196800000099</v>
      </c>
      <c r="DQ161" s="14">
        <f t="shared" si="176"/>
        <v>114.45621584436451</v>
      </c>
      <c r="DR161" s="22">
        <f t="shared" si="177"/>
        <v>1093.8157535289363</v>
      </c>
      <c r="DS161" s="62">
        <f t="shared" si="125"/>
        <v>1387.1490868622695</v>
      </c>
      <c r="DT161" s="62">
        <f ca="1">AVERAGE(OFFSET($DS$3,0,0,'Données projet'!$E$14+1,1))-AVERAGE(OFFSET($H$3,0,0,'Données projet'!$E$14+1,1))</f>
        <v>524.51242549438939</v>
      </c>
      <c r="DU161" s="62">
        <f t="shared" si="152"/>
        <v>494.88778446576327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0.88915740983175662</v>
      </c>
      <c r="EB161" s="23">
        <f>EXP(-LN(2)/25)*EB160+(1-EXP(-LN(2)/25))/(LN(2)/25)*Calculateur!DW161*Calculateur!DY161*VLOOKUP('Données projet'!$B$14,Paramètres!$A$1:$I$89,3,0)*0.475*44/12</f>
        <v>0.4682335064725775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1.3573909163043341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566.67707051251875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256.51999999999981</v>
      </c>
      <c r="O162" s="14">
        <f>N162*VLOOKUP('Données projet'!$B$9,Paramètres!$A$1:$I$89,3,0)*VLOOKUP('Données projet'!$B$9,Paramètres!$A$1:$I$89,5,0)</f>
        <v>232.09929599999984</v>
      </c>
      <c r="P162" s="14">
        <f t="shared" si="141"/>
        <v>56.736358096348383</v>
      </c>
      <c r="Q162" s="22">
        <f t="shared" si="162"/>
        <v>503.0554308844732</v>
      </c>
      <c r="R162" s="62">
        <f t="shared" si="109"/>
        <v>796.38876421780651</v>
      </c>
      <c r="S162" s="62">
        <f ca="1">AVERAGE(OFFSET($R$3,0,0,'Données projet'!$E$9+1,1))-AVERAGE(OFFSET($H$3,0,0,'Données projet'!$E$9+1,1))</f>
        <v>299.17641394512162</v>
      </c>
      <c r="T162" s="62">
        <f t="shared" si="142"/>
        <v>180.73046320039873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10.827017791829448</v>
      </c>
      <c r="AA162" s="23">
        <f>EXP(-LN(2)/25)*AA161+(1-EXP(-LN(2)/25))/(LN(2)/25)*Calculateur!V162*Calculateur!X162*VLOOKUP('Données projet'!$B$9,Paramètres!$A$1:$I$89,3,0)*0.475*44/12</f>
        <v>7.7381143794400176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18.565132171269465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361.20999999999862</v>
      </c>
      <c r="AJ162" s="14">
        <f>AI162*VLOOKUP('Données projet'!$B$10,Paramètres!$A$1:$I$89,3,0)*VLOOKUP('Données projet'!$B$10,Paramètres!$A$1:$I$89,5,0)</f>
        <v>366.26693999999861</v>
      </c>
      <c r="AK162" s="14">
        <f t="shared" si="164"/>
        <v>84.903135734816331</v>
      </c>
      <c r="AL162" s="22">
        <f t="shared" si="165"/>
        <v>785.7878819048027</v>
      </c>
      <c r="AM162" s="62">
        <f t="shared" si="113"/>
        <v>1079.1212152381361</v>
      </c>
      <c r="AN162" s="62">
        <f ca="1">AVERAGE(OFFSET($AM$3,0,0,'Données projet'!$E$10+1,1))-AVERAGE(OFFSET($H$3,0,0,'Données projet'!$E$10+1,1))</f>
        <v>384.66322295929552</v>
      </c>
      <c r="AO162" s="62">
        <f t="shared" si="144"/>
        <v>248.53970183513286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11.781369532835191</v>
      </c>
      <c r="AV162" s="23">
        <f>EXP(-LN(2)/25)*AV161+(1-EXP(-LN(2)/25))/(LN(2)/25)*Calculateur!AQ162*Calculateur!AS162*VLOOKUP('Données projet'!$B$10,Paramètres!$A$1:$I$89,3,0)*0.475*44/12</f>
        <v>8.3389800598936947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20.120349592728886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343.79999999999995</v>
      </c>
      <c r="BE162" s="14">
        <f>BD162*VLOOKUP('Données projet'!$B$11,Paramètres!$A$1:$I$89,3,0)*VLOOKUP('Données projet'!$B$11,Paramètres!$A$1:$I$89,5,0)</f>
        <v>205.5924</v>
      </c>
      <c r="BF162" s="14">
        <f t="shared" si="167"/>
        <v>50.971228364263673</v>
      </c>
      <c r="BG162" s="22">
        <f t="shared" si="168"/>
        <v>446.84831940109251</v>
      </c>
      <c r="BH162" s="62">
        <f t="shared" si="116"/>
        <v>740.18165273442582</v>
      </c>
      <c r="BI162" s="62">
        <f ca="1">AVERAGE(OFFSET($BH$3,0,0,'Données projet'!$E$11+1,1))-AVERAGE(OFFSET($H$3,0,0,'Données projet'!$E$11+1,1))</f>
        <v>146.25807703055079</v>
      </c>
      <c r="BJ162" s="62">
        <f t="shared" si="146"/>
        <v>177.40137940534413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0.74008129311641557</v>
      </c>
      <c r="BQ162" s="23">
        <f>EXP(-LN(2)/25)*BQ161+(1-EXP(-LN(2)/25))/(LN(2)/25)*Calculateur!BL162*Calculateur!BN162*VLOOKUP('Données projet'!$B$11,Paramètres!$A$1:$I$89,3,0)*0.475*44/12</f>
        <v>0.27287049686645437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1.0129517899828699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760.1400000000001</v>
      </c>
      <c r="BZ162" s="14">
        <f>BY162*VLOOKUP('Données projet'!$B$12,Paramètres!$A$1:$I$89,3,0)*VLOOKUP('Données projet'!$B$12,Paramètres!$A$1:$I$89,5,0)</f>
        <v>355.74552000000006</v>
      </c>
      <c r="CA162" s="14">
        <f t="shared" si="170"/>
        <v>82.744450026504168</v>
      </c>
      <c r="CB162" s="22">
        <f t="shared" si="171"/>
        <v>763.70336446282818</v>
      </c>
      <c r="CC162" s="62">
        <f t="shared" si="119"/>
        <v>1057.0366977961614</v>
      </c>
      <c r="CD162" s="62">
        <f ca="1">AVERAGE(OFFSET($CC$3,0,0,'Données projet'!$E$12+1,1))-AVERAGE(OFFSET($H$3,0,0,'Données projet'!$E$12+1,1))</f>
        <v>287.12723448949828</v>
      </c>
      <c r="CE162" s="62">
        <f t="shared" si="148"/>
        <v>170.5203352323382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0.89828458101484265</v>
      </c>
      <c r="CL162" s="23">
        <f>EXP(-LN(2)/25)*CL161+(1-EXP(-LN(2)/25))/(LN(2)/25)*Calculateur!CG162*Calculateur!CI162*VLOOKUP('Données projet'!$B$12,Paramètres!$A$1:$I$89,3,0)*0.475*44/12</f>
        <v>2.5804787122472161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3.4787632932620589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477.12000000000097</v>
      </c>
      <c r="CU162" s="18">
        <f>CT162*VLOOKUP('Données projet'!$B$13,Paramètres!$A$1:$I$89,3,0)*VLOOKUP('Données projet'!$B$13,Paramètres!$A$1:$I$89,5,0)</f>
        <v>461.47046400000096</v>
      </c>
      <c r="CV162" s="14">
        <f t="shared" si="173"/>
        <v>104.13329806929862</v>
      </c>
      <c r="CW162" s="22">
        <f t="shared" si="174"/>
        <v>985.09321893736342</v>
      </c>
      <c r="CX162" s="62">
        <f t="shared" si="122"/>
        <v>1278.4265522706967</v>
      </c>
      <c r="CY162" s="62">
        <f ca="1">AVERAGE(OFFSET($CX$3,0,0,'Données projet'!$E$13+1,1))-AVERAGE(OFFSET($H$3,0,0,'Données projet'!$E$13+1,1))</f>
        <v>467.37715054082025</v>
      </c>
      <c r="CZ162" s="62">
        <f t="shared" si="150"/>
        <v>443.35096563136415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0.78328605321971645</v>
      </c>
      <c r="DG162" s="23">
        <f>EXP(-LN(2)/25)*DG161+(1-EXP(-LN(2)/25))/(LN(2)/25)*Calculateur!DB162*Calculateur!DD162*VLOOKUP('Données projet'!$B$13,Paramètres!$A$1:$I$89,3,0)*0.475*44/12</f>
        <v>0.40922663000166387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1.1925126832213804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477.12000000000097</v>
      </c>
      <c r="DP162" s="18">
        <f>DO162*VLOOKUP('Données projet'!$B$14,Paramètres!$A$1:$I$89,3,0)*VLOOKUP('Données projet'!$B$14,Paramètres!$A$1:$I$89,5,0)</f>
        <v>513.57196800000099</v>
      </c>
      <c r="DQ162" s="14">
        <f t="shared" si="176"/>
        <v>114.45621584436451</v>
      </c>
      <c r="DR162" s="22">
        <f t="shared" si="177"/>
        <v>1093.8157535289363</v>
      </c>
      <c r="DS162" s="62">
        <f t="shared" si="125"/>
        <v>1387.1490868622695</v>
      </c>
      <c r="DT162" s="62">
        <f ca="1">AVERAGE(OFFSET($DS$3,0,0,'Données projet'!$E$14+1,1))-AVERAGE(OFFSET($H$3,0,0,'Données projet'!$E$14+1,1))</f>
        <v>524.51242549438939</v>
      </c>
      <c r="DU162" s="62">
        <f t="shared" si="152"/>
        <v>494.88778446576327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0.871721575357425</v>
      </c>
      <c r="EB162" s="23">
        <f>EXP(-LN(2)/25)*EB161+(1-EXP(-LN(2)/25))/(LN(2)/25)*Calculateur!DW162*Calculateur!DY162*VLOOKUP('Données projet'!$B$14,Paramètres!$A$1:$I$89,3,0)*0.475*44/12</f>
        <v>0.45542963661475494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1.32715121197218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568.58000857053662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256.51999999999981</v>
      </c>
      <c r="O163" s="14">
        <f>N163*VLOOKUP('Données projet'!$B$9,Paramètres!$A$1:$I$89,3,0)*VLOOKUP('Données projet'!$B$9,Paramètres!$A$1:$I$89,5,0)</f>
        <v>232.09929599999984</v>
      </c>
      <c r="P163" s="14">
        <f t="shared" si="141"/>
        <v>56.736358096348383</v>
      </c>
      <c r="Q163" s="22">
        <f t="shared" si="162"/>
        <v>503.0554308844732</v>
      </c>
      <c r="R163" s="62">
        <f t="shared" si="109"/>
        <v>796.38876421780651</v>
      </c>
      <c r="S163" s="62">
        <f ca="1">AVERAGE(OFFSET($R$3,0,0,'Données projet'!$E$9+1,1))-AVERAGE(OFFSET($H$3,0,0,'Données projet'!$E$9+1,1))</f>
        <v>299.17641394512162</v>
      </c>
      <c r="T163" s="62">
        <f t="shared" si="142"/>
        <v>180.73046320039873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10.614706576760451</v>
      </c>
      <c r="AA163" s="23">
        <f>EXP(-LN(2)/25)*AA162+(1-EXP(-LN(2)/25))/(LN(2)/25)*Calculateur!V163*Calculateur!X163*VLOOKUP('Données projet'!$B$9,Paramètres!$A$1:$I$89,3,0)*0.475*44/12</f>
        <v>7.5265152348044806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18.141221811564932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361.20999999999862</v>
      </c>
      <c r="AJ163" s="14">
        <f>AI163*VLOOKUP('Données projet'!$B$10,Paramètres!$A$1:$I$89,3,0)*VLOOKUP('Données projet'!$B$10,Paramètres!$A$1:$I$89,5,0)</f>
        <v>366.26693999999861</v>
      </c>
      <c r="AK163" s="14">
        <f t="shared" si="164"/>
        <v>84.903135734816331</v>
      </c>
      <c r="AL163" s="22">
        <f t="shared" si="165"/>
        <v>785.7878819048027</v>
      </c>
      <c r="AM163" s="62">
        <f t="shared" si="113"/>
        <v>1079.1212152381361</v>
      </c>
      <c r="AN163" s="62">
        <f ca="1">AVERAGE(OFFSET($AM$3,0,0,'Données projet'!$E$10+1,1))-AVERAGE(OFFSET($H$3,0,0,'Données projet'!$E$10+1,1))</f>
        <v>384.66322295929552</v>
      </c>
      <c r="AO163" s="62">
        <f t="shared" si="144"/>
        <v>248.53970183513286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11.550344062222157</v>
      </c>
      <c r="AV163" s="23">
        <f>EXP(-LN(2)/25)*AV162+(1-EXP(-LN(2)/25))/(LN(2)/25)*Calculateur!AQ163*Calculateur!AS163*VLOOKUP('Données projet'!$B$10,Paramètres!$A$1:$I$89,3,0)*0.475*44/12</f>
        <v>8.1109502116279995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19.661294273850157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343.79999999999995</v>
      </c>
      <c r="BE163" s="14">
        <f>BD163*VLOOKUP('Données projet'!$B$11,Paramètres!$A$1:$I$89,3,0)*VLOOKUP('Données projet'!$B$11,Paramètres!$A$1:$I$89,5,0)</f>
        <v>205.5924</v>
      </c>
      <c r="BF163" s="14">
        <f t="shared" si="167"/>
        <v>50.971228364263673</v>
      </c>
      <c r="BG163" s="22">
        <f t="shared" si="168"/>
        <v>446.84831940109251</v>
      </c>
      <c r="BH163" s="62">
        <f t="shared" si="116"/>
        <v>740.18165273442582</v>
      </c>
      <c r="BI163" s="62">
        <f ca="1">AVERAGE(OFFSET($BH$3,0,0,'Données projet'!$E$11+1,1))-AVERAGE(OFFSET($H$3,0,0,'Données projet'!$E$11+1,1))</f>
        <v>146.25807703055079</v>
      </c>
      <c r="BJ163" s="62">
        <f t="shared" si="146"/>
        <v>177.40137940534413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0.72556875036341895</v>
      </c>
      <c r="BQ163" s="23">
        <f>EXP(-LN(2)/25)*BQ162+(1-EXP(-LN(2)/25))/(LN(2)/25)*Calculateur!BL163*Calculateur!BN163*VLOOKUP('Données projet'!$B$11,Paramètres!$A$1:$I$89,3,0)*0.475*44/12</f>
        <v>0.26540883878000537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0.99097758914342426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760.1400000000001</v>
      </c>
      <c r="BZ163" s="14">
        <f>BY163*VLOOKUP('Données projet'!$B$12,Paramètres!$A$1:$I$89,3,0)*VLOOKUP('Données projet'!$B$12,Paramètres!$A$1:$I$89,5,0)</f>
        <v>355.74552000000006</v>
      </c>
      <c r="CA163" s="14">
        <f t="shared" si="170"/>
        <v>82.744450026504168</v>
      </c>
      <c r="CB163" s="22">
        <f t="shared" si="171"/>
        <v>763.70336446282818</v>
      </c>
      <c r="CC163" s="62">
        <f t="shared" si="119"/>
        <v>1057.0366977961614</v>
      </c>
      <c r="CD163" s="62">
        <f ca="1">AVERAGE(OFFSET($CC$3,0,0,'Données projet'!$E$12+1,1))-AVERAGE(OFFSET($H$3,0,0,'Données projet'!$E$12+1,1))</f>
        <v>287.12723448949828</v>
      </c>
      <c r="CE163" s="62">
        <f t="shared" si="148"/>
        <v>170.5203352323382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0.88066976828063548</v>
      </c>
      <c r="CL163" s="23">
        <f>EXP(-LN(2)/25)*CL162+(1-EXP(-LN(2)/25))/(LN(2)/25)*Calculateur!CG163*Calculateur!CI163*VLOOKUP('Données projet'!$B$12,Paramètres!$A$1:$I$89,3,0)*0.475*44/12</f>
        <v>2.5099153861593382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3.3905851544399734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477.12000000000097</v>
      </c>
      <c r="CU163" s="18">
        <f>CT163*VLOOKUP('Données projet'!$B$13,Paramètres!$A$1:$I$89,3,0)*VLOOKUP('Données projet'!$B$13,Paramètres!$A$1:$I$89,5,0)</f>
        <v>461.47046400000096</v>
      </c>
      <c r="CV163" s="14">
        <f t="shared" si="173"/>
        <v>104.13329806929862</v>
      </c>
      <c r="CW163" s="22">
        <f t="shared" si="174"/>
        <v>985.09321893736342</v>
      </c>
      <c r="CX163" s="62">
        <f t="shared" si="122"/>
        <v>1278.4265522706967</v>
      </c>
      <c r="CY163" s="62">
        <f ca="1">AVERAGE(OFFSET($CX$3,0,0,'Données projet'!$E$13+1,1))-AVERAGE(OFFSET($H$3,0,0,'Données projet'!$E$13+1,1))</f>
        <v>467.37715054082025</v>
      </c>
      <c r="CZ163" s="62">
        <f t="shared" si="150"/>
        <v>443.35096563136415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0.76792629147339564</v>
      </c>
      <c r="DG163" s="23">
        <f>EXP(-LN(2)/25)*DG162+(1-EXP(-LN(2)/25))/(LN(2)/25)*Calculateur!DB163*Calculateur!DD163*VLOOKUP('Données projet'!$B$13,Paramètres!$A$1:$I$89,3,0)*0.475*44/12</f>
        <v>0.39803630628397518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1.1659625977573709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477.12000000000097</v>
      </c>
      <c r="DP163" s="18">
        <f>DO163*VLOOKUP('Données projet'!$B$14,Paramètres!$A$1:$I$89,3,0)*VLOOKUP('Données projet'!$B$14,Paramètres!$A$1:$I$89,5,0)</f>
        <v>513.57196800000099</v>
      </c>
      <c r="DQ163" s="14">
        <f t="shared" si="176"/>
        <v>114.45621584436451</v>
      </c>
      <c r="DR163" s="22">
        <f t="shared" si="177"/>
        <v>1093.8157535289363</v>
      </c>
      <c r="DS163" s="62">
        <f t="shared" si="125"/>
        <v>1387.1490868622695</v>
      </c>
      <c r="DT163" s="62">
        <f ca="1">AVERAGE(OFFSET($DS$3,0,0,'Données projet'!$E$14+1,1))-AVERAGE(OFFSET($H$3,0,0,'Données projet'!$E$14+1,1))</f>
        <v>524.51242549438939</v>
      </c>
      <c r="DU163" s="62">
        <f t="shared" si="152"/>
        <v>494.88778446576327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0.85462764696232607</v>
      </c>
      <c r="EB163" s="23">
        <f>EXP(-LN(2)/25)*EB162+(1-EXP(-LN(2)/25))/(LN(2)/25)*Calculateur!DW163*Calculateur!DY163*VLOOKUP('Données projet'!$B$14,Paramètres!$A$1:$I$89,3,0)*0.475*44/12</f>
        <v>0.44297588925152076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1.2976035362138467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570.48268900503945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256.51999999999981</v>
      </c>
      <c r="O164" s="14">
        <f>N164*VLOOKUP('Données projet'!$B$9,Paramètres!$A$1:$I$89,3,0)*VLOOKUP('Données projet'!$B$9,Paramètres!$A$1:$I$89,5,0)</f>
        <v>232.09929599999984</v>
      </c>
      <c r="P164" s="14">
        <f t="shared" si="141"/>
        <v>56.736358096348383</v>
      </c>
      <c r="Q164" s="22">
        <f t="shared" si="162"/>
        <v>503.0554308844732</v>
      </c>
      <c r="R164" s="62">
        <f t="shared" si="109"/>
        <v>796.38876421780651</v>
      </c>
      <c r="S164" s="62">
        <f ca="1">AVERAGE(OFFSET($R$3,0,0,'Données projet'!$E$9+1,1))-AVERAGE(OFFSET($H$3,0,0,'Données projet'!$E$9+1,1))</f>
        <v>299.17641394512162</v>
      </c>
      <c r="T164" s="62">
        <f t="shared" si="142"/>
        <v>180.73046320039873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10.406558655121904</v>
      </c>
      <c r="AA164" s="23">
        <f>EXP(-LN(2)/25)*AA163+(1-EXP(-LN(2)/25))/(LN(2)/25)*Calculateur!V164*Calculateur!X164*VLOOKUP('Données projet'!$B$9,Paramètres!$A$1:$I$89,3,0)*0.475*44/12</f>
        <v>7.3207022799065182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17.727260935028422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361.20999999999862</v>
      </c>
      <c r="AJ164" s="14">
        <f>AI164*VLOOKUP('Données projet'!$B$10,Paramètres!$A$1:$I$89,3,0)*VLOOKUP('Données projet'!$B$10,Paramètres!$A$1:$I$89,5,0)</f>
        <v>366.26693999999861</v>
      </c>
      <c r="AK164" s="14">
        <f t="shared" si="164"/>
        <v>84.903135734816331</v>
      </c>
      <c r="AL164" s="22">
        <f t="shared" si="165"/>
        <v>785.7878819048027</v>
      </c>
      <c r="AM164" s="62">
        <f t="shared" si="113"/>
        <v>1079.1212152381361</v>
      </c>
      <c r="AN164" s="62">
        <f ca="1">AVERAGE(OFFSET($AM$3,0,0,'Données projet'!$E$10+1,1))-AVERAGE(OFFSET($H$3,0,0,'Données projet'!$E$10+1,1))</f>
        <v>384.66322295929552</v>
      </c>
      <c r="AO164" s="62">
        <f t="shared" si="144"/>
        <v>248.53970183513286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11.323848860176222</v>
      </c>
      <c r="AV164" s="23">
        <f>EXP(-LN(2)/25)*AV163+(1-EXP(-LN(2)/25))/(LN(2)/25)*Calculateur!AQ164*Calculateur!AS164*VLOOKUP('Données projet'!$B$10,Paramètres!$A$1:$I$89,3,0)*0.475*44/12</f>
        <v>7.8891558515546976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19.213004711730918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343.79999999999995</v>
      </c>
      <c r="BE164" s="14">
        <f>BD164*VLOOKUP('Données projet'!$B$11,Paramètres!$A$1:$I$89,3,0)*VLOOKUP('Données projet'!$B$11,Paramètres!$A$1:$I$89,5,0)</f>
        <v>205.5924</v>
      </c>
      <c r="BF164" s="14">
        <f t="shared" si="167"/>
        <v>50.971228364263673</v>
      </c>
      <c r="BG164" s="22">
        <f t="shared" si="168"/>
        <v>446.84831940109251</v>
      </c>
      <c r="BH164" s="62">
        <f t="shared" si="116"/>
        <v>740.18165273442582</v>
      </c>
      <c r="BI164" s="62">
        <f ca="1">AVERAGE(OFFSET($BH$3,0,0,'Données projet'!$E$11+1,1))-AVERAGE(OFFSET($H$3,0,0,'Données projet'!$E$11+1,1))</f>
        <v>146.25807703055079</v>
      </c>
      <c r="BJ164" s="62">
        <f t="shared" si="146"/>
        <v>177.40137940534413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0.71134078972203152</v>
      </c>
      <c r="BQ164" s="23">
        <f>EXP(-LN(2)/25)*BQ163+(1-EXP(-LN(2)/25))/(LN(2)/25)*Calculateur!BL164*Calculateur!BN164*VLOOKUP('Données projet'!$B$11,Paramètres!$A$1:$I$89,3,0)*0.475*44/12</f>
        <v>0.25815122012632191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0.96949200984835349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760.1400000000001</v>
      </c>
      <c r="BZ164" s="14">
        <f>BY164*VLOOKUP('Données projet'!$B$12,Paramètres!$A$1:$I$89,3,0)*VLOOKUP('Données projet'!$B$12,Paramètres!$A$1:$I$89,5,0)</f>
        <v>355.74552000000006</v>
      </c>
      <c r="CA164" s="14">
        <f t="shared" si="170"/>
        <v>82.744450026504168</v>
      </c>
      <c r="CB164" s="22">
        <f t="shared" si="171"/>
        <v>763.70336446282818</v>
      </c>
      <c r="CC164" s="62">
        <f t="shared" si="119"/>
        <v>1057.0366977961614</v>
      </c>
      <c r="CD164" s="62">
        <f ca="1">AVERAGE(OFFSET($CC$3,0,0,'Données projet'!$E$12+1,1))-AVERAGE(OFFSET($H$3,0,0,'Données projet'!$E$12+1,1))</f>
        <v>287.12723448949828</v>
      </c>
      <c r="CE164" s="62">
        <f t="shared" si="148"/>
        <v>170.5203352323382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0.86340037128017122</v>
      </c>
      <c r="CL164" s="23">
        <f>EXP(-LN(2)/25)*CL163+(1-EXP(-LN(2)/25))/(LN(2)/25)*Calculateur!CG164*Calculateur!CI164*VLOOKUP('Données projet'!$B$12,Paramètres!$A$1:$I$89,3,0)*0.475*44/12</f>
        <v>2.4412816179340973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3.3046819892142683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477.12000000000097</v>
      </c>
      <c r="CU164" s="18">
        <f>CT164*VLOOKUP('Données projet'!$B$13,Paramètres!$A$1:$I$89,3,0)*VLOOKUP('Données projet'!$B$13,Paramètres!$A$1:$I$89,5,0)</f>
        <v>461.47046400000096</v>
      </c>
      <c r="CV164" s="14">
        <f t="shared" si="173"/>
        <v>104.13329806929862</v>
      </c>
      <c r="CW164" s="22">
        <f t="shared" si="174"/>
        <v>985.09321893736342</v>
      </c>
      <c r="CX164" s="62">
        <f t="shared" si="122"/>
        <v>1278.4265522706967</v>
      </c>
      <c r="CY164" s="62">
        <f ca="1">AVERAGE(OFFSET($CX$3,0,0,'Données projet'!$E$13+1,1))-AVERAGE(OFFSET($H$3,0,0,'Données projet'!$E$13+1,1))</f>
        <v>467.37715054082025</v>
      </c>
      <c r="CZ164" s="62">
        <f t="shared" si="150"/>
        <v>443.35096563136415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0.75286772528639057</v>
      </c>
      <c r="DG164" s="23">
        <f>EXP(-LN(2)/25)*DG163+(1-EXP(-LN(2)/25))/(LN(2)/25)*Calculateur!DB164*Calculateur!DD164*VLOOKUP('Données projet'!$B$13,Paramètres!$A$1:$I$89,3,0)*0.475*44/12</f>
        <v>0.38715198255682026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1.1400197078432108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477.12000000000097</v>
      </c>
      <c r="DP164" s="18">
        <f>DO164*VLOOKUP('Données projet'!$B$14,Paramètres!$A$1:$I$89,3,0)*VLOOKUP('Données projet'!$B$14,Paramètres!$A$1:$I$89,5,0)</f>
        <v>513.57196800000099</v>
      </c>
      <c r="DQ164" s="14">
        <f t="shared" si="176"/>
        <v>114.45621584436451</v>
      </c>
      <c r="DR164" s="22">
        <f t="shared" si="177"/>
        <v>1093.8157535289363</v>
      </c>
      <c r="DS164" s="62">
        <f t="shared" si="125"/>
        <v>1387.1490868622695</v>
      </c>
      <c r="DT164" s="62">
        <f ca="1">AVERAGE(OFFSET($DS$3,0,0,'Données projet'!$E$14+1,1))-AVERAGE(OFFSET($H$3,0,0,'Données projet'!$E$14+1,1))</f>
        <v>524.51242549438939</v>
      </c>
      <c r="DU164" s="62">
        <f t="shared" si="152"/>
        <v>494.88778446576327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0.83786892007678826</v>
      </c>
      <c r="EB164" s="23">
        <f>EXP(-LN(2)/25)*EB163+(1-EXP(-LN(2)/25))/(LN(2)/25)*Calculateur!DW164*Calculateur!DY164*VLOOKUP('Données projet'!$B$14,Paramètres!$A$1:$I$89,3,0)*0.475*44/12</f>
        <v>0.43086269026484836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1.2687316103416366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572.38511360180746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256.51999999999981</v>
      </c>
      <c r="O165" s="14">
        <f>N165*VLOOKUP('Données projet'!$B$9,Paramètres!$A$1:$I$89,3,0)*VLOOKUP('Données projet'!$B$9,Paramètres!$A$1:$I$89,5,0)</f>
        <v>232.09929599999984</v>
      </c>
      <c r="P165" s="14">
        <f t="shared" si="141"/>
        <v>56.736358096348383</v>
      </c>
      <c r="Q165" s="22">
        <f t="shared" si="162"/>
        <v>503.0554308844732</v>
      </c>
      <c r="R165" s="62">
        <f t="shared" si="109"/>
        <v>796.38876421780651</v>
      </c>
      <c r="S165" s="62">
        <f ca="1">AVERAGE(OFFSET($R$3,0,0,'Données projet'!$E$9+1,1))-AVERAGE(OFFSET($H$3,0,0,'Données projet'!$E$9+1,1))</f>
        <v>299.17641394512162</v>
      </c>
      <c r="T165" s="62">
        <f t="shared" si="142"/>
        <v>180.73046320039873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10.202492387268991</v>
      </c>
      <c r="AA165" s="23">
        <f>EXP(-LN(2)/25)*AA164+(1-EXP(-LN(2)/25))/(LN(2)/25)*Calculateur!V165*Calculateur!X165*VLOOKUP('Données projet'!$B$9,Paramètres!$A$1:$I$89,3,0)*0.475*44/12</f>
        <v>7.1205172910834733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17.323009678352463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361.20999999999862</v>
      </c>
      <c r="AJ165" s="14">
        <f>AI165*VLOOKUP('Données projet'!$B$10,Paramètres!$A$1:$I$89,3,0)*VLOOKUP('Données projet'!$B$10,Paramètres!$A$1:$I$89,5,0)</f>
        <v>366.26693999999861</v>
      </c>
      <c r="AK165" s="14">
        <f t="shared" si="164"/>
        <v>84.903135734816331</v>
      </c>
      <c r="AL165" s="22">
        <f t="shared" si="165"/>
        <v>785.7878819048027</v>
      </c>
      <c r="AM165" s="62">
        <f t="shared" si="113"/>
        <v>1079.1212152381361</v>
      </c>
      <c r="AN165" s="62">
        <f ca="1">AVERAGE(OFFSET($AM$3,0,0,'Données projet'!$E$10+1,1))-AVERAGE(OFFSET($H$3,0,0,'Données projet'!$E$10+1,1))</f>
        <v>384.66322295929552</v>
      </c>
      <c r="AO165" s="62">
        <f t="shared" si="144"/>
        <v>248.53970183513286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11.101795090893974</v>
      </c>
      <c r="AV165" s="23">
        <f>EXP(-LN(2)/25)*AV164+(1-EXP(-LN(2)/25))/(LN(2)/25)*Calculateur!AQ165*Calculateur!AS165*VLOOKUP('Données projet'!$B$10,Paramètres!$A$1:$I$89,3,0)*0.475*44/12</f>
        <v>7.6734264699212593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18.775221560815233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343.79999999999995</v>
      </c>
      <c r="BE165" s="14">
        <f>BD165*VLOOKUP('Données projet'!$B$11,Paramètres!$A$1:$I$89,3,0)*VLOOKUP('Données projet'!$B$11,Paramètres!$A$1:$I$89,5,0)</f>
        <v>205.5924</v>
      </c>
      <c r="BF165" s="14">
        <f t="shared" si="167"/>
        <v>50.971228364263673</v>
      </c>
      <c r="BG165" s="22">
        <f t="shared" si="168"/>
        <v>446.84831940109251</v>
      </c>
      <c r="BH165" s="62">
        <f t="shared" si="116"/>
        <v>740.18165273442582</v>
      </c>
      <c r="BI165" s="62">
        <f ca="1">AVERAGE(OFFSET($BH$3,0,0,'Données projet'!$E$11+1,1))-AVERAGE(OFFSET($H$3,0,0,'Données projet'!$E$11+1,1))</f>
        <v>146.25807703055079</v>
      </c>
      <c r="BJ165" s="62">
        <f t="shared" si="146"/>
        <v>177.40137940534413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0.69739183071062261</v>
      </c>
      <c r="BQ165" s="23">
        <f>EXP(-LN(2)/25)*BQ164+(1-EXP(-LN(2)/25))/(LN(2)/25)*Calculateur!BL165*Calculateur!BN165*VLOOKUP('Données projet'!$B$11,Paramètres!$A$1:$I$89,3,0)*0.475*44/12</f>
        <v>0.25109206143638496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0.94848389214700757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760.1400000000001</v>
      </c>
      <c r="BZ165" s="14">
        <f>BY165*VLOOKUP('Données projet'!$B$12,Paramètres!$A$1:$I$89,3,0)*VLOOKUP('Données projet'!$B$12,Paramètres!$A$1:$I$89,5,0)</f>
        <v>355.74552000000006</v>
      </c>
      <c r="CA165" s="14">
        <f t="shared" si="170"/>
        <v>82.744450026504168</v>
      </c>
      <c r="CB165" s="22">
        <f t="shared" si="171"/>
        <v>763.70336446282818</v>
      </c>
      <c r="CC165" s="62">
        <f t="shared" si="119"/>
        <v>1057.0366977961614</v>
      </c>
      <c r="CD165" s="62">
        <f ca="1">AVERAGE(OFFSET($CC$3,0,0,'Données projet'!$E$12+1,1))-AVERAGE(OFFSET($H$3,0,0,'Données projet'!$E$12+1,1))</f>
        <v>287.12723448949828</v>
      </c>
      <c r="CE165" s="62">
        <f t="shared" si="148"/>
        <v>170.5203352323382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0.84646961662159392</v>
      </c>
      <c r="CL165" s="23">
        <f>EXP(-LN(2)/25)*CL164+(1-EXP(-LN(2)/25))/(LN(2)/25)*Calculateur!CG165*Calculateur!CI165*VLOOKUP('Données projet'!$B$12,Paramètres!$A$1:$I$89,3,0)*0.475*44/12</f>
        <v>2.3745246437102687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3.2209942603318629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477.12000000000097</v>
      </c>
      <c r="CU165" s="18">
        <f>CT165*VLOOKUP('Données projet'!$B$13,Paramètres!$A$1:$I$89,3,0)*VLOOKUP('Données projet'!$B$13,Paramètres!$A$1:$I$89,5,0)</f>
        <v>461.47046400000096</v>
      </c>
      <c r="CV165" s="14">
        <f t="shared" si="173"/>
        <v>104.13329806929862</v>
      </c>
      <c r="CW165" s="22">
        <f t="shared" si="174"/>
        <v>985.09321893736342</v>
      </c>
      <c r="CX165" s="62">
        <f t="shared" si="122"/>
        <v>1278.4265522706967</v>
      </c>
      <c r="CY165" s="62">
        <f ca="1">AVERAGE(OFFSET($CX$3,0,0,'Données projet'!$E$13+1,1))-AVERAGE(OFFSET($H$3,0,0,'Données projet'!$E$13+1,1))</f>
        <v>467.37715054082025</v>
      </c>
      <c r="CZ165" s="62">
        <f t="shared" si="150"/>
        <v>443.35096563136415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0.73810444839749423</v>
      </c>
      <c r="DG165" s="23">
        <f>EXP(-LN(2)/25)*DG164+(1-EXP(-LN(2)/25))/(LN(2)/25)*Calculateur!DB165*Calculateur!DD165*VLOOKUP('Données projet'!$B$13,Paramètres!$A$1:$I$89,3,0)*0.475*44/12</f>
        <v>0.37656529123436611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1.1146697396318603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477.12000000000097</v>
      </c>
      <c r="DP165" s="18">
        <f>DO165*VLOOKUP('Données projet'!$B$14,Paramètres!$A$1:$I$89,3,0)*VLOOKUP('Données projet'!$B$14,Paramètres!$A$1:$I$89,5,0)</f>
        <v>513.57196800000099</v>
      </c>
      <c r="DQ165" s="14">
        <f t="shared" si="176"/>
        <v>114.45621584436451</v>
      </c>
      <c r="DR165" s="22">
        <f t="shared" si="177"/>
        <v>1093.8157535289363</v>
      </c>
      <c r="DS165" s="62">
        <f t="shared" si="125"/>
        <v>1387.1490868622695</v>
      </c>
      <c r="DT165" s="62">
        <f ca="1">AVERAGE(OFFSET($DS$3,0,0,'Données projet'!$E$14+1,1))-AVERAGE(OFFSET($H$3,0,0,'Données projet'!$E$14+1,1))</f>
        <v>524.51242549438939</v>
      </c>
      <c r="DU165" s="62">
        <f t="shared" si="152"/>
        <v>494.88778446576327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0.82143882160366177</v>
      </c>
      <c r="EB165" s="23">
        <f>EXP(-LN(2)/25)*EB164+(1-EXP(-LN(2)/25))/(LN(2)/25)*Calculateur!DW165*Calculateur!DY165*VLOOKUP('Données projet'!$B$14,Paramètres!$A$1:$I$89,3,0)*0.475*44/12</f>
        <v>0.41908072734147195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1.2405195489451337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574.28728412329951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256.51999999999981</v>
      </c>
      <c r="O166" s="14">
        <f>N166*VLOOKUP('Données projet'!$B$9,Paramètres!$A$1:$I$89,3,0)*VLOOKUP('Données projet'!$B$9,Paramètres!$A$1:$I$89,5,0)</f>
        <v>232.09929599999984</v>
      </c>
      <c r="P166" s="14">
        <f t="shared" si="141"/>
        <v>56.736358096348383</v>
      </c>
      <c r="Q166" s="22">
        <f t="shared" si="162"/>
        <v>503.0554308844732</v>
      </c>
      <c r="R166" s="62">
        <f t="shared" si="109"/>
        <v>796.38876421780651</v>
      </c>
      <c r="S166" s="62">
        <f ca="1">AVERAGE(OFFSET($R$3,0,0,'Données projet'!$E$9+1,1))-AVERAGE(OFFSET($H$3,0,0,'Données projet'!$E$9+1,1))</f>
        <v>299.17641394512162</v>
      </c>
      <c r="T166" s="62">
        <f t="shared" si="142"/>
        <v>180.73046320039873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10.002427734460541</v>
      </c>
      <c r="AA166" s="23">
        <f>EXP(-LN(2)/25)*AA165+(1-EXP(-LN(2)/25))/(LN(2)/25)*Calculateur!V166*Calculateur!X166*VLOOKUP('Données projet'!$B$9,Paramètres!$A$1:$I$89,3,0)*0.475*44/12</f>
        <v>6.9258063713070657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16.928234105767608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361.20999999999862</v>
      </c>
      <c r="AJ166" s="14">
        <f>AI166*VLOOKUP('Données projet'!$B$10,Paramètres!$A$1:$I$89,3,0)*VLOOKUP('Données projet'!$B$10,Paramètres!$A$1:$I$89,5,0)</f>
        <v>366.26693999999861</v>
      </c>
      <c r="AK166" s="14">
        <f t="shared" si="164"/>
        <v>84.903135734816331</v>
      </c>
      <c r="AL166" s="22">
        <f t="shared" si="165"/>
        <v>785.7878819048027</v>
      </c>
      <c r="AM166" s="62">
        <f t="shared" si="113"/>
        <v>1079.1212152381361</v>
      </c>
      <c r="AN166" s="62">
        <f ca="1">AVERAGE(OFFSET($AM$3,0,0,'Données projet'!$E$10+1,1))-AVERAGE(OFFSET($H$3,0,0,'Données projet'!$E$10+1,1))</f>
        <v>384.66322295929552</v>
      </c>
      <c r="AO166" s="62">
        <f t="shared" si="144"/>
        <v>248.53970183513286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10.884095660587926</v>
      </c>
      <c r="AV166" s="23">
        <f>EXP(-LN(2)/25)*AV165+(1-EXP(-LN(2)/25))/(LN(2)/25)*Calculateur!AQ166*Calculateur!AS166*VLOOKUP('Données projet'!$B$10,Paramètres!$A$1:$I$89,3,0)*0.475*44/12</f>
        <v>7.4635962195733025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18.347691880161229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343.79999999999995</v>
      </c>
      <c r="BE166" s="14">
        <f>BD166*VLOOKUP('Données projet'!$B$11,Paramètres!$A$1:$I$89,3,0)*VLOOKUP('Données projet'!$B$11,Paramètres!$A$1:$I$89,5,0)</f>
        <v>205.5924</v>
      </c>
      <c r="BF166" s="14">
        <f t="shared" si="167"/>
        <v>50.971228364263673</v>
      </c>
      <c r="BG166" s="22">
        <f t="shared" si="168"/>
        <v>446.84831940109251</v>
      </c>
      <c r="BH166" s="62">
        <f t="shared" si="116"/>
        <v>740.18165273442582</v>
      </c>
      <c r="BI166" s="62">
        <f ca="1">AVERAGE(OFFSET($BH$3,0,0,'Données projet'!$E$11+1,1))-AVERAGE(OFFSET($H$3,0,0,'Données projet'!$E$11+1,1))</f>
        <v>146.25807703055079</v>
      </c>
      <c r="BJ166" s="62">
        <f t="shared" si="146"/>
        <v>177.40137940534413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0.68371640227740249</v>
      </c>
      <c r="BQ166" s="23">
        <f>EXP(-LN(2)/25)*BQ165+(1-EXP(-LN(2)/25))/(LN(2)/25)*Calculateur!BL166*Calculateur!BN166*VLOOKUP('Données projet'!$B$11,Paramètres!$A$1:$I$89,3,0)*0.475*44/12</f>
        <v>0.24422593581204938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0.92794233808945181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760.1400000000001</v>
      </c>
      <c r="BZ166" s="14">
        <f>BY166*VLOOKUP('Données projet'!$B$12,Paramètres!$A$1:$I$89,3,0)*VLOOKUP('Données projet'!$B$12,Paramètres!$A$1:$I$89,5,0)</f>
        <v>355.74552000000006</v>
      </c>
      <c r="CA166" s="14">
        <f t="shared" si="170"/>
        <v>82.744450026504168</v>
      </c>
      <c r="CB166" s="22">
        <f t="shared" si="171"/>
        <v>763.70336446282818</v>
      </c>
      <c r="CC166" s="62">
        <f t="shared" si="119"/>
        <v>1057.0366977961614</v>
      </c>
      <c r="CD166" s="62">
        <f ca="1">AVERAGE(OFFSET($CC$3,0,0,'Données projet'!$E$12+1,1))-AVERAGE(OFFSET($H$3,0,0,'Données projet'!$E$12+1,1))</f>
        <v>287.12723448949828</v>
      </c>
      <c r="CE166" s="62">
        <f t="shared" si="148"/>
        <v>170.5203352323382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0.82987086373513064</v>
      </c>
      <c r="CL166" s="23">
        <f>EXP(-LN(2)/25)*CL165+(1-EXP(-LN(2)/25))/(LN(2)/25)*Calculateur!CG166*Calculateur!CI166*VLOOKUP('Données projet'!$B$12,Paramètres!$A$1:$I$89,3,0)*0.475*44/12</f>
        <v>2.3095931424571874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3.139464006192318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477.12000000000097</v>
      </c>
      <c r="CU166" s="18">
        <f>CT166*VLOOKUP('Données projet'!$B$13,Paramètres!$A$1:$I$89,3,0)*VLOOKUP('Données projet'!$B$13,Paramètres!$A$1:$I$89,5,0)</f>
        <v>461.47046400000096</v>
      </c>
      <c r="CV166" s="14">
        <f t="shared" si="173"/>
        <v>104.13329806929862</v>
      </c>
      <c r="CW166" s="22">
        <f t="shared" si="174"/>
        <v>985.09321893736342</v>
      </c>
      <c r="CX166" s="62">
        <f t="shared" si="122"/>
        <v>1278.4265522706967</v>
      </c>
      <c r="CY166" s="62">
        <f ca="1">AVERAGE(OFFSET($CX$3,0,0,'Données projet'!$E$13+1,1))-AVERAGE(OFFSET($H$3,0,0,'Données projet'!$E$13+1,1))</f>
        <v>467.37715054082025</v>
      </c>
      <c r="CZ166" s="62">
        <f t="shared" si="150"/>
        <v>443.35096563136415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0.72363067036367945</v>
      </c>
      <c r="DG166" s="23">
        <f>EXP(-LN(2)/25)*DG165+(1-EXP(-LN(2)/25))/(LN(2)/25)*Calculateur!DB166*Calculateur!DD166*VLOOKUP('Données projet'!$B$13,Paramètres!$A$1:$I$89,3,0)*0.475*44/12</f>
        <v>0.36626809354285433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1.0898987639065338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477.12000000000097</v>
      </c>
      <c r="DP166" s="18">
        <f>DO166*VLOOKUP('Données projet'!$B$14,Paramètres!$A$1:$I$89,3,0)*VLOOKUP('Données projet'!$B$14,Paramètres!$A$1:$I$89,5,0)</f>
        <v>513.57196800000099</v>
      </c>
      <c r="DQ166" s="14">
        <f t="shared" si="176"/>
        <v>114.45621584436451</v>
      </c>
      <c r="DR166" s="22">
        <f t="shared" si="177"/>
        <v>1093.8157535289363</v>
      </c>
      <c r="DS166" s="62">
        <f t="shared" si="125"/>
        <v>1387.1490868622695</v>
      </c>
      <c r="DT166" s="62">
        <f ca="1">AVERAGE(OFFSET($DS$3,0,0,'Données projet'!$E$14+1,1))-AVERAGE(OFFSET($H$3,0,0,'Données projet'!$E$14+1,1))</f>
        <v>524.51242549438939</v>
      </c>
      <c r="DU166" s="62">
        <f t="shared" si="152"/>
        <v>494.88778446576327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0.80533090734022272</v>
      </c>
      <c r="EB166" s="23">
        <f>EXP(-LN(2)/25)*EB165+(1-EXP(-LN(2)/25))/(LN(2)/25)*Calculateur!DW166*Calculateur!DY166*VLOOKUP('Données projet'!$B$14,Paramètres!$A$1:$I$89,3,0)*0.475*44/12</f>
        <v>0.40762094281382177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1.2129518501540444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576.18920230909794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256.51999999999981</v>
      </c>
      <c r="O167" s="14">
        <f>N167*VLOOKUP('Données projet'!$B$9,Paramètres!$A$1:$I$89,3,0)*VLOOKUP('Données projet'!$B$9,Paramètres!$A$1:$I$89,5,0)</f>
        <v>232.09929599999984</v>
      </c>
      <c r="P167" s="14">
        <f t="shared" si="141"/>
        <v>56.736358096348383</v>
      </c>
      <c r="Q167" s="22">
        <f t="shared" si="162"/>
        <v>503.0554308844732</v>
      </c>
      <c r="R167" s="62">
        <f t="shared" si="109"/>
        <v>796.38876421780651</v>
      </c>
      <c r="S167" s="62">
        <f ca="1">AVERAGE(OFFSET($R$3,0,0,'Données projet'!$E$9+1,1))-AVERAGE(OFFSET($H$3,0,0,'Données projet'!$E$9+1,1))</f>
        <v>299.17641394512162</v>
      </c>
      <c r="T167" s="62">
        <f t="shared" si="142"/>
        <v>180.73046320039873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9.806286227466277</v>
      </c>
      <c r="AA167" s="23">
        <f>EXP(-LN(2)/25)*AA166+(1-EXP(-LN(2)/25))/(LN(2)/25)*Calculateur!V167*Calculateur!X167*VLOOKUP('Données projet'!$B$9,Paramètres!$A$1:$I$89,3,0)*0.475*44/12</f>
        <v>6.7364198318713457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16.542706059337622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361.20999999999862</v>
      </c>
      <c r="AJ167" s="14">
        <f>AI167*VLOOKUP('Données projet'!$B$10,Paramètres!$A$1:$I$89,3,0)*VLOOKUP('Données projet'!$B$10,Paramètres!$A$1:$I$89,5,0)</f>
        <v>366.26693999999861</v>
      </c>
      <c r="AK167" s="14">
        <f t="shared" si="164"/>
        <v>84.903135734816331</v>
      </c>
      <c r="AL167" s="22">
        <f t="shared" si="165"/>
        <v>785.7878819048027</v>
      </c>
      <c r="AM167" s="62">
        <f t="shared" si="113"/>
        <v>1079.1212152381361</v>
      </c>
      <c r="AN167" s="62">
        <f ca="1">AVERAGE(OFFSET($AM$3,0,0,'Données projet'!$E$10+1,1))-AVERAGE(OFFSET($H$3,0,0,'Données projet'!$E$10+1,1))</f>
        <v>384.66322295929552</v>
      </c>
      <c r="AO167" s="62">
        <f t="shared" si="144"/>
        <v>248.53970183513286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10.670665183326639</v>
      </c>
      <c r="AV167" s="23">
        <f>EXP(-LN(2)/25)*AV166+(1-EXP(-LN(2)/25))/(LN(2)/25)*Calculateur!AQ167*Calculateur!AS167*VLOOKUP('Données projet'!$B$10,Paramètres!$A$1:$I$89,3,0)*0.475*44/12</f>
        <v>7.2595037884556035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17.930168971782244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343.79999999999995</v>
      </c>
      <c r="BE167" s="14">
        <f>BD167*VLOOKUP('Données projet'!$B$11,Paramètres!$A$1:$I$89,3,0)*VLOOKUP('Données projet'!$B$11,Paramètres!$A$1:$I$89,5,0)</f>
        <v>205.5924</v>
      </c>
      <c r="BF167" s="14">
        <f t="shared" si="167"/>
        <v>50.971228364263673</v>
      </c>
      <c r="BG167" s="22">
        <f t="shared" si="168"/>
        <v>446.84831940109251</v>
      </c>
      <c r="BH167" s="62">
        <f t="shared" si="116"/>
        <v>740.18165273442582</v>
      </c>
      <c r="BI167" s="62">
        <f ca="1">AVERAGE(OFFSET($BH$3,0,0,'Données projet'!$E$11+1,1))-AVERAGE(OFFSET($H$3,0,0,'Données projet'!$E$11+1,1))</f>
        <v>146.25807703055079</v>
      </c>
      <c r="BJ167" s="62">
        <f t="shared" si="146"/>
        <v>177.40137940534413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0.67030914065457015</v>
      </c>
      <c r="BQ167" s="23">
        <f>EXP(-LN(2)/25)*BQ166+(1-EXP(-LN(2)/25))/(LN(2)/25)*Calculateur!BL167*Calculateur!BN167*VLOOKUP('Données projet'!$B$11,Paramètres!$A$1:$I$89,3,0)*0.475*44/12</f>
        <v>0.23754756475398511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0.90785670540855523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760.1400000000001</v>
      </c>
      <c r="BZ167" s="14">
        <f>BY167*VLOOKUP('Données projet'!$B$12,Paramètres!$A$1:$I$89,3,0)*VLOOKUP('Données projet'!$B$12,Paramètres!$A$1:$I$89,5,0)</f>
        <v>355.74552000000006</v>
      </c>
      <c r="CA167" s="14">
        <f t="shared" si="170"/>
        <v>82.744450026504168</v>
      </c>
      <c r="CB167" s="22">
        <f t="shared" si="171"/>
        <v>763.70336446282818</v>
      </c>
      <c r="CC167" s="62">
        <f t="shared" si="119"/>
        <v>1057.0366977961614</v>
      </c>
      <c r="CD167" s="62">
        <f ca="1">AVERAGE(OFFSET($CC$3,0,0,'Données projet'!$E$12+1,1))-AVERAGE(OFFSET($H$3,0,0,'Données projet'!$E$12+1,1))</f>
        <v>287.12723448949828</v>
      </c>
      <c r="CE167" s="62">
        <f t="shared" si="148"/>
        <v>170.5203352323382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0.81359760226853139</v>
      </c>
      <c r="CL167" s="23">
        <f>EXP(-LN(2)/25)*CL166+(1-EXP(-LN(2)/25))/(LN(2)/25)*Calculateur!CG167*Calculateur!CI167*VLOOKUP('Données projet'!$B$12,Paramètres!$A$1:$I$89,3,0)*0.475*44/12</f>
        <v>2.2464371965204708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3.060034798789002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477.12000000000097</v>
      </c>
      <c r="CU167" s="18">
        <f>CT167*VLOOKUP('Données projet'!$B$13,Paramètres!$A$1:$I$89,3,0)*VLOOKUP('Données projet'!$B$13,Paramètres!$A$1:$I$89,5,0)</f>
        <v>461.47046400000096</v>
      </c>
      <c r="CV167" s="14">
        <f t="shared" si="173"/>
        <v>104.13329806929862</v>
      </c>
      <c r="CW167" s="22">
        <f t="shared" si="174"/>
        <v>985.09321893736342</v>
      </c>
      <c r="CX167" s="62">
        <f t="shared" si="122"/>
        <v>1278.4265522706967</v>
      </c>
      <c r="CY167" s="62">
        <f ca="1">AVERAGE(OFFSET($CX$3,0,0,'Données projet'!$E$13+1,1))-AVERAGE(OFFSET($H$3,0,0,'Données projet'!$E$13+1,1))</f>
        <v>467.37715054082025</v>
      </c>
      <c r="CZ167" s="62">
        <f t="shared" si="150"/>
        <v>443.35096563136415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0.70944071428897482</v>
      </c>
      <c r="DG167" s="23">
        <f>EXP(-LN(2)/25)*DG166+(1-EXP(-LN(2)/25))/(LN(2)/25)*Calculateur!DB167*Calculateur!DD167*VLOOKUP('Données projet'!$B$13,Paramètres!$A$1:$I$89,3,0)*0.475*44/12</f>
        <v>0.35625247326372306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1.0656931875526978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477.12000000000097</v>
      </c>
      <c r="DP167" s="18">
        <f>DO167*VLOOKUP('Données projet'!$B$14,Paramètres!$A$1:$I$89,3,0)*VLOOKUP('Données projet'!$B$14,Paramètres!$A$1:$I$89,5,0)</f>
        <v>513.57196800000099</v>
      </c>
      <c r="DQ167" s="14">
        <f t="shared" si="176"/>
        <v>114.45621584436451</v>
      </c>
      <c r="DR167" s="22">
        <f t="shared" si="177"/>
        <v>1093.8157535289363</v>
      </c>
      <c r="DS167" s="62">
        <f t="shared" si="125"/>
        <v>1387.1490868622695</v>
      </c>
      <c r="DT167" s="62">
        <f ca="1">AVERAGE(OFFSET($DS$3,0,0,'Données projet'!$E$14+1,1))-AVERAGE(OFFSET($H$3,0,0,'Données projet'!$E$14+1,1))</f>
        <v>524.51242549438939</v>
      </c>
      <c r="DU167" s="62">
        <f t="shared" si="152"/>
        <v>494.88778446576327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0.78953885945063218</v>
      </c>
      <c r="EB167" s="23">
        <f>EXP(-LN(2)/25)*EB166+(1-EXP(-LN(2)/25))/(LN(2)/25)*Calculateur!DW167*Calculateur!DY167*VLOOKUP('Données projet'!$B$14,Paramètres!$A$1:$I$89,3,0)*0.475*44/12</f>
        <v>0.39647452669672406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1.1860133861473563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578.09086987634385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256.51999999999981</v>
      </c>
      <c r="O168" s="14">
        <f>N168*VLOOKUP('Données projet'!$B$9,Paramètres!$A$1:$I$89,3,0)*VLOOKUP('Données projet'!$B$9,Paramètres!$A$1:$I$89,5,0)</f>
        <v>232.09929599999984</v>
      </c>
      <c r="P168" s="14">
        <f t="shared" si="141"/>
        <v>56.736358096348383</v>
      </c>
      <c r="Q168" s="22">
        <f t="shared" si="162"/>
        <v>503.0554308844732</v>
      </c>
      <c r="R168" s="62">
        <f t="shared" si="109"/>
        <v>796.38876421780651</v>
      </c>
      <c r="S168" s="62">
        <f ca="1">AVERAGE(OFFSET($R$3,0,0,'Données projet'!$E$9+1,1))-AVERAGE(OFFSET($H$3,0,0,'Données projet'!$E$9+1,1))</f>
        <v>299.17641394512162</v>
      </c>
      <c r="T168" s="62">
        <f t="shared" si="142"/>
        <v>180.73046320039873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9.6139909357896638</v>
      </c>
      <c r="AA168" s="23">
        <f>EXP(-LN(2)/25)*AA167+(1-EXP(-LN(2)/25))/(LN(2)/25)*Calculateur!V168*Calculateur!X168*VLOOKUP('Données projet'!$B$9,Paramètres!$A$1:$I$89,3,0)*0.475*44/12</f>
        <v>6.5522120773159012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16.166203013105566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361.20999999999862</v>
      </c>
      <c r="AJ168" s="14">
        <f>AI168*VLOOKUP('Données projet'!$B$10,Paramètres!$A$1:$I$89,3,0)*VLOOKUP('Données projet'!$B$10,Paramètres!$A$1:$I$89,5,0)</f>
        <v>366.26693999999861</v>
      </c>
      <c r="AK168" s="14">
        <f t="shared" si="164"/>
        <v>84.903135734816331</v>
      </c>
      <c r="AL168" s="22">
        <f t="shared" si="165"/>
        <v>785.7878819048027</v>
      </c>
      <c r="AM168" s="62">
        <f t="shared" si="113"/>
        <v>1079.1212152381361</v>
      </c>
      <c r="AN168" s="62">
        <f ca="1">AVERAGE(OFFSET($AM$3,0,0,'Données projet'!$E$10+1,1))-AVERAGE(OFFSET($H$3,0,0,'Données projet'!$E$10+1,1))</f>
        <v>384.66322295929552</v>
      </c>
      <c r="AO168" s="62">
        <f t="shared" si="144"/>
        <v>248.53970183513286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10.461419947544709</v>
      </c>
      <c r="AV168" s="23">
        <f>EXP(-LN(2)/25)*AV167+(1-EXP(-LN(2)/25))/(LN(2)/25)*Calculateur!AQ168*Calculateur!AS168*VLOOKUP('Données projet'!$B$10,Paramètres!$A$1:$I$89,3,0)*0.475*44/12</f>
        <v>7.0609922755995722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17.522412223144279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343.79999999999995</v>
      </c>
      <c r="BE168" s="14">
        <f>BD168*VLOOKUP('Données projet'!$B$11,Paramètres!$A$1:$I$89,3,0)*VLOOKUP('Données projet'!$B$11,Paramètres!$A$1:$I$89,5,0)</f>
        <v>205.5924</v>
      </c>
      <c r="BF168" s="14">
        <f t="shared" si="167"/>
        <v>50.971228364263673</v>
      </c>
      <c r="BG168" s="22">
        <f t="shared" si="168"/>
        <v>446.84831940109251</v>
      </c>
      <c r="BH168" s="62">
        <f t="shared" si="116"/>
        <v>740.18165273442582</v>
      </c>
      <c r="BI168" s="62">
        <f ca="1">AVERAGE(OFFSET($BH$3,0,0,'Données projet'!$E$11+1,1))-AVERAGE(OFFSET($H$3,0,0,'Données projet'!$E$11+1,1))</f>
        <v>146.25807703055079</v>
      </c>
      <c r="BJ168" s="62">
        <f t="shared" si="146"/>
        <v>177.40137940534413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0.65716478725453942</v>
      </c>
      <c r="BQ168" s="23">
        <f>EXP(-LN(2)/25)*BQ167+(1-EXP(-LN(2)/25))/(LN(2)/25)*Calculateur!BL168*Calculateur!BN168*VLOOKUP('Données projet'!$B$11,Paramètres!$A$1:$I$89,3,0)*0.475*44/12</f>
        <v>0.23105181410370387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0.88821660135824332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760.1400000000001</v>
      </c>
      <c r="BZ168" s="14">
        <f>BY168*VLOOKUP('Données projet'!$B$12,Paramètres!$A$1:$I$89,3,0)*VLOOKUP('Données projet'!$B$12,Paramètres!$A$1:$I$89,5,0)</f>
        <v>355.74552000000006</v>
      </c>
      <c r="CA168" s="14">
        <f t="shared" si="170"/>
        <v>82.744450026504168</v>
      </c>
      <c r="CB168" s="22">
        <f t="shared" si="171"/>
        <v>763.70336446282818</v>
      </c>
      <c r="CC168" s="62">
        <f t="shared" si="119"/>
        <v>1057.0366977961614</v>
      </c>
      <c r="CD168" s="62">
        <f ca="1">AVERAGE(OFFSET($CC$3,0,0,'Données projet'!$E$12+1,1))-AVERAGE(OFFSET($H$3,0,0,'Données projet'!$E$12+1,1))</f>
        <v>287.12723448949828</v>
      </c>
      <c r="CE168" s="62">
        <f t="shared" si="148"/>
        <v>170.5203352323382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0.79764344953358268</v>
      </c>
      <c r="CL168" s="23">
        <f>EXP(-LN(2)/25)*CL167+(1-EXP(-LN(2)/25))/(LN(2)/25)*Calculateur!CG168*Calculateur!CI168*VLOOKUP('Données projet'!$B$12,Paramètres!$A$1:$I$89,3,0)*0.475*44/12</f>
        <v>2.1850082532466208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2.9826517027802035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477.12000000000097</v>
      </c>
      <c r="CU168" s="18">
        <f>CT168*VLOOKUP('Données projet'!$B$13,Paramètres!$A$1:$I$89,3,0)*VLOOKUP('Données projet'!$B$13,Paramètres!$A$1:$I$89,5,0)</f>
        <v>461.47046400000096</v>
      </c>
      <c r="CV168" s="14">
        <f t="shared" si="173"/>
        <v>104.13329806929862</v>
      </c>
      <c r="CW168" s="22">
        <f t="shared" si="174"/>
        <v>985.09321893736342</v>
      </c>
      <c r="CX168" s="62">
        <f t="shared" si="122"/>
        <v>1278.4265522706967</v>
      </c>
      <c r="CY168" s="62">
        <f ca="1">AVERAGE(OFFSET($CX$3,0,0,'Données projet'!$E$13+1,1))-AVERAGE(OFFSET($H$3,0,0,'Données projet'!$E$13+1,1))</f>
        <v>467.37715054082025</v>
      </c>
      <c r="CZ168" s="62">
        <f t="shared" si="150"/>
        <v>443.35096563136415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0.69552901459787653</v>
      </c>
      <c r="DG168" s="23">
        <f>EXP(-LN(2)/25)*DG167+(1-EXP(-LN(2)/25))/(LN(2)/25)*Calculateur!DB168*Calculateur!DD168*VLOOKUP('Données projet'!$B$13,Paramètres!$A$1:$I$89,3,0)*0.475*44/12</f>
        <v>0.34651073064782323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1.0420397452456998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477.12000000000097</v>
      </c>
      <c r="DP168" s="18">
        <f>DO168*VLOOKUP('Données projet'!$B$14,Paramètres!$A$1:$I$89,3,0)*VLOOKUP('Données projet'!$B$14,Paramètres!$A$1:$I$89,5,0)</f>
        <v>513.57196800000099</v>
      </c>
      <c r="DQ168" s="14">
        <f t="shared" si="176"/>
        <v>114.45621584436451</v>
      </c>
      <c r="DR168" s="22">
        <f t="shared" si="177"/>
        <v>1093.8157535289363</v>
      </c>
      <c r="DS168" s="62">
        <f t="shared" si="125"/>
        <v>1387.1490868622695</v>
      </c>
      <c r="DT168" s="62">
        <f ca="1">AVERAGE(OFFSET($DS$3,0,0,'Données projet'!$E$14+1,1))-AVERAGE(OFFSET($H$3,0,0,'Données projet'!$E$14+1,1))</f>
        <v>524.51242549438939</v>
      </c>
      <c r="DU168" s="62">
        <f t="shared" si="152"/>
        <v>494.88778446576327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0.77405648398795834</v>
      </c>
      <c r="EB168" s="23">
        <f>EXP(-LN(2)/25)*EB167+(1-EXP(-LN(2)/25))/(LN(2)/25)*Calculateur!DW168*Calculateur!DY168*VLOOKUP('Données projet'!$B$14,Paramètres!$A$1:$I$89,3,0)*0.475*44/12</f>
        <v>0.38563290991451293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1.1596893939024713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579.99228852016029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256.51999999999981</v>
      </c>
      <c r="O169" s="14">
        <f>N169*VLOOKUP('Données projet'!$B$9,Paramètres!$A$1:$I$89,3,0)*VLOOKUP('Données projet'!$B$9,Paramètres!$A$1:$I$89,5,0)</f>
        <v>232.09929599999984</v>
      </c>
      <c r="P169" s="14">
        <f t="shared" si="141"/>
        <v>56.736358096348383</v>
      </c>
      <c r="Q169" s="22">
        <f t="shared" si="162"/>
        <v>503.0554308844732</v>
      </c>
      <c r="R169" s="62">
        <f t="shared" si="109"/>
        <v>796.38876421780651</v>
      </c>
      <c r="S169" s="62">
        <f ca="1">AVERAGE(OFFSET($R$3,0,0,'Données projet'!$E$9+1,1))-AVERAGE(OFFSET($H$3,0,0,'Données projet'!$E$9+1,1))</f>
        <v>299.17641394512162</v>
      </c>
      <c r="T169" s="62">
        <f t="shared" si="142"/>
        <v>180.73046320039873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9.4254664374942809</v>
      </c>
      <c r="AA169" s="23">
        <f>EXP(-LN(2)/25)*AA168+(1-EXP(-LN(2)/25))/(LN(2)/25)*Calculateur!V169*Calculateur!X169*VLOOKUP('Données projet'!$B$9,Paramètres!$A$1:$I$89,3,0)*0.475*44/12</f>
        <v>6.3730414934958404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15.798507930990121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361.20999999999862</v>
      </c>
      <c r="AJ169" s="14">
        <f>AI169*VLOOKUP('Données projet'!$B$10,Paramètres!$A$1:$I$89,3,0)*VLOOKUP('Données projet'!$B$10,Paramètres!$A$1:$I$89,5,0)</f>
        <v>366.26693999999861</v>
      </c>
      <c r="AK169" s="14">
        <f t="shared" si="164"/>
        <v>84.903135734816331</v>
      </c>
      <c r="AL169" s="22">
        <f t="shared" si="165"/>
        <v>785.7878819048027</v>
      </c>
      <c r="AM169" s="62">
        <f t="shared" si="113"/>
        <v>1079.1212152381361</v>
      </c>
      <c r="AN169" s="62">
        <f ca="1">AVERAGE(OFFSET($AM$3,0,0,'Données projet'!$E$10+1,1))-AVERAGE(OFFSET($H$3,0,0,'Données projet'!$E$10+1,1))</f>
        <v>384.66322295929552</v>
      </c>
      <c r="AO169" s="62">
        <f t="shared" si="144"/>
        <v>248.53970183513286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10.256277883209469</v>
      </c>
      <c r="AV169" s="23">
        <f>EXP(-LN(2)/25)*AV168+(1-EXP(-LN(2)/25))/(LN(2)/25)*Calculateur!AQ169*Calculateur!AS169*VLOOKUP('Données projet'!$B$10,Paramètres!$A$1:$I$89,3,0)*0.475*44/12</f>
        <v>6.867909070501856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17.124186953711323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343.79999999999995</v>
      </c>
      <c r="BE169" s="14">
        <f>BD169*VLOOKUP('Données projet'!$B$11,Paramètres!$A$1:$I$89,3,0)*VLOOKUP('Données projet'!$B$11,Paramètres!$A$1:$I$89,5,0)</f>
        <v>205.5924</v>
      </c>
      <c r="BF169" s="14">
        <f t="shared" si="167"/>
        <v>50.971228364263673</v>
      </c>
      <c r="BG169" s="22">
        <f t="shared" si="168"/>
        <v>446.84831940109251</v>
      </c>
      <c r="BH169" s="62">
        <f t="shared" si="116"/>
        <v>740.18165273442582</v>
      </c>
      <c r="BI169" s="62">
        <f ca="1">AVERAGE(OFFSET($BH$3,0,0,'Données projet'!$E$11+1,1))-AVERAGE(OFFSET($H$3,0,0,'Données projet'!$E$11+1,1))</f>
        <v>146.25807703055079</v>
      </c>
      <c r="BJ169" s="62">
        <f t="shared" si="146"/>
        <v>177.40137940534413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0.64427818660741931</v>
      </c>
      <c r="BQ169" s="23">
        <f>EXP(-LN(2)/25)*BQ168+(1-EXP(-LN(2)/25))/(LN(2)/25)*Calculateur!BL169*Calculateur!BN169*VLOOKUP('Données projet'!$B$11,Paramètres!$A$1:$I$89,3,0)*0.475*44/12</f>
        <v>0.22473369009655125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0.86901187670397051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760.1400000000001</v>
      </c>
      <c r="BZ169" s="14">
        <f>BY169*VLOOKUP('Données projet'!$B$12,Paramètres!$A$1:$I$89,3,0)*VLOOKUP('Données projet'!$B$12,Paramètres!$A$1:$I$89,5,0)</f>
        <v>355.74552000000006</v>
      </c>
      <c r="CA169" s="14">
        <f t="shared" si="170"/>
        <v>82.744450026504168</v>
      </c>
      <c r="CB169" s="22">
        <f t="shared" si="171"/>
        <v>763.70336446282818</v>
      </c>
      <c r="CC169" s="62">
        <f t="shared" si="119"/>
        <v>1057.0366977961614</v>
      </c>
      <c r="CD169" s="62">
        <f ca="1">AVERAGE(OFFSET($CC$3,0,0,'Données projet'!$E$12+1,1))-AVERAGE(OFFSET($H$3,0,0,'Données projet'!$E$12+1,1))</f>
        <v>287.12723448949828</v>
      </c>
      <c r="CE169" s="62">
        <f t="shared" si="148"/>
        <v>170.5203352323382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0.78200214800269408</v>
      </c>
      <c r="CL169" s="23">
        <f>EXP(-LN(2)/25)*CL168+(1-EXP(-LN(2)/25))/(LN(2)/25)*Calculateur!CG169*Calculateur!CI169*VLOOKUP('Données projet'!$B$12,Paramètres!$A$1:$I$89,3,0)*0.475*44/12</f>
        <v>2.1252590876570019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2.9072612356596959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477.12000000000097</v>
      </c>
      <c r="CU169" s="18">
        <f>CT169*VLOOKUP('Données projet'!$B$13,Paramètres!$A$1:$I$89,3,0)*VLOOKUP('Données projet'!$B$13,Paramètres!$A$1:$I$89,5,0)</f>
        <v>461.47046400000096</v>
      </c>
      <c r="CV169" s="14">
        <f t="shared" si="173"/>
        <v>104.13329806929862</v>
      </c>
      <c r="CW169" s="22">
        <f t="shared" si="174"/>
        <v>985.09321893736342</v>
      </c>
      <c r="CX169" s="62">
        <f t="shared" si="122"/>
        <v>1278.4265522706967</v>
      </c>
      <c r="CY169" s="62">
        <f ca="1">AVERAGE(OFFSET($CX$3,0,0,'Données projet'!$E$13+1,1))-AVERAGE(OFFSET($H$3,0,0,'Données projet'!$E$13+1,1))</f>
        <v>467.37715054082025</v>
      </c>
      <c r="CZ169" s="62">
        <f t="shared" si="150"/>
        <v>443.35096563136415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0.68189011485242179</v>
      </c>
      <c r="DG169" s="23">
        <f>EXP(-LN(2)/25)*DG168+(1-EXP(-LN(2)/25))/(LN(2)/25)*Calculateur!DB169*Calculateur!DD169*VLOOKUP('Données projet'!$B$13,Paramètres!$A$1:$I$89,3,0)*0.475*44/12</f>
        <v>0.33703537649605114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1.0189254913484729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477.12000000000097</v>
      </c>
      <c r="DP169" s="18">
        <f>DO169*VLOOKUP('Données projet'!$B$14,Paramètres!$A$1:$I$89,3,0)*VLOOKUP('Données projet'!$B$14,Paramètres!$A$1:$I$89,5,0)</f>
        <v>513.57196800000099</v>
      </c>
      <c r="DQ169" s="14">
        <f t="shared" si="176"/>
        <v>114.45621584436451</v>
      </c>
      <c r="DR169" s="22">
        <f t="shared" si="177"/>
        <v>1093.8157535289363</v>
      </c>
      <c r="DS169" s="62">
        <f t="shared" si="125"/>
        <v>1387.1490868622695</v>
      </c>
      <c r="DT169" s="62">
        <f ca="1">AVERAGE(OFFSET($DS$3,0,0,'Données projet'!$E$14+1,1))-AVERAGE(OFFSET($H$3,0,0,'Données projet'!$E$14+1,1))</f>
        <v>524.51242549438939</v>
      </c>
      <c r="DU169" s="62">
        <f t="shared" si="152"/>
        <v>494.88778446576327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0.75887770846479097</v>
      </c>
      <c r="EB169" s="23">
        <f>EXP(-LN(2)/25)*EB168+(1-EXP(-LN(2)/25))/(LN(2)/25)*Calculateur!DW169*Calculateur!DY169*VLOOKUP('Données projet'!$B$14,Paramètres!$A$1:$I$89,3,0)*0.475*44/12</f>
        <v>0.37508775771334724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1.1339654661781382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581.89345991406594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256.51999999999981</v>
      </c>
      <c r="O170" s="14">
        <f>N170*VLOOKUP('Données projet'!$B$9,Paramètres!$A$1:$I$89,3,0)*VLOOKUP('Données projet'!$B$9,Paramètres!$A$1:$I$89,5,0)</f>
        <v>232.09929599999984</v>
      </c>
      <c r="P170" s="14">
        <f t="shared" si="141"/>
        <v>56.736358096348383</v>
      </c>
      <c r="Q170" s="22">
        <f t="shared" si="162"/>
        <v>503.0554308844732</v>
      </c>
      <c r="R170" s="62">
        <f t="shared" si="109"/>
        <v>796.38876421780651</v>
      </c>
      <c r="S170" s="62">
        <f ca="1">AVERAGE(OFFSET($R$3,0,0,'Données projet'!$E$9+1,1))-AVERAGE(OFFSET($H$3,0,0,'Données projet'!$E$9+1,1))</f>
        <v>299.17641394512162</v>
      </c>
      <c r="T170" s="62">
        <f t="shared" si="142"/>
        <v>180.73046320039873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9.2406387896218813</v>
      </c>
      <c r="AA170" s="23">
        <f>EXP(-LN(2)/25)*AA169+(1-EXP(-LN(2)/25))/(LN(2)/25)*Calculateur!V170*Calculateur!X170*VLOOKUP('Données projet'!$B$9,Paramètres!$A$1:$I$89,3,0)*0.475*44/12</f>
        <v>6.1987703387125102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15.439409128334391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361.20999999999862</v>
      </c>
      <c r="AJ170" s="14">
        <f>AI170*VLOOKUP('Données projet'!$B$10,Paramètres!$A$1:$I$89,3,0)*VLOOKUP('Données projet'!$B$10,Paramètres!$A$1:$I$89,5,0)</f>
        <v>366.26693999999861</v>
      </c>
      <c r="AK170" s="14">
        <f t="shared" si="164"/>
        <v>84.903135734816331</v>
      </c>
      <c r="AL170" s="22">
        <f t="shared" si="165"/>
        <v>785.7878819048027</v>
      </c>
      <c r="AM170" s="62">
        <f t="shared" si="113"/>
        <v>1079.1212152381361</v>
      </c>
      <c r="AN170" s="62">
        <f ca="1">AVERAGE(OFFSET($AM$3,0,0,'Données projet'!$E$10+1,1))-AVERAGE(OFFSET($H$3,0,0,'Données projet'!$E$10+1,1))</f>
        <v>384.66322295929552</v>
      </c>
      <c r="AO170" s="62">
        <f t="shared" si="144"/>
        <v>248.53970183513286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10.055158529631539</v>
      </c>
      <c r="AV170" s="23">
        <f>EXP(-LN(2)/25)*AV169+(1-EXP(-LN(2)/25))/(LN(2)/25)*Calculateur!AQ170*Calculateur!AS170*VLOOKUP('Données projet'!$B$10,Paramètres!$A$1:$I$89,3,0)*0.475*44/12</f>
        <v>6.6801057358013418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16.735264265432882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343.79999999999995</v>
      </c>
      <c r="BE170" s="14">
        <f>BD170*VLOOKUP('Données projet'!$B$11,Paramètres!$A$1:$I$89,3,0)*VLOOKUP('Données projet'!$B$11,Paramètres!$A$1:$I$89,5,0)</f>
        <v>205.5924</v>
      </c>
      <c r="BF170" s="14">
        <f t="shared" si="167"/>
        <v>50.971228364263673</v>
      </c>
      <c r="BG170" s="22">
        <f t="shared" si="168"/>
        <v>446.84831940109251</v>
      </c>
      <c r="BH170" s="62">
        <f t="shared" si="116"/>
        <v>740.18165273442582</v>
      </c>
      <c r="BI170" s="62">
        <f ca="1">AVERAGE(OFFSET($BH$3,0,0,'Données projet'!$E$11+1,1))-AVERAGE(OFFSET($H$3,0,0,'Données projet'!$E$11+1,1))</f>
        <v>146.25807703055079</v>
      </c>
      <c r="BJ170" s="62">
        <f t="shared" si="146"/>
        <v>177.40137940534413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0.63164428433893904</v>
      </c>
      <c r="BQ170" s="23">
        <f>EXP(-LN(2)/25)*BQ169+(1-EXP(-LN(2)/25))/(LN(2)/25)*Calculateur!BL170*Calculateur!BN170*VLOOKUP('Données projet'!$B$11,Paramètres!$A$1:$I$89,3,0)*0.475*44/12</f>
        <v>0.21858833552262993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0.85023261986156895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760.1400000000001</v>
      </c>
      <c r="BZ170" s="14">
        <f>BY170*VLOOKUP('Données projet'!$B$12,Paramètres!$A$1:$I$89,3,0)*VLOOKUP('Données projet'!$B$12,Paramètres!$A$1:$I$89,5,0)</f>
        <v>355.74552000000006</v>
      </c>
      <c r="CA170" s="14">
        <f t="shared" si="170"/>
        <v>82.744450026504168</v>
      </c>
      <c r="CB170" s="22">
        <f t="shared" si="171"/>
        <v>763.70336446282818</v>
      </c>
      <c r="CC170" s="62">
        <f t="shared" si="119"/>
        <v>1057.0366977961614</v>
      </c>
      <c r="CD170" s="62">
        <f ca="1">AVERAGE(OFFSET($CC$3,0,0,'Données projet'!$E$12+1,1))-AVERAGE(OFFSET($H$3,0,0,'Données projet'!$E$12+1,1))</f>
        <v>287.12723448949828</v>
      </c>
      <c r="CE170" s="62">
        <f t="shared" si="148"/>
        <v>170.5203352323382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0.76666756285457427</v>
      </c>
      <c r="CL170" s="23">
        <f>EXP(-LN(2)/25)*CL169+(1-EXP(-LN(2)/25))/(LN(2)/25)*Calculateur!CG170*Calculateur!CI170*VLOOKUP('Données projet'!$B$12,Paramètres!$A$1:$I$89,3,0)*0.475*44/12</f>
        <v>2.0671437661425029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2.8338113289970774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477.12000000000097</v>
      </c>
      <c r="CU170" s="18">
        <f>CT170*VLOOKUP('Données projet'!$B$13,Paramètres!$A$1:$I$89,3,0)*VLOOKUP('Données projet'!$B$13,Paramètres!$A$1:$I$89,5,0)</f>
        <v>461.47046400000096</v>
      </c>
      <c r="CV170" s="14">
        <f t="shared" si="173"/>
        <v>104.13329806929862</v>
      </c>
      <c r="CW170" s="22">
        <f t="shared" si="174"/>
        <v>985.09321893736342</v>
      </c>
      <c r="CX170" s="62">
        <f t="shared" si="122"/>
        <v>1278.4265522706967</v>
      </c>
      <c r="CY170" s="62">
        <f ca="1">AVERAGE(OFFSET($CX$3,0,0,'Données projet'!$E$13+1,1))-AVERAGE(OFFSET($H$3,0,0,'Données projet'!$E$13+1,1))</f>
        <v>467.37715054082025</v>
      </c>
      <c r="CZ170" s="62">
        <f t="shared" si="150"/>
        <v>443.35096563136415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0.66851866561206796</v>
      </c>
      <c r="DG170" s="23">
        <f>EXP(-LN(2)/25)*DG169+(1-EXP(-LN(2)/25))/(LN(2)/25)*Calculateur!DB170*Calculateur!DD170*VLOOKUP('Données projet'!$B$13,Paramètres!$A$1:$I$89,3,0)*0.475*44/12</f>
        <v>0.32781912640184646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0.99633779201391448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477.12000000000097</v>
      </c>
      <c r="DP170" s="18">
        <f>DO170*VLOOKUP('Données projet'!$B$14,Paramètres!$A$1:$I$89,3,0)*VLOOKUP('Données projet'!$B$14,Paramètres!$A$1:$I$89,5,0)</f>
        <v>513.57196800000099</v>
      </c>
      <c r="DQ170" s="14">
        <f t="shared" si="176"/>
        <v>114.45621584436451</v>
      </c>
      <c r="DR170" s="22">
        <f t="shared" si="177"/>
        <v>1093.8157535289363</v>
      </c>
      <c r="DS170" s="62">
        <f t="shared" si="125"/>
        <v>1387.1490868622695</v>
      </c>
      <c r="DT170" s="62">
        <f ca="1">AVERAGE(OFFSET($DS$3,0,0,'Données projet'!$E$14+1,1))-AVERAGE(OFFSET($H$3,0,0,'Données projet'!$E$14+1,1))</f>
        <v>524.51242549438939</v>
      </c>
      <c r="DU170" s="62">
        <f t="shared" si="152"/>
        <v>494.88778446576327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0.743996579471494</v>
      </c>
      <c r="EB170" s="23">
        <f>EXP(-LN(2)/25)*EB169+(1-EXP(-LN(2)/25))/(LN(2)/25)*Calculateur!DW170*Calculateur!DY170*VLOOKUP('Données projet'!$B$14,Paramètres!$A$1:$I$89,3,0)*0.475*44/12</f>
        <v>0.36483096325366787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1.1088275427251619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583.79438571037758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256.51999999999981</v>
      </c>
      <c r="O171" s="14">
        <f>N171*VLOOKUP('Données projet'!$B$9,Paramètres!$A$1:$I$89,3,0)*VLOOKUP('Données projet'!$B$9,Paramètres!$A$1:$I$89,5,0)</f>
        <v>232.09929599999984</v>
      </c>
      <c r="P171" s="14">
        <f t="shared" si="141"/>
        <v>56.736358096348383</v>
      </c>
      <c r="Q171" s="22">
        <f t="shared" si="162"/>
        <v>503.0554308844732</v>
      </c>
      <c r="R171" s="62">
        <f t="shared" si="109"/>
        <v>796.38876421780651</v>
      </c>
      <c r="S171" s="62">
        <f ca="1">AVERAGE(OFFSET($R$3,0,0,'Données projet'!$E$9+1,1))-AVERAGE(OFFSET($H$3,0,0,'Données projet'!$E$9+1,1))</f>
        <v>299.17641394512162</v>
      </c>
      <c r="T171" s="62">
        <f t="shared" si="142"/>
        <v>180.73046320039873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9.0594354991905259</v>
      </c>
      <c r="AA171" s="23">
        <f>EXP(-LN(2)/25)*AA170+(1-EXP(-LN(2)/25))/(LN(2)/25)*Calculateur!V171*Calculateur!X171*VLOOKUP('Données projet'!$B$9,Paramètres!$A$1:$I$89,3,0)*0.475*44/12</f>
        <v>6.0292646378212522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15.088700137011777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361.20999999999862</v>
      </c>
      <c r="AJ171" s="14">
        <f>AI171*VLOOKUP('Données projet'!$B$10,Paramètres!$A$1:$I$89,3,0)*VLOOKUP('Données projet'!$B$10,Paramètres!$A$1:$I$89,5,0)</f>
        <v>366.26693999999861</v>
      </c>
      <c r="AK171" s="14">
        <f t="shared" si="164"/>
        <v>84.903135734816331</v>
      </c>
      <c r="AL171" s="22">
        <f t="shared" si="165"/>
        <v>785.7878819048027</v>
      </c>
      <c r="AM171" s="62">
        <f t="shared" si="113"/>
        <v>1079.1212152381361</v>
      </c>
      <c r="AN171" s="62">
        <f ca="1">AVERAGE(OFFSET($AM$3,0,0,'Données projet'!$E$10+1,1))-AVERAGE(OFFSET($H$3,0,0,'Données projet'!$E$10+1,1))</f>
        <v>384.66322295929552</v>
      </c>
      <c r="AO171" s="62">
        <f t="shared" si="144"/>
        <v>248.53970183513286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9.8579830039065808</v>
      </c>
      <c r="AV171" s="23">
        <f>EXP(-LN(2)/25)*AV170+(1-EXP(-LN(2)/25))/(LN(2)/25)*Calculateur!AQ171*Calculateur!AS171*VLOOKUP('Données projet'!$B$10,Paramètres!$A$1:$I$89,3,0)*0.475*44/12</f>
        <v>6.4974378931643608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16.355420897070942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343.79999999999995</v>
      </c>
      <c r="BE171" s="14">
        <f>BD171*VLOOKUP('Données projet'!$B$11,Paramètres!$A$1:$I$89,3,0)*VLOOKUP('Données projet'!$B$11,Paramètres!$A$1:$I$89,5,0)</f>
        <v>205.5924</v>
      </c>
      <c r="BF171" s="14">
        <f t="shared" si="167"/>
        <v>50.971228364263673</v>
      </c>
      <c r="BG171" s="22">
        <f t="shared" si="168"/>
        <v>446.84831940109251</v>
      </c>
      <c r="BH171" s="62">
        <f t="shared" si="116"/>
        <v>740.18165273442582</v>
      </c>
      <c r="BI171" s="62">
        <f ca="1">AVERAGE(OFFSET($BH$3,0,0,'Données projet'!$E$11+1,1))-AVERAGE(OFFSET($H$3,0,0,'Données projet'!$E$11+1,1))</f>
        <v>146.25807703055079</v>
      </c>
      <c r="BJ171" s="62">
        <f t="shared" si="146"/>
        <v>177.40137940534413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0.61925812518802414</v>
      </c>
      <c r="BQ171" s="23">
        <f>EXP(-LN(2)/25)*BQ170+(1-EXP(-LN(2)/25))/(LN(2)/25)*Calculateur!BL171*Calculateur!BN171*VLOOKUP('Données projet'!$B$11,Paramètres!$A$1:$I$89,3,0)*0.475*44/12</f>
        <v>0.21261102599270265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0.8318691511807268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760.1400000000001</v>
      </c>
      <c r="BZ171" s="14">
        <f>BY171*VLOOKUP('Données projet'!$B$12,Paramètres!$A$1:$I$89,3,0)*VLOOKUP('Données projet'!$B$12,Paramètres!$A$1:$I$89,5,0)</f>
        <v>355.74552000000006</v>
      </c>
      <c r="CA171" s="14">
        <f t="shared" si="170"/>
        <v>82.744450026504168</v>
      </c>
      <c r="CB171" s="22">
        <f t="shared" si="171"/>
        <v>763.70336446282818</v>
      </c>
      <c r="CC171" s="62">
        <f t="shared" si="119"/>
        <v>1057.0366977961614</v>
      </c>
      <c r="CD171" s="62">
        <f ca="1">AVERAGE(OFFSET($CC$3,0,0,'Données projet'!$E$12+1,1))-AVERAGE(OFFSET($H$3,0,0,'Données projet'!$E$12+1,1))</f>
        <v>287.12723448949828</v>
      </c>
      <c r="CE171" s="62">
        <f t="shared" si="148"/>
        <v>170.5203352323382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0.75163367956803562</v>
      </c>
      <c r="CL171" s="23">
        <f>EXP(-LN(2)/25)*CL170+(1-EXP(-LN(2)/25))/(LN(2)/25)*Calculateur!CG171*Calculateur!CI171*VLOOKUP('Données projet'!$B$12,Paramètres!$A$1:$I$89,3,0)*0.475*44/12</f>
        <v>2.0106176111509702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2.7622512907190058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477.12000000000097</v>
      </c>
      <c r="CU171" s="18">
        <f>CT171*VLOOKUP('Données projet'!$B$13,Paramètres!$A$1:$I$89,3,0)*VLOOKUP('Données projet'!$B$13,Paramètres!$A$1:$I$89,5,0)</f>
        <v>461.47046400000096</v>
      </c>
      <c r="CV171" s="14">
        <f t="shared" si="173"/>
        <v>104.13329806929862</v>
      </c>
      <c r="CW171" s="22">
        <f t="shared" si="174"/>
        <v>985.09321893736342</v>
      </c>
      <c r="CX171" s="62">
        <f t="shared" si="122"/>
        <v>1278.4265522706967</v>
      </c>
      <c r="CY171" s="62">
        <f ca="1">AVERAGE(OFFSET($CX$3,0,0,'Données projet'!$E$13+1,1))-AVERAGE(OFFSET($H$3,0,0,'Données projet'!$E$13+1,1))</f>
        <v>467.37715054082025</v>
      </c>
      <c r="CZ171" s="62">
        <f t="shared" si="150"/>
        <v>443.35096563136415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0.65540942233553878</v>
      </c>
      <c r="DG171" s="23">
        <f>EXP(-LN(2)/25)*DG170+(1-EXP(-LN(2)/25))/(LN(2)/25)*Calculateur!DB171*Calculateur!DD171*VLOOKUP('Données projet'!$B$13,Paramètres!$A$1:$I$89,3,0)*0.475*44/12</f>
        <v>0.31885489515112936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0.97426431748666809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477.12000000000097</v>
      </c>
      <c r="DP171" s="18">
        <f>DO171*VLOOKUP('Données projet'!$B$14,Paramètres!$A$1:$I$89,3,0)*VLOOKUP('Données projet'!$B$14,Paramètres!$A$1:$I$89,5,0)</f>
        <v>513.57196800000099</v>
      </c>
      <c r="DQ171" s="14">
        <f t="shared" si="176"/>
        <v>114.45621584436451</v>
      </c>
      <c r="DR171" s="22">
        <f t="shared" si="177"/>
        <v>1093.8157535289363</v>
      </c>
      <c r="DS171" s="62">
        <f t="shared" si="125"/>
        <v>1387.1490868622695</v>
      </c>
      <c r="DT171" s="62">
        <f ca="1">AVERAGE(OFFSET($DS$3,0,0,'Données projet'!$E$14+1,1))-AVERAGE(OFFSET($H$3,0,0,'Données projet'!$E$14+1,1))</f>
        <v>524.51242549438939</v>
      </c>
      <c r="DU171" s="62">
        <f t="shared" si="152"/>
        <v>494.88778446576327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0.7294072603411631</v>
      </c>
      <c r="EB171" s="23">
        <f>EXP(-LN(2)/25)*EB170+(1-EXP(-LN(2)/25))/(LN(2)/25)*Calculateur!DW171*Calculateur!DY171*VLOOKUP('Données projet'!$B$14,Paramètres!$A$1:$I$89,3,0)*0.475*44/12</f>
        <v>0.35485464137786982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1.0842619017190329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585.69506754060376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256.51999999999981</v>
      </c>
      <c r="O172" s="14">
        <f>N172*VLOOKUP('Données projet'!$B$9,Paramètres!$A$1:$I$89,3,0)*VLOOKUP('Données projet'!$B$9,Paramètres!$A$1:$I$89,5,0)</f>
        <v>232.09929599999984</v>
      </c>
      <c r="P172" s="14">
        <f t="shared" si="141"/>
        <v>56.736358096348383</v>
      </c>
      <c r="Q172" s="22">
        <f t="shared" si="162"/>
        <v>503.0554308844732</v>
      </c>
      <c r="R172" s="62">
        <f t="shared" si="109"/>
        <v>796.38876421780651</v>
      </c>
      <c r="S172" s="62">
        <f ca="1">AVERAGE(OFFSET($R$3,0,0,'Données projet'!$E$9+1,1))-AVERAGE(OFFSET($H$3,0,0,'Données projet'!$E$9+1,1))</f>
        <v>299.17641394512162</v>
      </c>
      <c r="T172" s="62">
        <f t="shared" si="142"/>
        <v>180.73046320039873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8.8817854947614361</v>
      </c>
      <c r="AA172" s="23">
        <f>EXP(-LN(2)/25)*AA171+(1-EXP(-LN(2)/25))/(LN(2)/25)*Calculateur!V172*Calculateur!X172*VLOOKUP('Données projet'!$B$9,Paramètres!$A$1:$I$89,3,0)*0.475*44/12</f>
        <v>5.8643940792347831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14.746179573996219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361.20999999999862</v>
      </c>
      <c r="AJ172" s="14">
        <f>AI172*VLOOKUP('Données projet'!$B$10,Paramètres!$A$1:$I$89,3,0)*VLOOKUP('Données projet'!$B$10,Paramètres!$A$1:$I$89,5,0)</f>
        <v>366.26693999999861</v>
      </c>
      <c r="AK172" s="14">
        <f t="shared" si="164"/>
        <v>84.903135734816331</v>
      </c>
      <c r="AL172" s="22">
        <f t="shared" si="165"/>
        <v>785.7878819048027</v>
      </c>
      <c r="AM172" s="62">
        <f t="shared" si="113"/>
        <v>1079.1212152381361</v>
      </c>
      <c r="AN172" s="62">
        <f ca="1">AVERAGE(OFFSET($AM$3,0,0,'Données projet'!$E$10+1,1))-AVERAGE(OFFSET($H$3,0,0,'Données projet'!$E$10+1,1))</f>
        <v>384.66322295929552</v>
      </c>
      <c r="AO172" s="62">
        <f t="shared" si="144"/>
        <v>248.53970183513286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9.6646739699758921</v>
      </c>
      <c r="AV172" s="23">
        <f>EXP(-LN(2)/25)*AV171+(1-EXP(-LN(2)/25))/(LN(2)/25)*Calculateur!AQ172*Calculateur!AS172*VLOOKUP('Données projet'!$B$10,Paramètres!$A$1:$I$89,3,0)*0.475*44/12</f>
        <v>6.3197651122903729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15.984439082266265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343.79999999999995</v>
      </c>
      <c r="BE172" s="14">
        <f>BD172*VLOOKUP('Données projet'!$B$11,Paramètres!$A$1:$I$89,3,0)*VLOOKUP('Données projet'!$B$11,Paramètres!$A$1:$I$89,5,0)</f>
        <v>205.5924</v>
      </c>
      <c r="BF172" s="14">
        <f t="shared" si="167"/>
        <v>50.971228364263673</v>
      </c>
      <c r="BG172" s="22">
        <f t="shared" si="168"/>
        <v>446.84831940109251</v>
      </c>
      <c r="BH172" s="62">
        <f t="shared" si="116"/>
        <v>740.18165273442582</v>
      </c>
      <c r="BI172" s="62">
        <f ca="1">AVERAGE(OFFSET($BH$3,0,0,'Données projet'!$E$11+1,1))-AVERAGE(OFFSET($H$3,0,0,'Données projet'!$E$11+1,1))</f>
        <v>146.25807703055079</v>
      </c>
      <c r="BJ172" s="62">
        <f t="shared" si="146"/>
        <v>177.40137940534413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0.60711485106324758</v>
      </c>
      <c r="BQ172" s="23">
        <f>EXP(-LN(2)/25)*BQ171+(1-EXP(-LN(2)/25))/(LN(2)/25)*Calculateur!BL172*Calculateur!BN172*VLOOKUP('Données projet'!$B$11,Paramètres!$A$1:$I$89,3,0)*0.475*44/12</f>
        <v>0.20679716630620426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0.81391201736945185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760.1400000000001</v>
      </c>
      <c r="BZ172" s="14">
        <f>BY172*VLOOKUP('Données projet'!$B$12,Paramètres!$A$1:$I$89,3,0)*VLOOKUP('Données projet'!$B$12,Paramètres!$A$1:$I$89,5,0)</f>
        <v>355.74552000000006</v>
      </c>
      <c r="CA172" s="14">
        <f t="shared" si="170"/>
        <v>82.744450026504168</v>
      </c>
      <c r="CB172" s="22">
        <f t="shared" si="171"/>
        <v>763.70336446282818</v>
      </c>
      <c r="CC172" s="62">
        <f t="shared" si="119"/>
        <v>1057.0366977961614</v>
      </c>
      <c r="CD172" s="62">
        <f ca="1">AVERAGE(OFFSET($CC$3,0,0,'Données projet'!$E$12+1,1))-AVERAGE(OFFSET($H$3,0,0,'Données projet'!$E$12+1,1))</f>
        <v>287.12723448949828</v>
      </c>
      <c r="CE172" s="62">
        <f t="shared" si="148"/>
        <v>170.5203352323382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0.7368946015629827</v>
      </c>
      <c r="CL172" s="23">
        <f>EXP(-LN(2)/25)*CL171+(1-EXP(-LN(2)/25))/(LN(2)/25)*Calculateur!CG172*Calculateur!CI172*VLOOKUP('Données projet'!$B$12,Paramètres!$A$1:$I$89,3,0)*0.475*44/12</f>
        <v>1.9556371668402621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2.6925317684032448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477.12000000000097</v>
      </c>
      <c r="CU172" s="18">
        <f>CT172*VLOOKUP('Données projet'!$B$13,Paramètres!$A$1:$I$89,3,0)*VLOOKUP('Données projet'!$B$13,Paramètres!$A$1:$I$89,5,0)</f>
        <v>461.47046400000096</v>
      </c>
      <c r="CV172" s="14">
        <f t="shared" si="173"/>
        <v>104.13329806929862</v>
      </c>
      <c r="CW172" s="22">
        <f t="shared" si="174"/>
        <v>985.09321893736342</v>
      </c>
      <c r="CX172" s="62">
        <f t="shared" si="122"/>
        <v>1278.4265522706967</v>
      </c>
      <c r="CY172" s="62">
        <f ca="1">AVERAGE(OFFSET($CX$3,0,0,'Données projet'!$E$13+1,1))-AVERAGE(OFFSET($H$3,0,0,'Données projet'!$E$13+1,1))</f>
        <v>467.37715054082025</v>
      </c>
      <c r="CZ172" s="62">
        <f t="shared" si="150"/>
        <v>443.35096563136415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0.64255724332381348</v>
      </c>
      <c r="DG172" s="23">
        <f>EXP(-LN(2)/25)*DG171+(1-EXP(-LN(2)/25))/(LN(2)/25)*Calculateur!DB172*Calculateur!DD172*VLOOKUP('Données projet'!$B$13,Paramètres!$A$1:$I$89,3,0)*0.475*44/12</f>
        <v>0.31013579127537155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0.95269303459918508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477.12000000000097</v>
      </c>
      <c r="DP172" s="18">
        <f>DO172*VLOOKUP('Données projet'!$B$14,Paramètres!$A$1:$I$89,3,0)*VLOOKUP('Données projet'!$B$14,Paramètres!$A$1:$I$89,5,0)</f>
        <v>513.57196800000099</v>
      </c>
      <c r="DQ172" s="14">
        <f t="shared" si="176"/>
        <v>114.45621584436451</v>
      </c>
      <c r="DR172" s="22">
        <f t="shared" si="177"/>
        <v>1093.8157535289363</v>
      </c>
      <c r="DS172" s="62">
        <f t="shared" si="125"/>
        <v>1387.1490868622695</v>
      </c>
      <c r="DT172" s="62">
        <f ca="1">AVERAGE(OFFSET($DS$3,0,0,'Données projet'!$E$14+1,1))-AVERAGE(OFFSET($H$3,0,0,'Données projet'!$E$14+1,1))</f>
        <v>524.51242549438939</v>
      </c>
      <c r="DU172" s="62">
        <f t="shared" si="152"/>
        <v>494.88778446576327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0.71510402886037205</v>
      </c>
      <c r="EB172" s="23">
        <f>EXP(-LN(2)/25)*EB171+(1-EXP(-LN(2)/25))/(LN(2)/25)*Calculateur!DW172*Calculateur!DY172*VLOOKUP('Données projet'!$B$14,Paramètres!$A$1:$I$89,3,0)*0.475*44/12</f>
        <v>0.34515112254839742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1.0602551514087695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587.5955070158285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256.51999999999981</v>
      </c>
      <c r="O173" s="14">
        <f>N173*VLOOKUP('Données projet'!$B$9,Paramètres!$A$1:$I$89,3,0)*VLOOKUP('Données projet'!$B$9,Paramètres!$A$1:$I$89,5,0)</f>
        <v>232.09929599999984</v>
      </c>
      <c r="P173" s="14">
        <f t="shared" si="141"/>
        <v>56.736358096348383</v>
      </c>
      <c r="Q173" s="22">
        <f t="shared" si="162"/>
        <v>503.0554308844732</v>
      </c>
      <c r="R173" s="62">
        <f t="shared" si="109"/>
        <v>796.38876421780651</v>
      </c>
      <c r="S173" s="62">
        <f ca="1">AVERAGE(OFFSET($R$3,0,0,'Données projet'!$E$9+1,1))-AVERAGE(OFFSET($H$3,0,0,'Données projet'!$E$9+1,1))</f>
        <v>299.17641394512162</v>
      </c>
      <c r="T173" s="62">
        <f t="shared" si="142"/>
        <v>180.73046320039873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8.7076190985633968</v>
      </c>
      <c r="AA173" s="23">
        <f>EXP(-LN(2)/25)*AA172+(1-EXP(-LN(2)/25))/(LN(2)/25)*Calculateur!V173*Calculateur!X173*VLOOKUP('Données projet'!$B$9,Paramètres!$A$1:$I$89,3,0)*0.475*44/12</f>
        <v>5.7040319147430267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14.411651013306424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361.20999999999862</v>
      </c>
      <c r="AJ173" s="14">
        <f>AI173*VLOOKUP('Données projet'!$B$10,Paramètres!$A$1:$I$89,3,0)*VLOOKUP('Données projet'!$B$10,Paramètres!$A$1:$I$89,5,0)</f>
        <v>366.26693999999861</v>
      </c>
      <c r="AK173" s="14">
        <f t="shared" si="164"/>
        <v>84.903135734816331</v>
      </c>
      <c r="AL173" s="22">
        <f t="shared" si="165"/>
        <v>785.7878819048027</v>
      </c>
      <c r="AM173" s="62">
        <f t="shared" si="113"/>
        <v>1079.1212152381361</v>
      </c>
      <c r="AN173" s="62">
        <f ca="1">AVERAGE(OFFSET($AM$3,0,0,'Données projet'!$E$10+1,1))-AVERAGE(OFFSET($H$3,0,0,'Données projet'!$E$10+1,1))</f>
        <v>384.66322295929552</v>
      </c>
      <c r="AO173" s="62">
        <f t="shared" si="144"/>
        <v>248.53970183513286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9.4751556082937167</v>
      </c>
      <c r="AV173" s="23">
        <f>EXP(-LN(2)/25)*AV172+(1-EXP(-LN(2)/25))/(LN(2)/25)*Calculateur!AQ173*Calculateur!AS173*VLOOKUP('Données projet'!$B$10,Paramètres!$A$1:$I$89,3,0)*0.475*44/12</f>
        <v>6.1469508029527891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15.622106411246506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343.79999999999995</v>
      </c>
      <c r="BE173" s="14">
        <f>BD173*VLOOKUP('Données projet'!$B$11,Paramètres!$A$1:$I$89,3,0)*VLOOKUP('Données projet'!$B$11,Paramètres!$A$1:$I$89,5,0)</f>
        <v>205.5924</v>
      </c>
      <c r="BF173" s="14">
        <f t="shared" si="167"/>
        <v>50.971228364263673</v>
      </c>
      <c r="BG173" s="22">
        <f t="shared" si="168"/>
        <v>446.84831940109251</v>
      </c>
      <c r="BH173" s="62">
        <f t="shared" si="116"/>
        <v>740.18165273442582</v>
      </c>
      <c r="BI173" s="62">
        <f ca="1">AVERAGE(OFFSET($BH$3,0,0,'Données projet'!$E$11+1,1))-AVERAGE(OFFSET($H$3,0,0,'Données projet'!$E$11+1,1))</f>
        <v>146.25807703055079</v>
      </c>
      <c r="BJ173" s="62">
        <f t="shared" si="146"/>
        <v>177.40137940534413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0.59520969913739197</v>
      </c>
      <c r="BQ173" s="23">
        <f>EXP(-LN(2)/25)*BQ172+(1-EXP(-LN(2)/25))/(LN(2)/25)*Calculateur!BL173*Calculateur!BN173*VLOOKUP('Données projet'!$B$11,Paramètres!$A$1:$I$89,3,0)*0.475*44/12</f>
        <v>0.20114228691857078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0.79635198605596269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760.1400000000001</v>
      </c>
      <c r="BZ173" s="14">
        <f>BY173*VLOOKUP('Données projet'!$B$12,Paramètres!$A$1:$I$89,3,0)*VLOOKUP('Données projet'!$B$12,Paramètres!$A$1:$I$89,5,0)</f>
        <v>355.74552000000006</v>
      </c>
      <c r="CA173" s="14">
        <f t="shared" si="170"/>
        <v>82.744450026504168</v>
      </c>
      <c r="CB173" s="22">
        <f t="shared" si="171"/>
        <v>763.70336446282818</v>
      </c>
      <c r="CC173" s="62">
        <f t="shared" si="119"/>
        <v>1057.0366977961614</v>
      </c>
      <c r="CD173" s="62">
        <f ca="1">AVERAGE(OFFSET($CC$3,0,0,'Données projet'!$E$12+1,1))-AVERAGE(OFFSET($H$3,0,0,'Données projet'!$E$12+1,1))</f>
        <v>287.12723448949828</v>
      </c>
      <c r="CE173" s="62">
        <f t="shared" si="148"/>
        <v>170.5203352323382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0.72244454788765899</v>
      </c>
      <c r="CL173" s="23">
        <f>EXP(-LN(2)/25)*CL172+(1-EXP(-LN(2)/25))/(LN(2)/25)*Calculateur!CG173*Calculateur!CI173*VLOOKUP('Données projet'!$B$12,Paramètres!$A$1:$I$89,3,0)*0.475*44/12</f>
        <v>1.9021601656705263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2.6246047135581851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477.12000000000097</v>
      </c>
      <c r="CU173" s="18">
        <f>CT173*VLOOKUP('Données projet'!$B$13,Paramètres!$A$1:$I$89,3,0)*VLOOKUP('Données projet'!$B$13,Paramètres!$A$1:$I$89,5,0)</f>
        <v>461.47046400000096</v>
      </c>
      <c r="CV173" s="14">
        <f t="shared" si="173"/>
        <v>104.13329806929862</v>
      </c>
      <c r="CW173" s="22">
        <f t="shared" si="174"/>
        <v>985.09321893736342</v>
      </c>
      <c r="CX173" s="62">
        <f t="shared" si="122"/>
        <v>1278.4265522706967</v>
      </c>
      <c r="CY173" s="62">
        <f ca="1">AVERAGE(OFFSET($CX$3,0,0,'Données projet'!$E$13+1,1))-AVERAGE(OFFSET($H$3,0,0,'Données projet'!$E$13+1,1))</f>
        <v>467.37715054082025</v>
      </c>
      <c r="CZ173" s="62">
        <f t="shared" si="150"/>
        <v>443.35096563136415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0.62995708770345293</v>
      </c>
      <c r="DG173" s="23">
        <f>EXP(-LN(2)/25)*DG172+(1-EXP(-LN(2)/25))/(LN(2)/25)*Calculateur!DB173*Calculateur!DD173*VLOOKUP('Données projet'!$B$13,Paramètres!$A$1:$I$89,3,0)*0.475*44/12</f>
        <v>0.30165511175361409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0.93161219945706697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477.12000000000097</v>
      </c>
      <c r="DP173" s="18">
        <f>DO173*VLOOKUP('Données projet'!$B$14,Paramètres!$A$1:$I$89,3,0)*VLOOKUP('Données projet'!$B$14,Paramètres!$A$1:$I$89,5,0)</f>
        <v>513.57196800000099</v>
      </c>
      <c r="DQ173" s="14">
        <f t="shared" si="176"/>
        <v>114.45621584436451</v>
      </c>
      <c r="DR173" s="22">
        <f t="shared" si="177"/>
        <v>1093.8157535289363</v>
      </c>
      <c r="DS173" s="62">
        <f t="shared" si="125"/>
        <v>1387.1490868622695</v>
      </c>
      <c r="DT173" s="62">
        <f ca="1">AVERAGE(OFFSET($DS$3,0,0,'Données projet'!$E$14+1,1))-AVERAGE(OFFSET($H$3,0,0,'Données projet'!$E$14+1,1))</f>
        <v>524.51242549438939</v>
      </c>
      <c r="DU173" s="62">
        <f t="shared" si="152"/>
        <v>494.88778446576327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0.70108127502480955</v>
      </c>
      <c r="EB173" s="23">
        <f>EXP(-LN(2)/25)*EB172+(1-EXP(-LN(2)/25))/(LN(2)/25)*Calculateur!DW173*Calculateur!DY173*VLOOKUP('Données projet'!$B$14,Paramètres!$A$1:$I$89,3,0)*0.475*44/12</f>
        <v>0.33571294695160281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1.0367942219764124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589.49570572708467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256.51999999999981</v>
      </c>
      <c r="O174" s="14">
        <f>N174*VLOOKUP('Données projet'!$B$9,Paramètres!$A$1:$I$89,3,0)*VLOOKUP('Données projet'!$B$9,Paramètres!$A$1:$I$89,5,0)</f>
        <v>232.09929599999984</v>
      </c>
      <c r="P174" s="14">
        <f t="shared" si="141"/>
        <v>56.736358096348383</v>
      </c>
      <c r="Q174" s="22">
        <f t="shared" si="162"/>
        <v>503.0554308844732</v>
      </c>
      <c r="R174" s="62">
        <f t="shared" si="109"/>
        <v>796.38876421780651</v>
      </c>
      <c r="S174" s="62">
        <f ca="1">AVERAGE(OFFSET($R$3,0,0,'Données projet'!$E$9+1,1))-AVERAGE(OFFSET($H$3,0,0,'Données projet'!$E$9+1,1))</f>
        <v>299.17641394512162</v>
      </c>
      <c r="T174" s="62">
        <f t="shared" si="142"/>
        <v>180.73046320039873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8.536867999163789</v>
      </c>
      <c r="AA174" s="23">
        <f>EXP(-LN(2)/25)*AA173+(1-EXP(-LN(2)/25))/(LN(2)/25)*Calculateur!V174*Calculateur!X174*VLOOKUP('Données projet'!$B$9,Paramètres!$A$1:$I$89,3,0)*0.475*44/12</f>
        <v>5.5480548620723766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14.084922861236166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361.20999999999862</v>
      </c>
      <c r="AJ174" s="14">
        <f>AI174*VLOOKUP('Données projet'!$B$10,Paramètres!$A$1:$I$89,3,0)*VLOOKUP('Données projet'!$B$10,Paramètres!$A$1:$I$89,5,0)</f>
        <v>366.26693999999861</v>
      </c>
      <c r="AK174" s="14">
        <f t="shared" si="164"/>
        <v>84.903135734816331</v>
      </c>
      <c r="AL174" s="22">
        <f t="shared" si="165"/>
        <v>785.7878819048027</v>
      </c>
      <c r="AM174" s="62">
        <f t="shared" si="113"/>
        <v>1079.1212152381361</v>
      </c>
      <c r="AN174" s="62">
        <f ca="1">AVERAGE(OFFSET($AM$3,0,0,'Données projet'!$E$10+1,1))-AVERAGE(OFFSET($H$3,0,0,'Données projet'!$E$10+1,1))</f>
        <v>384.66322295929552</v>
      </c>
      <c r="AO174" s="62">
        <f t="shared" si="144"/>
        <v>248.53970183513286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9.2893535860893426</v>
      </c>
      <c r="AV174" s="23">
        <f>EXP(-LN(2)/25)*AV173+(1-EXP(-LN(2)/25))/(LN(2)/25)*Calculateur!AQ174*Calculateur!AS174*VLOOKUP('Données projet'!$B$10,Paramètres!$A$1:$I$89,3,0)*0.475*44/12</f>
        <v>5.978862109991951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15.268215696081294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343.79999999999995</v>
      </c>
      <c r="BE174" s="14">
        <f>BD174*VLOOKUP('Données projet'!$B$11,Paramètres!$A$1:$I$89,3,0)*VLOOKUP('Données projet'!$B$11,Paramètres!$A$1:$I$89,5,0)</f>
        <v>205.5924</v>
      </c>
      <c r="BF174" s="14">
        <f t="shared" si="167"/>
        <v>50.971228364263673</v>
      </c>
      <c r="BG174" s="22">
        <f t="shared" si="168"/>
        <v>446.84831940109251</v>
      </c>
      <c r="BH174" s="62">
        <f t="shared" si="116"/>
        <v>740.18165273442582</v>
      </c>
      <c r="BI174" s="62">
        <f ca="1">AVERAGE(OFFSET($BH$3,0,0,'Données projet'!$E$11+1,1))-AVERAGE(OFFSET($H$3,0,0,'Données projet'!$E$11+1,1))</f>
        <v>146.25807703055079</v>
      </c>
      <c r="BJ174" s="62">
        <f t="shared" si="146"/>
        <v>177.40137940534413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0.58353799997937672</v>
      </c>
      <c r="BQ174" s="23">
        <f>EXP(-LN(2)/25)*BQ173+(1-EXP(-LN(2)/25))/(LN(2)/25)*Calculateur!BL174*Calculateur!BN174*VLOOKUP('Données projet'!$B$11,Paramètres!$A$1:$I$89,3,0)*0.475*44/12</f>
        <v>0.19564204050516931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0.77918004048454603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760.1400000000001</v>
      </c>
      <c r="BZ174" s="14">
        <f>BY174*VLOOKUP('Données projet'!$B$12,Paramètres!$A$1:$I$89,3,0)*VLOOKUP('Données projet'!$B$12,Paramètres!$A$1:$I$89,5,0)</f>
        <v>355.74552000000006</v>
      </c>
      <c r="CA174" s="14">
        <f t="shared" si="170"/>
        <v>82.744450026504168</v>
      </c>
      <c r="CB174" s="22">
        <f t="shared" si="171"/>
        <v>763.70336446282818</v>
      </c>
      <c r="CC174" s="62">
        <f t="shared" si="119"/>
        <v>1057.0366977961614</v>
      </c>
      <c r="CD174" s="62">
        <f ca="1">AVERAGE(OFFSET($CC$3,0,0,'Données projet'!$E$12+1,1))-AVERAGE(OFFSET($H$3,0,0,'Données projet'!$E$12+1,1))</f>
        <v>287.12723448949828</v>
      </c>
      <c r="CE174" s="62">
        <f t="shared" si="148"/>
        <v>170.5203352323382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0.70827785095124585</v>
      </c>
      <c r="CL174" s="23">
        <f>EXP(-LN(2)/25)*CL173+(1-EXP(-LN(2)/25))/(LN(2)/25)*Calculateur!CG174*Calculateur!CI174*VLOOKUP('Données projet'!$B$12,Paramètres!$A$1:$I$89,3,0)*0.475*44/12</f>
        <v>1.8501454959100101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2.5584233468612561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477.12000000000097</v>
      </c>
      <c r="CU174" s="18">
        <f>CT174*VLOOKUP('Données projet'!$B$13,Paramètres!$A$1:$I$89,3,0)*VLOOKUP('Données projet'!$B$13,Paramètres!$A$1:$I$89,5,0)</f>
        <v>461.47046400000096</v>
      </c>
      <c r="CV174" s="14">
        <f t="shared" si="173"/>
        <v>104.13329806929862</v>
      </c>
      <c r="CW174" s="22">
        <f t="shared" si="174"/>
        <v>985.09321893736342</v>
      </c>
      <c r="CX174" s="62">
        <f t="shared" si="122"/>
        <v>1278.4265522706967</v>
      </c>
      <c r="CY174" s="62">
        <f ca="1">AVERAGE(OFFSET($CX$3,0,0,'Données projet'!$E$13+1,1))-AVERAGE(OFFSET($H$3,0,0,'Données projet'!$E$13+1,1))</f>
        <v>467.37715054082025</v>
      </c>
      <c r="CZ174" s="62">
        <f t="shared" si="150"/>
        <v>443.35096563136415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0.61760401344947158</v>
      </c>
      <c r="DG174" s="23">
        <f>EXP(-LN(2)/25)*DG173+(1-EXP(-LN(2)/25))/(LN(2)/25)*Calculateur!DB174*Calculateur!DD174*VLOOKUP('Données projet'!$B$13,Paramètres!$A$1:$I$89,3,0)*0.475*44/12</f>
        <v>0.29340633685935863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0.91101035030883026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477.12000000000097</v>
      </c>
      <c r="DP174" s="18">
        <f>DO174*VLOOKUP('Données projet'!$B$14,Paramètres!$A$1:$I$89,3,0)*VLOOKUP('Données projet'!$B$14,Paramètres!$A$1:$I$89,5,0)</f>
        <v>513.57196800000099</v>
      </c>
      <c r="DQ174" s="14">
        <f t="shared" si="176"/>
        <v>114.45621584436451</v>
      </c>
      <c r="DR174" s="22">
        <f t="shared" si="177"/>
        <v>1093.8157535289363</v>
      </c>
      <c r="DS174" s="62">
        <f t="shared" si="125"/>
        <v>1387.1490868622695</v>
      </c>
      <c r="DT174" s="62">
        <f ca="1">AVERAGE(OFFSET($DS$3,0,0,'Données projet'!$E$14+1,1))-AVERAGE(OFFSET($H$3,0,0,'Données projet'!$E$14+1,1))</f>
        <v>524.51242549438939</v>
      </c>
      <c r="DU174" s="62">
        <f t="shared" si="152"/>
        <v>494.88778446576327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0.68733349883892714</v>
      </c>
      <c r="EB174" s="23">
        <f>EXP(-LN(2)/25)*EB173+(1-EXP(-LN(2)/25))/(LN(2)/25)*Calculateur!DW174*Calculateur!DY174*VLOOKUP('Données projet'!$B$14,Paramètres!$A$1:$I$89,3,0)*0.475*44/12</f>
        <v>0.32653285876283461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1.0138663576017617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591.39566524572035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256.51999999999981</v>
      </c>
      <c r="O175" s="14">
        <f>N175*VLOOKUP('Données projet'!$B$9,Paramètres!$A$1:$I$89,3,0)*VLOOKUP('Données projet'!$B$9,Paramètres!$A$1:$I$89,5,0)</f>
        <v>232.09929599999984</v>
      </c>
      <c r="P175" s="14">
        <f t="shared" si="141"/>
        <v>56.736358096348383</v>
      </c>
      <c r="Q175" s="22">
        <f t="shared" si="162"/>
        <v>503.0554308844732</v>
      </c>
      <c r="R175" s="62">
        <f t="shared" si="109"/>
        <v>796.38876421780651</v>
      </c>
      <c r="S175" s="62">
        <f ca="1">AVERAGE(OFFSET($R$3,0,0,'Données projet'!$E$9+1,1))-AVERAGE(OFFSET($H$3,0,0,'Données projet'!$E$9+1,1))</f>
        <v>299.17641394512162</v>
      </c>
      <c r="T175" s="62">
        <f t="shared" si="142"/>
        <v>180.73046320039873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8.3694652246755208</v>
      </c>
      <c r="AA175" s="23">
        <f>EXP(-LN(2)/25)*AA174+(1-EXP(-LN(2)/25))/(LN(2)/25)*Calculateur!V175*Calculateur!X175*VLOOKUP('Données projet'!$B$9,Paramètres!$A$1:$I$89,3,0)*0.475*44/12</f>
        <v>5.3963430101094829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13.765808234785004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361.20999999999862</v>
      </c>
      <c r="AJ175" s="14">
        <f>AI175*VLOOKUP('Données projet'!$B$10,Paramètres!$A$1:$I$89,3,0)*VLOOKUP('Données projet'!$B$10,Paramètres!$A$1:$I$89,5,0)</f>
        <v>366.26693999999861</v>
      </c>
      <c r="AK175" s="14">
        <f t="shared" si="164"/>
        <v>84.903135734816331</v>
      </c>
      <c r="AL175" s="22">
        <f t="shared" si="165"/>
        <v>785.7878819048027</v>
      </c>
      <c r="AM175" s="62">
        <f t="shared" si="113"/>
        <v>1079.1212152381361</v>
      </c>
      <c r="AN175" s="62">
        <f ca="1">AVERAGE(OFFSET($AM$3,0,0,'Données projet'!$E$10+1,1))-AVERAGE(OFFSET($H$3,0,0,'Données projet'!$E$10+1,1))</f>
        <v>384.66322295929552</v>
      </c>
      <c r="AO175" s="62">
        <f t="shared" si="144"/>
        <v>248.53970183513286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9.1071950282123524</v>
      </c>
      <c r="AV175" s="23">
        <f>EXP(-LN(2)/25)*AV174+(1-EXP(-LN(2)/25))/(LN(2)/25)*Calculateur!AQ175*Calculateur!AS175*VLOOKUP('Données projet'!$B$10,Paramètres!$A$1:$I$89,3,0)*0.475*44/12</f>
        <v>5.8153698111795276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14.92256483939188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343.79999999999995</v>
      </c>
      <c r="BE175" s="14">
        <f>BD175*VLOOKUP('Données projet'!$B$11,Paramètres!$A$1:$I$89,3,0)*VLOOKUP('Données projet'!$B$11,Paramètres!$A$1:$I$89,5,0)</f>
        <v>205.5924</v>
      </c>
      <c r="BF175" s="14">
        <f t="shared" si="167"/>
        <v>50.971228364263673</v>
      </c>
      <c r="BG175" s="22">
        <f t="shared" si="168"/>
        <v>446.84831940109251</v>
      </c>
      <c r="BH175" s="62">
        <f t="shared" si="116"/>
        <v>740.18165273442582</v>
      </c>
      <c r="BI175" s="62">
        <f ca="1">AVERAGE(OFFSET($BH$3,0,0,'Données projet'!$E$11+1,1))-AVERAGE(OFFSET($H$3,0,0,'Données projet'!$E$11+1,1))</f>
        <v>146.25807703055079</v>
      </c>
      <c r="BJ175" s="62">
        <f t="shared" si="146"/>
        <v>177.40137940534413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0.57209517572281665</v>
      </c>
      <c r="BQ175" s="23">
        <f>EXP(-LN(2)/25)*BQ174+(1-EXP(-LN(2)/25))/(LN(2)/25)*Calculateur!BL175*Calculateur!BN175*VLOOKUP('Données projet'!$B$11,Paramètres!$A$1:$I$89,3,0)*0.475*44/12</f>
        <v>0.1902921986191877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0.76238737434200432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760.1400000000001</v>
      </c>
      <c r="BZ175" s="14">
        <f>BY175*VLOOKUP('Données projet'!$B$12,Paramètres!$A$1:$I$89,3,0)*VLOOKUP('Données projet'!$B$12,Paramètres!$A$1:$I$89,5,0)</f>
        <v>355.74552000000006</v>
      </c>
      <c r="CA175" s="14">
        <f t="shared" si="170"/>
        <v>82.744450026504168</v>
      </c>
      <c r="CB175" s="22">
        <f t="shared" si="171"/>
        <v>763.70336446282818</v>
      </c>
      <c r="CC175" s="62">
        <f t="shared" si="119"/>
        <v>1057.0366977961614</v>
      </c>
      <c r="CD175" s="62">
        <f ca="1">AVERAGE(OFFSET($CC$3,0,0,'Données projet'!$E$12+1,1))-AVERAGE(OFFSET($H$3,0,0,'Données projet'!$E$12+1,1))</f>
        <v>287.12723448949828</v>
      </c>
      <c r="CE175" s="62">
        <f t="shared" si="148"/>
        <v>170.5203352323382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0.69438895430092384</v>
      </c>
      <c r="CL175" s="23">
        <f>EXP(-LN(2)/25)*CL174+(1-EXP(-LN(2)/25))/(LN(2)/25)*Calculateur!CG175*Calculateur!CI175*VLOOKUP('Données projet'!$B$12,Paramètres!$A$1:$I$89,3,0)*0.475*44/12</f>
        <v>1.7995531700294278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2.4939421243303519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477.12000000000097</v>
      </c>
      <c r="CU175" s="18">
        <f>CT175*VLOOKUP('Données projet'!$B$13,Paramètres!$A$1:$I$89,3,0)*VLOOKUP('Données projet'!$B$13,Paramètres!$A$1:$I$89,5,0)</f>
        <v>461.47046400000096</v>
      </c>
      <c r="CV175" s="14">
        <f t="shared" si="173"/>
        <v>104.13329806929862</v>
      </c>
      <c r="CW175" s="22">
        <f t="shared" si="174"/>
        <v>985.09321893736342</v>
      </c>
      <c r="CX175" s="62">
        <f t="shared" si="122"/>
        <v>1278.4265522706967</v>
      </c>
      <c r="CY175" s="62">
        <f ca="1">AVERAGE(OFFSET($CX$3,0,0,'Données projet'!$E$13+1,1))-AVERAGE(OFFSET($H$3,0,0,'Données projet'!$E$13+1,1))</f>
        <v>467.37715054082025</v>
      </c>
      <c r="CZ175" s="62">
        <f t="shared" si="150"/>
        <v>443.35096563136415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0.60549317544697945</v>
      </c>
      <c r="DG175" s="23">
        <f>EXP(-LN(2)/25)*DG174+(1-EXP(-LN(2)/25))/(LN(2)/25)*Calculateur!DB175*Calculateur!DD175*VLOOKUP('Données projet'!$B$13,Paramètres!$A$1:$I$89,3,0)*0.475*44/12</f>
        <v>0.28538312514837078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0.89087630059535017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477.12000000000097</v>
      </c>
      <c r="DP175" s="18">
        <f>DO175*VLOOKUP('Données projet'!$B$14,Paramètres!$A$1:$I$89,3,0)*VLOOKUP('Données projet'!$B$14,Paramètres!$A$1:$I$89,5,0)</f>
        <v>513.57196800000099</v>
      </c>
      <c r="DQ175" s="14">
        <f t="shared" si="176"/>
        <v>114.45621584436451</v>
      </c>
      <c r="DR175" s="22">
        <f t="shared" si="177"/>
        <v>1093.8157535289363</v>
      </c>
      <c r="DS175" s="62">
        <f t="shared" si="125"/>
        <v>1387.1490868622695</v>
      </c>
      <c r="DT175" s="62">
        <f ca="1">AVERAGE(OFFSET($DS$3,0,0,'Données projet'!$E$14+1,1))-AVERAGE(OFFSET($H$3,0,0,'Données projet'!$E$14+1,1))</f>
        <v>524.51242549438939</v>
      </c>
      <c r="DU175" s="62">
        <f t="shared" si="152"/>
        <v>494.88778446576327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0.67385530815873429</v>
      </c>
      <c r="EB175" s="23">
        <f>EXP(-LN(2)/25)*EB174+(1-EXP(-LN(2)/25))/(LN(2)/25)*Calculateur!DW175*Calculateur!DY175*VLOOKUP('Données projet'!$B$14,Paramètres!$A$1:$I$89,3,0)*0.475*44/12</f>
        <v>0.31760380056834814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0.99145910872708243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593.29538712375495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256.51999999999981</v>
      </c>
      <c r="O176" s="14">
        <f>N176*VLOOKUP('Données projet'!$B$9,Paramètres!$A$1:$I$89,3,0)*VLOOKUP('Données projet'!$B$9,Paramètres!$A$1:$I$89,5,0)</f>
        <v>232.09929599999984</v>
      </c>
      <c r="P176" s="14">
        <f t="shared" si="141"/>
        <v>56.736358096348383</v>
      </c>
      <c r="Q176" s="22">
        <f t="shared" si="162"/>
        <v>503.0554308844732</v>
      </c>
      <c r="R176" s="62">
        <f t="shared" si="109"/>
        <v>796.38876421780651</v>
      </c>
      <c r="S176" s="62">
        <f ca="1">AVERAGE(OFFSET($R$3,0,0,'Données projet'!$E$9+1,1))-AVERAGE(OFFSET($H$3,0,0,'Données projet'!$E$9+1,1))</f>
        <v>299.17641394512162</v>
      </c>
      <c r="T176" s="62">
        <f t="shared" si="142"/>
        <v>180.73046320039873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8.2053451164893563</v>
      </c>
      <c r="AA176" s="23">
        <f>EXP(-LN(2)/25)*AA175+(1-EXP(-LN(2)/25))/(LN(2)/25)*Calculateur!V176*Calculateur!X176*VLOOKUP('Données projet'!$B$9,Paramètres!$A$1:$I$89,3,0)*0.475*44/12</f>
        <v>5.2487797267166938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13.454124843206049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361.20999999999862</v>
      </c>
      <c r="AJ176" s="14">
        <f>AI176*VLOOKUP('Données projet'!$B$10,Paramètres!$A$1:$I$89,3,0)*VLOOKUP('Données projet'!$B$10,Paramètres!$A$1:$I$89,5,0)</f>
        <v>366.26693999999861</v>
      </c>
      <c r="AK176" s="14">
        <f t="shared" si="164"/>
        <v>84.903135734816331</v>
      </c>
      <c r="AL176" s="22">
        <f t="shared" si="165"/>
        <v>785.7878819048027</v>
      </c>
      <c r="AM176" s="62">
        <f t="shared" si="113"/>
        <v>1079.1212152381361</v>
      </c>
      <c r="AN176" s="62">
        <f ca="1">AVERAGE(OFFSET($AM$3,0,0,'Données projet'!$E$10+1,1))-AVERAGE(OFFSET($H$3,0,0,'Données projet'!$E$10+1,1))</f>
        <v>384.66322295929552</v>
      </c>
      <c r="AO176" s="62">
        <f t="shared" si="144"/>
        <v>248.53970183513286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8.92860848854958</v>
      </c>
      <c r="AV176" s="23">
        <f>EXP(-LN(2)/25)*AV175+(1-EXP(-LN(2)/25))/(LN(2)/25)*Calculateur!AQ176*Calculateur!AS176*VLOOKUP('Données projet'!$B$10,Paramètres!$A$1:$I$89,3,0)*0.475*44/12</f>
        <v>5.6563482178758164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14.584956706425396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343.79999999999995</v>
      </c>
      <c r="BE176" s="14">
        <f>BD176*VLOOKUP('Données projet'!$B$11,Paramètres!$A$1:$I$89,3,0)*VLOOKUP('Données projet'!$B$11,Paramètres!$A$1:$I$89,5,0)</f>
        <v>205.5924</v>
      </c>
      <c r="BF176" s="14">
        <f t="shared" si="167"/>
        <v>50.971228364263673</v>
      </c>
      <c r="BG176" s="22">
        <f t="shared" si="168"/>
        <v>446.84831940109251</v>
      </c>
      <c r="BH176" s="62">
        <f t="shared" si="116"/>
        <v>740.18165273442582</v>
      </c>
      <c r="BI176" s="62">
        <f ca="1">AVERAGE(OFFSET($BH$3,0,0,'Données projet'!$E$11+1,1))-AVERAGE(OFFSET($H$3,0,0,'Données projet'!$E$11+1,1))</f>
        <v>146.25807703055079</v>
      </c>
      <c r="BJ176" s="62">
        <f t="shared" si="146"/>
        <v>177.40137940534413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0.56087673827049411</v>
      </c>
      <c r="BQ176" s="23">
        <f>EXP(-LN(2)/25)*BQ175+(1-EXP(-LN(2)/25))/(LN(2)/25)*Calculateur!BL176*Calculateur!BN176*VLOOKUP('Données projet'!$B$11,Paramètres!$A$1:$I$89,3,0)*0.475*44/12</f>
        <v>0.18508864844091422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0.74596538671140833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760.1400000000001</v>
      </c>
      <c r="BZ176" s="14">
        <f>BY176*VLOOKUP('Données projet'!$B$12,Paramètres!$A$1:$I$89,3,0)*VLOOKUP('Données projet'!$B$12,Paramètres!$A$1:$I$89,5,0)</f>
        <v>355.74552000000006</v>
      </c>
      <c r="CA176" s="14">
        <f t="shared" si="170"/>
        <v>82.744450026504168</v>
      </c>
      <c r="CB176" s="22">
        <f t="shared" si="171"/>
        <v>763.70336446282818</v>
      </c>
      <c r="CC176" s="62">
        <f t="shared" si="119"/>
        <v>1057.0366977961614</v>
      </c>
      <c r="CD176" s="62">
        <f ca="1">AVERAGE(OFFSET($CC$3,0,0,'Données projet'!$E$12+1,1))-AVERAGE(OFFSET($H$3,0,0,'Données projet'!$E$12+1,1))</f>
        <v>287.12723448949828</v>
      </c>
      <c r="CE176" s="62">
        <f t="shared" si="148"/>
        <v>170.5203352323382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0.68077241044252423</v>
      </c>
      <c r="CL176" s="23">
        <f>EXP(-LN(2)/25)*CL175+(1-EXP(-LN(2)/25))/(LN(2)/25)*Calculateur!CG176*Calculateur!CI176*VLOOKUP('Données projet'!$B$12,Paramètres!$A$1:$I$89,3,0)*0.475*44/12</f>
        <v>1.7503442939605849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2.431116704403109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477.12000000000097</v>
      </c>
      <c r="CU176" s="18">
        <f>CT176*VLOOKUP('Données projet'!$B$13,Paramètres!$A$1:$I$89,3,0)*VLOOKUP('Données projet'!$B$13,Paramètres!$A$1:$I$89,5,0)</f>
        <v>461.47046400000096</v>
      </c>
      <c r="CV176" s="14">
        <f t="shared" si="173"/>
        <v>104.13329806929862</v>
      </c>
      <c r="CW176" s="22">
        <f t="shared" si="174"/>
        <v>985.09321893736342</v>
      </c>
      <c r="CX176" s="62">
        <f t="shared" si="122"/>
        <v>1278.4265522706967</v>
      </c>
      <c r="CY176" s="62">
        <f ca="1">AVERAGE(OFFSET($CX$3,0,0,'Données projet'!$E$13+1,1))-AVERAGE(OFFSET($H$3,0,0,'Données projet'!$E$13+1,1))</f>
        <v>467.37715054082025</v>
      </c>
      <c r="CZ176" s="62">
        <f t="shared" si="150"/>
        <v>443.35096563136415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0.59361982359083443</v>
      </c>
      <c r="DG176" s="23">
        <f>EXP(-LN(2)/25)*DG175+(1-EXP(-LN(2)/25))/(LN(2)/25)*Calculateur!DB176*Calculateur!DD176*VLOOKUP('Données projet'!$B$13,Paramètres!$A$1:$I$89,3,0)*0.475*44/12</f>
        <v>0.27757930858354229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0.87119913217437672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477.12000000000097</v>
      </c>
      <c r="DP176" s="18">
        <f>DO176*VLOOKUP('Données projet'!$B$14,Paramètres!$A$1:$I$89,3,0)*VLOOKUP('Données projet'!$B$14,Paramètres!$A$1:$I$89,5,0)</f>
        <v>513.57196800000099</v>
      </c>
      <c r="DQ176" s="14">
        <f t="shared" si="176"/>
        <v>114.45621584436451</v>
      </c>
      <c r="DR176" s="22">
        <f t="shared" si="177"/>
        <v>1093.8157535289363</v>
      </c>
      <c r="DS176" s="62">
        <f t="shared" si="125"/>
        <v>1387.1490868622695</v>
      </c>
      <c r="DT176" s="62">
        <f ca="1">AVERAGE(OFFSET($DS$3,0,0,'Données projet'!$E$14+1,1))-AVERAGE(OFFSET($H$3,0,0,'Données projet'!$E$14+1,1))</f>
        <v>524.51242549438939</v>
      </c>
      <c r="DU176" s="62">
        <f t="shared" si="152"/>
        <v>494.88778446576327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0.66064141657689546</v>
      </c>
      <c r="EB176" s="23">
        <f>EXP(-LN(2)/25)*EB175+(1-EXP(-LN(2)/25))/(LN(2)/25)*Calculateur!DW176*Calculateur!DY176*VLOOKUP('Données projet'!$B$14,Paramètres!$A$1:$I$89,3,0)*0.475*44/12</f>
        <v>0.30891890793974869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0.9695603245166442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595.19487289422705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256.51999999999981</v>
      </c>
      <c r="O177" s="14">
        <f>N177*VLOOKUP('Données projet'!$B$9,Paramètres!$A$1:$I$89,3,0)*VLOOKUP('Données projet'!$B$9,Paramètres!$A$1:$I$89,5,0)</f>
        <v>232.09929599999984</v>
      </c>
      <c r="P177" s="14">
        <f t="shared" si="141"/>
        <v>56.736358096348383</v>
      </c>
      <c r="Q177" s="22">
        <f t="shared" si="162"/>
        <v>503.0554308844732</v>
      </c>
      <c r="R177" s="62">
        <f t="shared" si="109"/>
        <v>796.38876421780651</v>
      </c>
      <c r="S177" s="62">
        <f ca="1">AVERAGE(OFFSET($R$3,0,0,'Données projet'!$E$9+1,1))-AVERAGE(OFFSET($H$3,0,0,'Données projet'!$E$9+1,1))</f>
        <v>299.17641394512162</v>
      </c>
      <c r="T177" s="62">
        <f t="shared" si="142"/>
        <v>180.73046320039873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8.0444433035213407</v>
      </c>
      <c r="AA177" s="23">
        <f>EXP(-LN(2)/25)*AA176+(1-EXP(-LN(2)/25))/(LN(2)/25)*Calculateur!V177*Calculateur!X177*VLOOKUP('Données projet'!$B$9,Paramètres!$A$1:$I$89,3,0)*0.475*44/12</f>
        <v>5.1052515690682965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13.149694872589638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361.20999999999862</v>
      </c>
      <c r="AJ177" s="14">
        <f>AI177*VLOOKUP('Données projet'!$B$10,Paramètres!$A$1:$I$89,3,0)*VLOOKUP('Données projet'!$B$10,Paramètres!$A$1:$I$89,5,0)</f>
        <v>366.26693999999861</v>
      </c>
      <c r="AK177" s="14">
        <f t="shared" si="164"/>
        <v>84.903135734816331</v>
      </c>
      <c r="AL177" s="22">
        <f t="shared" si="165"/>
        <v>785.7878819048027</v>
      </c>
      <c r="AM177" s="62">
        <f t="shared" si="113"/>
        <v>1079.1212152381361</v>
      </c>
      <c r="AN177" s="62">
        <f ca="1">AVERAGE(OFFSET($AM$3,0,0,'Données projet'!$E$10+1,1))-AVERAGE(OFFSET($H$3,0,0,'Données projet'!$E$10+1,1))</f>
        <v>384.66322295929552</v>
      </c>
      <c r="AO177" s="62">
        <f t="shared" si="144"/>
        <v>248.53970183513286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8.7535239220025609</v>
      </c>
      <c r="AV177" s="23">
        <f>EXP(-LN(2)/25)*AV176+(1-EXP(-LN(2)/25))/(LN(2)/25)*Calculateur!AQ177*Calculateur!AS177*VLOOKUP('Données projet'!$B$10,Paramètres!$A$1:$I$89,3,0)*0.475*44/12</f>
        <v>5.5016750784035775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14.255199000406138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343.79999999999995</v>
      </c>
      <c r="BE177" s="14">
        <f>BD177*VLOOKUP('Données projet'!$B$11,Paramètres!$A$1:$I$89,3,0)*VLOOKUP('Données projet'!$B$11,Paramètres!$A$1:$I$89,5,0)</f>
        <v>205.5924</v>
      </c>
      <c r="BF177" s="14">
        <f t="shared" si="167"/>
        <v>50.971228364263673</v>
      </c>
      <c r="BG177" s="22">
        <f t="shared" si="168"/>
        <v>446.84831940109251</v>
      </c>
      <c r="BH177" s="62">
        <f t="shared" si="116"/>
        <v>740.18165273442582</v>
      </c>
      <c r="BI177" s="62">
        <f ca="1">AVERAGE(OFFSET($BH$3,0,0,'Données projet'!$E$11+1,1))-AVERAGE(OFFSET($H$3,0,0,'Données projet'!$E$11+1,1))</f>
        <v>146.25807703055079</v>
      </c>
      <c r="BJ177" s="62">
        <f t="shared" si="146"/>
        <v>177.40137940534413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0.54987828753404044</v>
      </c>
      <c r="BQ177" s="23">
        <f>EXP(-LN(2)/25)*BQ176+(1-EXP(-LN(2)/25))/(LN(2)/25)*Calculateur!BL177*Calculateur!BN177*VLOOKUP('Données projet'!$B$11,Paramètres!$A$1:$I$89,3,0)*0.475*44/12</f>
        <v>0.18002738961590842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0.72990567714994881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760.1400000000001</v>
      </c>
      <c r="BZ177" s="14">
        <f>BY177*VLOOKUP('Données projet'!$B$12,Paramètres!$A$1:$I$89,3,0)*VLOOKUP('Données projet'!$B$12,Paramètres!$A$1:$I$89,5,0)</f>
        <v>355.74552000000006</v>
      </c>
      <c r="CA177" s="14">
        <f t="shared" si="170"/>
        <v>82.744450026504168</v>
      </c>
      <c r="CB177" s="22">
        <f t="shared" si="171"/>
        <v>763.70336446282818</v>
      </c>
      <c r="CC177" s="62">
        <f t="shared" si="119"/>
        <v>1057.0366977961614</v>
      </c>
      <c r="CD177" s="62">
        <f ca="1">AVERAGE(OFFSET($CC$3,0,0,'Données projet'!$E$12+1,1))-AVERAGE(OFFSET($H$3,0,0,'Données projet'!$E$12+1,1))</f>
        <v>287.12723448949828</v>
      </c>
      <c r="CE177" s="62">
        <f t="shared" si="148"/>
        <v>170.5203352323382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0.66742287870391614</v>
      </c>
      <c r="CL177" s="23">
        <f>EXP(-LN(2)/25)*CL176+(1-EXP(-LN(2)/25))/(LN(2)/25)*Calculateur!CG177*Calculateur!CI177*VLOOKUP('Données projet'!$B$12,Paramètres!$A$1:$I$89,3,0)*0.475*44/12</f>
        <v>1.7024810371956267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2.3699039158995427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477.12000000000097</v>
      </c>
      <c r="CU177" s="18">
        <f>CT177*VLOOKUP('Données projet'!$B$13,Paramètres!$A$1:$I$89,3,0)*VLOOKUP('Données projet'!$B$13,Paramètres!$A$1:$I$89,5,0)</f>
        <v>461.47046400000096</v>
      </c>
      <c r="CV177" s="14">
        <f t="shared" si="173"/>
        <v>104.13329806929862</v>
      </c>
      <c r="CW177" s="22">
        <f t="shared" si="174"/>
        <v>985.09321893736342</v>
      </c>
      <c r="CX177" s="62">
        <f t="shared" si="122"/>
        <v>1278.4265522706967</v>
      </c>
      <c r="CY177" s="62">
        <f ca="1">AVERAGE(OFFSET($CX$3,0,0,'Données projet'!$E$13+1,1))-AVERAGE(OFFSET($H$3,0,0,'Données projet'!$E$13+1,1))</f>
        <v>467.37715054082025</v>
      </c>
      <c r="CZ177" s="62">
        <f t="shared" si="150"/>
        <v>443.35096563136415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0.5819793009225589</v>
      </c>
      <c r="DG177" s="23">
        <f>EXP(-LN(2)/25)*DG176+(1-EXP(-LN(2)/25))/(LN(2)/25)*Calculateur!DB177*Calculateur!DD177*VLOOKUP('Données projet'!$B$13,Paramètres!$A$1:$I$89,3,0)*0.475*44/12</f>
        <v>0.2699888877930639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0.85196818871562274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477.12000000000097</v>
      </c>
      <c r="DP177" s="18">
        <f>DO177*VLOOKUP('Données projet'!$B$14,Paramètres!$A$1:$I$89,3,0)*VLOOKUP('Données projet'!$B$14,Paramètres!$A$1:$I$89,5,0)</f>
        <v>513.57196800000099</v>
      </c>
      <c r="DQ177" s="14">
        <f t="shared" si="176"/>
        <v>114.45621584436451</v>
      </c>
      <c r="DR177" s="22">
        <f t="shared" si="177"/>
        <v>1093.8157535289363</v>
      </c>
      <c r="DS177" s="62">
        <f t="shared" si="125"/>
        <v>1387.1490868622695</v>
      </c>
      <c r="DT177" s="62">
        <f ca="1">AVERAGE(OFFSET($DS$3,0,0,'Données projet'!$E$14+1,1))-AVERAGE(OFFSET($H$3,0,0,'Données projet'!$E$14+1,1))</f>
        <v>524.51242549438939</v>
      </c>
      <c r="DU177" s="62">
        <f t="shared" si="152"/>
        <v>494.88778446576327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0.64768664134929854</v>
      </c>
      <c r="EB177" s="23">
        <f>EXP(-LN(2)/25)*EB176+(1-EXP(-LN(2)/25))/(LN(2)/25)*Calculateur!DW177*Calculateur!DY177*VLOOKUP('Données projet'!$B$14,Paramètres!$A$1:$I$89,3,0)*0.475*44/12</f>
        <v>0.30047150415679691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0.94815814550609545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597.09412407153457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256.51999999999981</v>
      </c>
      <c r="O178" s="14">
        <f>N178*VLOOKUP('Données projet'!$B$9,Paramètres!$A$1:$I$89,3,0)*VLOOKUP('Données projet'!$B$9,Paramètres!$A$1:$I$89,5,0)</f>
        <v>232.09929599999984</v>
      </c>
      <c r="P178" s="14">
        <f t="shared" si="141"/>
        <v>56.736358096348383</v>
      </c>
      <c r="Q178" s="22">
        <f t="shared" si="162"/>
        <v>503.0554308844732</v>
      </c>
      <c r="R178" s="62">
        <f t="shared" si="109"/>
        <v>796.38876421780651</v>
      </c>
      <c r="S178" s="62">
        <f ca="1">AVERAGE(OFFSET($R$3,0,0,'Données projet'!$E$9+1,1))-AVERAGE(OFFSET($H$3,0,0,'Données projet'!$E$9+1,1))</f>
        <v>299.17641394512162</v>
      </c>
      <c r="T178" s="62">
        <f t="shared" si="142"/>
        <v>180.73046320039873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7.8866966769652134</v>
      </c>
      <c r="AA178" s="23">
        <f>EXP(-LN(2)/25)*AA177+(1-EXP(-LN(2)/25))/(LN(2)/25)*Calculateur!V178*Calculateur!X178*VLOOKUP('Données projet'!$B$9,Paramètres!$A$1:$I$89,3,0)*0.475*44/12</f>
        <v>4.9656481964386119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12.852344873403826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361.20999999999862</v>
      </c>
      <c r="AJ178" s="14">
        <f>AI178*VLOOKUP('Données projet'!$B$10,Paramètres!$A$1:$I$89,3,0)*VLOOKUP('Données projet'!$B$10,Paramètres!$A$1:$I$89,5,0)</f>
        <v>366.26693999999861</v>
      </c>
      <c r="AK178" s="14">
        <f t="shared" si="164"/>
        <v>84.903135734816331</v>
      </c>
      <c r="AL178" s="22">
        <f t="shared" si="165"/>
        <v>785.7878819048027</v>
      </c>
      <c r="AM178" s="62">
        <f t="shared" si="113"/>
        <v>1079.1212152381361</v>
      </c>
      <c r="AN178" s="62">
        <f ca="1">AVERAGE(OFFSET($AM$3,0,0,'Données projet'!$E$10+1,1))-AVERAGE(OFFSET($H$3,0,0,'Données projet'!$E$10+1,1))</f>
        <v>384.66322295929552</v>
      </c>
      <c r="AO178" s="62">
        <f t="shared" si="144"/>
        <v>248.53970183513286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8.5818726570144879</v>
      </c>
      <c r="AV178" s="23">
        <f>EXP(-LN(2)/25)*AV177+(1-EXP(-LN(2)/25))/(LN(2)/25)*Calculateur!AQ178*Calculateur!AS178*VLOOKUP('Données projet'!$B$10,Paramètres!$A$1:$I$89,3,0)*0.475*44/12</f>
        <v>5.3512314840641135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13.933104141078601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343.79999999999995</v>
      </c>
      <c r="BE178" s="14">
        <f>BD178*VLOOKUP('Données projet'!$B$11,Paramètres!$A$1:$I$89,3,0)*VLOOKUP('Données projet'!$B$11,Paramètres!$A$1:$I$89,5,0)</f>
        <v>205.5924</v>
      </c>
      <c r="BF178" s="14">
        <f t="shared" si="167"/>
        <v>50.971228364263673</v>
      </c>
      <c r="BG178" s="22">
        <f t="shared" si="168"/>
        <v>446.84831940109251</v>
      </c>
      <c r="BH178" s="62">
        <f t="shared" si="116"/>
        <v>740.18165273442582</v>
      </c>
      <c r="BI178" s="62">
        <f ca="1">AVERAGE(OFFSET($BH$3,0,0,'Données projet'!$E$11+1,1))-AVERAGE(OFFSET($H$3,0,0,'Données projet'!$E$11+1,1))</f>
        <v>146.25807703055079</v>
      </c>
      <c r="BJ178" s="62">
        <f t="shared" si="146"/>
        <v>177.40137940534413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0.53909550970813602</v>
      </c>
      <c r="BQ178" s="23">
        <f>EXP(-LN(2)/25)*BQ177+(1-EXP(-LN(2)/25))/(LN(2)/25)*Calculateur!BL178*Calculateur!BN178*VLOOKUP('Données projet'!$B$11,Paramètres!$A$1:$I$89,3,0)*0.475*44/12</f>
        <v>0.17510453117963243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0.71420004088776845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760.1400000000001</v>
      </c>
      <c r="BZ178" s="14">
        <f>BY178*VLOOKUP('Données projet'!$B$12,Paramètres!$A$1:$I$89,3,0)*VLOOKUP('Données projet'!$B$12,Paramètres!$A$1:$I$89,5,0)</f>
        <v>355.74552000000006</v>
      </c>
      <c r="CA178" s="14">
        <f t="shared" si="170"/>
        <v>82.744450026504168</v>
      </c>
      <c r="CB178" s="22">
        <f t="shared" si="171"/>
        <v>763.70336446282818</v>
      </c>
      <c r="CC178" s="62">
        <f t="shared" si="119"/>
        <v>1057.0366977961614</v>
      </c>
      <c r="CD178" s="62">
        <f ca="1">AVERAGE(OFFSET($CC$3,0,0,'Données projet'!$E$12+1,1))-AVERAGE(OFFSET($H$3,0,0,'Données projet'!$E$12+1,1))</f>
        <v>287.12723448949828</v>
      </c>
      <c r="CE178" s="62">
        <f t="shared" si="148"/>
        <v>170.5203352323382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0.65433512314029174</v>
      </c>
      <c r="CL178" s="23">
        <f>EXP(-LN(2)/25)*CL177+(1-EXP(-LN(2)/25))/(LN(2)/25)*Calculateur!CG178*Calculateur!CI178*VLOOKUP('Données projet'!$B$12,Paramètres!$A$1:$I$89,3,0)*0.475*44/12</f>
        <v>1.6559266037039255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2.3102617268442174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477.12000000000097</v>
      </c>
      <c r="CU178" s="18">
        <f>CT178*VLOOKUP('Données projet'!$B$13,Paramètres!$A$1:$I$89,3,0)*VLOOKUP('Données projet'!$B$13,Paramètres!$A$1:$I$89,5,0)</f>
        <v>461.47046400000096</v>
      </c>
      <c r="CV178" s="14">
        <f t="shared" si="173"/>
        <v>104.13329806929862</v>
      </c>
      <c r="CW178" s="22">
        <f t="shared" si="174"/>
        <v>985.09321893736342</v>
      </c>
      <c r="CX178" s="62">
        <f t="shared" si="122"/>
        <v>1278.4265522706967</v>
      </c>
      <c r="CY178" s="62">
        <f ca="1">AVERAGE(OFFSET($CX$3,0,0,'Données projet'!$E$13+1,1))-AVERAGE(OFFSET($H$3,0,0,'Données projet'!$E$13+1,1))</f>
        <v>467.37715054082025</v>
      </c>
      <c r="CZ178" s="62">
        <f t="shared" si="150"/>
        <v>443.35096563136415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0.57056704180379048</v>
      </c>
      <c r="DG178" s="23">
        <f>EXP(-LN(2)/25)*DG177+(1-EXP(-LN(2)/25))/(LN(2)/25)*Calculateur!DB178*Calculateur!DD178*VLOOKUP('Données projet'!$B$13,Paramètres!$A$1:$I$89,3,0)*0.475*44/12</f>
        <v>0.262606027458264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0.83317306926205448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477.12000000000097</v>
      </c>
      <c r="DP178" s="18">
        <f>DO178*VLOOKUP('Données projet'!$B$14,Paramètres!$A$1:$I$89,3,0)*VLOOKUP('Données projet'!$B$14,Paramètres!$A$1:$I$89,5,0)</f>
        <v>513.57196800000099</v>
      </c>
      <c r="DQ178" s="14">
        <f t="shared" si="176"/>
        <v>114.45621584436451</v>
      </c>
      <c r="DR178" s="22">
        <f t="shared" si="177"/>
        <v>1093.8157535289363</v>
      </c>
      <c r="DS178" s="62">
        <f t="shared" si="125"/>
        <v>1387.1490868622695</v>
      </c>
      <c r="DT178" s="62">
        <f ca="1">AVERAGE(OFFSET($DS$3,0,0,'Données projet'!$E$14+1,1))-AVERAGE(OFFSET($H$3,0,0,'Données projet'!$E$14+1,1))</f>
        <v>524.51242549438939</v>
      </c>
      <c r="DU178" s="62">
        <f t="shared" si="152"/>
        <v>494.88778446576327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0.63498590136228206</v>
      </c>
      <c r="EB178" s="23">
        <f>EXP(-LN(2)/25)*EB177+(1-EXP(-LN(2)/25))/(LN(2)/25)*Calculateur!DW178*Calculateur!DY178*VLOOKUP('Données projet'!$B$14,Paramètres!$A$1:$I$89,3,0)*0.475*44/12</f>
        <v>0.29225509507451963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0.92724099643680169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598.99314215176662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256.51999999999981</v>
      </c>
      <c r="O179" s="14">
        <f>N179*VLOOKUP('Données projet'!$B$9,Paramètres!$A$1:$I$89,3,0)*VLOOKUP('Données projet'!$B$9,Paramètres!$A$1:$I$89,5,0)</f>
        <v>232.09929599999984</v>
      </c>
      <c r="P179" s="14">
        <f t="shared" si="141"/>
        <v>56.736358096348383</v>
      </c>
      <c r="Q179" s="22">
        <f t="shared" si="162"/>
        <v>503.0554308844732</v>
      </c>
      <c r="R179" s="62">
        <f t="shared" si="109"/>
        <v>796.38876421780651</v>
      </c>
      <c r="S179" s="62">
        <f ca="1">AVERAGE(OFFSET($R$3,0,0,'Données projet'!$E$9+1,1))-AVERAGE(OFFSET($H$3,0,0,'Données projet'!$E$9+1,1))</f>
        <v>299.17641394512162</v>
      </c>
      <c r="T179" s="62">
        <f t="shared" si="142"/>
        <v>180.73046320039873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7.7320433655399103</v>
      </c>
      <c r="AA179" s="23">
        <f>EXP(-LN(2)/25)*AA178+(1-EXP(-LN(2)/25))/(LN(2)/25)*Calculateur!V179*Calculateur!X179*VLOOKUP('Données projet'!$B$9,Paramètres!$A$1:$I$89,3,0)*0.475*44/12</f>
        <v>4.8298622853749089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12.56190565091482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361.20999999999862</v>
      </c>
      <c r="AJ179" s="14">
        <f>AI179*VLOOKUP('Données projet'!$B$10,Paramètres!$A$1:$I$89,3,0)*VLOOKUP('Données projet'!$B$10,Paramètres!$A$1:$I$89,5,0)</f>
        <v>366.26693999999861</v>
      </c>
      <c r="AK179" s="14">
        <f t="shared" si="164"/>
        <v>84.903135734816331</v>
      </c>
      <c r="AL179" s="22">
        <f t="shared" si="165"/>
        <v>785.7878819048027</v>
      </c>
      <c r="AM179" s="62">
        <f t="shared" si="113"/>
        <v>1079.1212152381361</v>
      </c>
      <c r="AN179" s="62">
        <f ca="1">AVERAGE(OFFSET($AM$3,0,0,'Données projet'!$E$10+1,1))-AVERAGE(OFFSET($H$3,0,0,'Données projet'!$E$10+1,1))</f>
        <v>384.66322295929552</v>
      </c>
      <c r="AO179" s="62">
        <f t="shared" si="144"/>
        <v>248.53970183513286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8.4135873686358984</v>
      </c>
      <c r="AV179" s="23">
        <f>EXP(-LN(2)/25)*AV178+(1-EXP(-LN(2)/25))/(LN(2)/25)*Calculateur!AQ179*Calculateur!AS179*VLOOKUP('Données projet'!$B$10,Paramètres!$A$1:$I$89,3,0)*0.475*44/12</f>
        <v>5.2049017777233466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13.618489146359245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343.79999999999995</v>
      </c>
      <c r="BE179" s="14">
        <f>BD179*VLOOKUP('Données projet'!$B$11,Paramètres!$A$1:$I$89,3,0)*VLOOKUP('Données projet'!$B$11,Paramètres!$A$1:$I$89,5,0)</f>
        <v>205.5924</v>
      </c>
      <c r="BF179" s="14">
        <f t="shared" si="167"/>
        <v>50.971228364263673</v>
      </c>
      <c r="BG179" s="22">
        <f t="shared" si="168"/>
        <v>446.84831940109251</v>
      </c>
      <c r="BH179" s="62">
        <f t="shared" si="116"/>
        <v>740.18165273442582</v>
      </c>
      <c r="BI179" s="62">
        <f ca="1">AVERAGE(OFFSET($BH$3,0,0,'Données projet'!$E$11+1,1))-AVERAGE(OFFSET($H$3,0,0,'Données projet'!$E$11+1,1))</f>
        <v>146.25807703055079</v>
      </c>
      <c r="BJ179" s="62">
        <f t="shared" si="146"/>
        <v>177.40137940534413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0.52852417557855258</v>
      </c>
      <c r="BQ179" s="23">
        <f>EXP(-LN(2)/25)*BQ178+(1-EXP(-LN(2)/25))/(LN(2)/25)*Calculateur!BL179*Calculateur!BN179*VLOOKUP('Données projet'!$B$11,Paramètres!$A$1:$I$89,3,0)*0.475*44/12</f>
        <v>0.17031628856617828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0.69884046414473089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760.1400000000001</v>
      </c>
      <c r="BZ179" s="14">
        <f>BY179*VLOOKUP('Données projet'!$B$12,Paramètres!$A$1:$I$89,3,0)*VLOOKUP('Données projet'!$B$12,Paramètres!$A$1:$I$89,5,0)</f>
        <v>355.74552000000006</v>
      </c>
      <c r="CA179" s="14">
        <f t="shared" si="170"/>
        <v>82.744450026504168</v>
      </c>
      <c r="CB179" s="22">
        <f t="shared" si="171"/>
        <v>763.70336446282818</v>
      </c>
      <c r="CC179" s="62">
        <f t="shared" si="119"/>
        <v>1057.0366977961614</v>
      </c>
      <c r="CD179" s="62">
        <f ca="1">AVERAGE(OFFSET($CC$3,0,0,'Données projet'!$E$12+1,1))-AVERAGE(OFFSET($H$3,0,0,'Données projet'!$E$12+1,1))</f>
        <v>287.12723448949828</v>
      </c>
      <c r="CE179" s="62">
        <f t="shared" si="148"/>
        <v>170.5203352323382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0.64150401048052741</v>
      </c>
      <c r="CL179" s="23">
        <f>EXP(-LN(2)/25)*CL178+(1-EXP(-LN(2)/25))/(LN(2)/25)*Calculateur!CG179*Calculateur!CI179*VLOOKUP('Données projet'!$B$12,Paramètres!$A$1:$I$89,3,0)*0.475*44/12</f>
        <v>1.6106452036442462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2.2521492141247736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477.12000000000097</v>
      </c>
      <c r="CU179" s="18">
        <f>CT179*VLOOKUP('Données projet'!$B$13,Paramètres!$A$1:$I$89,3,0)*VLOOKUP('Données projet'!$B$13,Paramètres!$A$1:$I$89,5,0)</f>
        <v>461.47046400000096</v>
      </c>
      <c r="CV179" s="14">
        <f t="shared" si="173"/>
        <v>104.13329806929862</v>
      </c>
      <c r="CW179" s="22">
        <f t="shared" si="174"/>
        <v>985.09321893736342</v>
      </c>
      <c r="CX179" s="62">
        <f t="shared" si="122"/>
        <v>1278.4265522706967</v>
      </c>
      <c r="CY179" s="62">
        <f ca="1">AVERAGE(OFFSET($CX$3,0,0,'Données projet'!$E$13+1,1))-AVERAGE(OFFSET($H$3,0,0,'Données projet'!$E$13+1,1))</f>
        <v>467.37715054082025</v>
      </c>
      <c r="CZ179" s="62">
        <f t="shared" si="150"/>
        <v>443.35096563136415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0.55937857012555037</v>
      </c>
      <c r="DG179" s="23">
        <f>EXP(-LN(2)/25)*DG178+(1-EXP(-LN(2)/25))/(LN(2)/25)*Calculateur!DB179*Calculateur!DD179*VLOOKUP('Données projet'!$B$13,Paramètres!$A$1:$I$89,3,0)*0.475*44/12</f>
        <v>0.25542505182756697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0.8148036219531174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477.12000000000097</v>
      </c>
      <c r="DP179" s="18">
        <f>DO179*VLOOKUP('Données projet'!$B$14,Paramètres!$A$1:$I$89,3,0)*VLOOKUP('Données projet'!$B$14,Paramètres!$A$1:$I$89,5,0)</f>
        <v>513.57196800000099</v>
      </c>
      <c r="DQ179" s="14">
        <f t="shared" si="176"/>
        <v>114.45621584436451</v>
      </c>
      <c r="DR179" s="22">
        <f t="shared" si="177"/>
        <v>1093.8157535289363</v>
      </c>
      <c r="DS179" s="62">
        <f t="shared" si="125"/>
        <v>1387.1490868622695</v>
      </c>
      <c r="DT179" s="62">
        <f ca="1">AVERAGE(OFFSET($DS$3,0,0,'Données projet'!$E$14+1,1))-AVERAGE(OFFSET($H$3,0,0,'Données projet'!$E$14+1,1))</f>
        <v>524.51242549438939</v>
      </c>
      <c r="DU179" s="62">
        <f t="shared" si="152"/>
        <v>494.88778446576327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0.62253421513972451</v>
      </c>
      <c r="EB179" s="23">
        <f>EXP(-LN(2)/25)*EB178+(1-EXP(-LN(2)/25))/(LN(2)/25)*Calculateur!DW179*Calculateur!DY179*VLOOKUP('Données projet'!$B$14,Paramètres!$A$1:$I$89,3,0)*0.475*44/12</f>
        <v>0.28426336413067937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0.90679757927040394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600.89192861302752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256.51999999999981</v>
      </c>
      <c r="O180" s="14">
        <f>N180*VLOOKUP('Données projet'!$B$9,Paramètres!$A$1:$I$89,3,0)*VLOOKUP('Données projet'!$B$9,Paramètres!$A$1:$I$89,5,0)</f>
        <v>232.09929599999984</v>
      </c>
      <c r="P180" s="14">
        <f t="shared" si="141"/>
        <v>56.736358096348383</v>
      </c>
      <c r="Q180" s="22">
        <f t="shared" si="162"/>
        <v>503.0554308844732</v>
      </c>
      <c r="R180" s="62">
        <f t="shared" si="109"/>
        <v>796.38876421780651</v>
      </c>
      <c r="S180" s="62">
        <f ca="1">AVERAGE(OFFSET($R$3,0,0,'Données projet'!$E$9+1,1))-AVERAGE(OFFSET($H$3,0,0,'Données projet'!$E$9+1,1))</f>
        <v>299.17641394512162</v>
      </c>
      <c r="T180" s="62">
        <f t="shared" si="142"/>
        <v>180.73046320039873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7.5804227112224511</v>
      </c>
      <c r="AA180" s="23">
        <f>EXP(-LN(2)/25)*AA179+(1-EXP(-LN(2)/25))/(LN(2)/25)*Calculateur!V180*Calculateur!X180*VLOOKUP('Données projet'!$B$9,Paramètres!$A$1:$I$89,3,0)*0.475*44/12</f>
        <v>4.6977894471899129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12.278212158412364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361.20999999999862</v>
      </c>
      <c r="AJ180" s="14">
        <f>AI180*VLOOKUP('Données projet'!$B$10,Paramètres!$A$1:$I$89,3,0)*VLOOKUP('Données projet'!$B$10,Paramètres!$A$1:$I$89,5,0)</f>
        <v>366.26693999999861</v>
      </c>
      <c r="AK180" s="14">
        <f t="shared" si="164"/>
        <v>84.903135734816331</v>
      </c>
      <c r="AL180" s="22">
        <f t="shared" si="165"/>
        <v>785.7878819048027</v>
      </c>
      <c r="AM180" s="62">
        <f t="shared" si="113"/>
        <v>1079.1212152381361</v>
      </c>
      <c r="AN180" s="62">
        <f ca="1">AVERAGE(OFFSET($AM$3,0,0,'Données projet'!$E$10+1,1))-AVERAGE(OFFSET($H$3,0,0,'Données projet'!$E$10+1,1))</f>
        <v>384.66322295929552</v>
      </c>
      <c r="AO180" s="62">
        <f t="shared" si="144"/>
        <v>248.53970183513286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8.2486020521185228</v>
      </c>
      <c r="AV180" s="23">
        <f>EXP(-LN(2)/25)*AV179+(1-EXP(-LN(2)/25))/(LN(2)/25)*Calculateur!AQ180*Calculateur!AS180*VLOOKUP('Données projet'!$B$10,Paramètres!$A$1:$I$89,3,0)*0.475*44/12</f>
        <v>5.0625734648976133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13.311175517016135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343.79999999999995</v>
      </c>
      <c r="BE180" s="14">
        <f>BD180*VLOOKUP('Données projet'!$B$11,Paramètres!$A$1:$I$89,3,0)*VLOOKUP('Données projet'!$B$11,Paramètres!$A$1:$I$89,5,0)</f>
        <v>205.5924</v>
      </c>
      <c r="BF180" s="14">
        <f t="shared" si="167"/>
        <v>50.971228364263673</v>
      </c>
      <c r="BG180" s="22">
        <f t="shared" si="168"/>
        <v>446.84831940109251</v>
      </c>
      <c r="BH180" s="62">
        <f t="shared" si="116"/>
        <v>740.18165273442582</v>
      </c>
      <c r="BI180" s="62">
        <f ca="1">AVERAGE(OFFSET($BH$3,0,0,'Données projet'!$E$11+1,1))-AVERAGE(OFFSET($H$3,0,0,'Données projet'!$E$11+1,1))</f>
        <v>146.25807703055079</v>
      </c>
      <c r="BJ180" s="62">
        <f t="shared" si="146"/>
        <v>177.40137940534413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0.51816013886337309</v>
      </c>
      <c r="BQ180" s="23">
        <f>EXP(-LN(2)/25)*BQ179+(1-EXP(-LN(2)/25))/(LN(2)/25)*Calculateur!BL180*Calculateur!BN180*VLOOKUP('Données projet'!$B$11,Paramètres!$A$1:$I$89,3,0)*0.475*44/12</f>
        <v>0.16565898069879179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0.6838191195621649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760.1400000000001</v>
      </c>
      <c r="BZ180" s="14">
        <f>BY180*VLOOKUP('Données projet'!$B$12,Paramètres!$A$1:$I$89,3,0)*VLOOKUP('Données projet'!$B$12,Paramètres!$A$1:$I$89,5,0)</f>
        <v>355.74552000000006</v>
      </c>
      <c r="CA180" s="14">
        <f t="shared" si="170"/>
        <v>82.744450026504168</v>
      </c>
      <c r="CB180" s="22">
        <f t="shared" si="171"/>
        <v>763.70336446282818</v>
      </c>
      <c r="CC180" s="62">
        <f t="shared" si="119"/>
        <v>1057.0366977961614</v>
      </c>
      <c r="CD180" s="62">
        <f ca="1">AVERAGE(OFFSET($CC$3,0,0,'Données projet'!$E$12+1,1))-AVERAGE(OFFSET($H$3,0,0,'Données projet'!$E$12+1,1))</f>
        <v>287.12723448949828</v>
      </c>
      <c r="CE180" s="62">
        <f t="shared" si="148"/>
        <v>170.5203352323382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0.62892450811381506</v>
      </c>
      <c r="CL180" s="23">
        <f>EXP(-LN(2)/25)*CL179+(1-EXP(-LN(2)/25))/(LN(2)/25)*Calculateur!CG180*Calculateur!CI180*VLOOKUP('Données projet'!$B$12,Paramètres!$A$1:$I$89,3,0)*0.475*44/12</f>
        <v>1.5666020258504443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2.1955265339642596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477.12000000000097</v>
      </c>
      <c r="CU180" s="18">
        <f>CT180*VLOOKUP('Données projet'!$B$13,Paramètres!$A$1:$I$89,3,0)*VLOOKUP('Données projet'!$B$13,Paramètres!$A$1:$I$89,5,0)</f>
        <v>461.47046400000096</v>
      </c>
      <c r="CV180" s="14">
        <f t="shared" si="173"/>
        <v>104.13329806929862</v>
      </c>
      <c r="CW180" s="22">
        <f t="shared" si="174"/>
        <v>985.09321893736342</v>
      </c>
      <c r="CX180" s="62">
        <f t="shared" si="122"/>
        <v>1278.4265522706967</v>
      </c>
      <c r="CY180" s="62">
        <f ca="1">AVERAGE(OFFSET($CX$3,0,0,'Données projet'!$E$13+1,1))-AVERAGE(OFFSET($H$3,0,0,'Données projet'!$E$13+1,1))</f>
        <v>467.37715054082025</v>
      </c>
      <c r="CZ180" s="62">
        <f t="shared" si="150"/>
        <v>443.35096563136415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0.54840949755262669</v>
      </c>
      <c r="DG180" s="23">
        <f>EXP(-LN(2)/25)*DG179+(1-EXP(-LN(2)/25))/(LN(2)/25)*Calculateur!DB180*Calculateur!DD180*VLOOKUP('Données projet'!$B$13,Paramètres!$A$1:$I$89,3,0)*0.475*44/12</f>
        <v>0.24844044035312246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0.79684993790574921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477.12000000000097</v>
      </c>
      <c r="DP180" s="18">
        <f>DO180*VLOOKUP('Données projet'!$B$14,Paramètres!$A$1:$I$89,3,0)*VLOOKUP('Données projet'!$B$14,Paramètres!$A$1:$I$89,5,0)</f>
        <v>513.57196800000099</v>
      </c>
      <c r="DQ180" s="14">
        <f t="shared" si="176"/>
        <v>114.45621584436451</v>
      </c>
      <c r="DR180" s="22">
        <f t="shared" si="177"/>
        <v>1093.8157535289363</v>
      </c>
      <c r="DS180" s="62">
        <f t="shared" si="125"/>
        <v>1387.1490868622695</v>
      </c>
      <c r="DT180" s="62">
        <f ca="1">AVERAGE(OFFSET($DS$3,0,0,'Données projet'!$E$14+1,1))-AVERAGE(OFFSET($H$3,0,0,'Données projet'!$E$14+1,1))</f>
        <v>524.51242549438939</v>
      </c>
      <c r="DU180" s="62">
        <f t="shared" si="152"/>
        <v>494.88778446576327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0.61032669888921265</v>
      </c>
      <c r="EB180" s="23">
        <f>EXP(-LN(2)/25)*EB179+(1-EXP(-LN(2)/25))/(LN(2)/25)*Calculateur!DW180*Calculateur!DY180*VLOOKUP('Données projet'!$B$14,Paramètres!$A$1:$I$89,3,0)*0.475*44/12</f>
        <v>0.27649016748976529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0.88681686637897794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602.79048491575327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256.51999999999981</v>
      </c>
      <c r="O181" s="14">
        <f>N181*VLOOKUP('Données projet'!$B$9,Paramètres!$A$1:$I$89,3,0)*VLOOKUP('Données projet'!$B$9,Paramètres!$A$1:$I$89,5,0)</f>
        <v>232.09929599999984</v>
      </c>
      <c r="P181" s="14">
        <f t="shared" si="141"/>
        <v>56.736358096348383</v>
      </c>
      <c r="Q181" s="22">
        <f t="shared" si="162"/>
        <v>503.0554308844732</v>
      </c>
      <c r="R181" s="62">
        <f t="shared" si="109"/>
        <v>796.38876421780651</v>
      </c>
      <c r="S181" s="62">
        <f ca="1">AVERAGE(OFFSET($R$3,0,0,'Données projet'!$E$9+1,1))-AVERAGE(OFFSET($H$3,0,0,'Données projet'!$E$9+1,1))</f>
        <v>299.17641394512162</v>
      </c>
      <c r="T181" s="62">
        <f t="shared" si="142"/>
        <v>180.73046320039873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7.4317752454566897</v>
      </c>
      <c r="AA181" s="23">
        <f>EXP(-LN(2)/25)*AA180+(1-EXP(-LN(2)/25))/(LN(2)/25)*Calculateur!V181*Calculateur!X181*VLOOKUP('Données projet'!$B$9,Paramètres!$A$1:$I$89,3,0)*0.475*44/12</f>
        <v>4.569328147710495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12.001103393167185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361.20999999999862</v>
      </c>
      <c r="AJ181" s="14">
        <f>AI181*VLOOKUP('Données projet'!$B$10,Paramètres!$A$1:$I$89,3,0)*VLOOKUP('Données projet'!$B$10,Paramètres!$A$1:$I$89,5,0)</f>
        <v>366.26693999999861</v>
      </c>
      <c r="AK181" s="14">
        <f t="shared" si="164"/>
        <v>84.903135734816331</v>
      </c>
      <c r="AL181" s="22">
        <f t="shared" si="165"/>
        <v>785.7878819048027</v>
      </c>
      <c r="AM181" s="62">
        <f t="shared" si="113"/>
        <v>1079.1212152381361</v>
      </c>
      <c r="AN181" s="62">
        <f ca="1">AVERAGE(OFFSET($AM$3,0,0,'Données projet'!$E$10+1,1))-AVERAGE(OFFSET($H$3,0,0,'Données projet'!$E$10+1,1))</f>
        <v>384.66322295929552</v>
      </c>
      <c r="AO181" s="62">
        <f t="shared" si="144"/>
        <v>248.53970183513286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8.0868519970269457</v>
      </c>
      <c r="AV181" s="23">
        <f>EXP(-LN(2)/25)*AV180+(1-EXP(-LN(2)/25))/(LN(2)/25)*Calculateur!AQ181*Calculateur!AS181*VLOOKUP('Données projet'!$B$10,Paramètres!$A$1:$I$89,3,0)*0.475*44/12</f>
        <v>4.9241371272708205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13.010989124297765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343.79999999999995</v>
      </c>
      <c r="BE181" s="14">
        <f>BD181*VLOOKUP('Données projet'!$B$11,Paramètres!$A$1:$I$89,3,0)*VLOOKUP('Données projet'!$B$11,Paramètres!$A$1:$I$89,5,0)</f>
        <v>205.5924</v>
      </c>
      <c r="BF181" s="14">
        <f t="shared" si="167"/>
        <v>50.971228364263673</v>
      </c>
      <c r="BG181" s="22">
        <f t="shared" si="168"/>
        <v>446.84831940109251</v>
      </c>
      <c r="BH181" s="62">
        <f t="shared" si="116"/>
        <v>740.18165273442582</v>
      </c>
      <c r="BI181" s="62">
        <f ca="1">AVERAGE(OFFSET($BH$3,0,0,'Données projet'!$E$11+1,1))-AVERAGE(OFFSET($H$3,0,0,'Données projet'!$E$11+1,1))</f>
        <v>146.25807703055079</v>
      </c>
      <c r="BJ181" s="62">
        <f t="shared" si="146"/>
        <v>177.40137940534413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0.50799933458674007</v>
      </c>
      <c r="BQ181" s="23">
        <f>EXP(-LN(2)/25)*BQ180+(1-EXP(-LN(2)/25))/(LN(2)/25)*Calculateur!BL181*Calculateur!BN181*VLOOKUP('Données projet'!$B$11,Paramètres!$A$1:$I$89,3,0)*0.475*44/12</f>
        <v>0.16112902715995614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0.66912836174669621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760.1400000000001</v>
      </c>
      <c r="BZ181" s="14">
        <f>BY181*VLOOKUP('Données projet'!$B$12,Paramètres!$A$1:$I$89,3,0)*VLOOKUP('Données projet'!$B$12,Paramètres!$A$1:$I$89,5,0)</f>
        <v>355.74552000000006</v>
      </c>
      <c r="CA181" s="14">
        <f t="shared" si="170"/>
        <v>82.744450026504168</v>
      </c>
      <c r="CB181" s="22">
        <f t="shared" si="171"/>
        <v>763.70336446282818</v>
      </c>
      <c r="CC181" s="62">
        <f t="shared" si="119"/>
        <v>1057.0366977961614</v>
      </c>
      <c r="CD181" s="62">
        <f ca="1">AVERAGE(OFFSET($CC$3,0,0,'Données projet'!$E$12+1,1))-AVERAGE(OFFSET($H$3,0,0,'Données projet'!$E$12+1,1))</f>
        <v>287.12723448949828</v>
      </c>
      <c r="CE181" s="62">
        <f t="shared" si="148"/>
        <v>170.5203352323382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0.6165916821157752</v>
      </c>
      <c r="CL181" s="23">
        <f>EXP(-LN(2)/25)*CL180+(1-EXP(-LN(2)/25))/(LN(2)/25)*Calculateur!CG181*Calculateur!CI181*VLOOKUP('Données projet'!$B$12,Paramètres!$A$1:$I$89,3,0)*0.475*44/12</f>
        <v>1.5237632110695438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2.1403548931853189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477.12000000000097</v>
      </c>
      <c r="CU181" s="18">
        <f>CT181*VLOOKUP('Données projet'!$B$13,Paramètres!$A$1:$I$89,3,0)*VLOOKUP('Données projet'!$B$13,Paramètres!$A$1:$I$89,5,0)</f>
        <v>461.47046400000096</v>
      </c>
      <c r="CV181" s="14">
        <f t="shared" si="173"/>
        <v>104.13329806929862</v>
      </c>
      <c r="CW181" s="22">
        <f t="shared" si="174"/>
        <v>985.09321893736342</v>
      </c>
      <c r="CX181" s="62">
        <f t="shared" si="122"/>
        <v>1278.4265522706967</v>
      </c>
      <c r="CY181" s="62">
        <f ca="1">AVERAGE(OFFSET($CX$3,0,0,'Données projet'!$E$13+1,1))-AVERAGE(OFFSET($H$3,0,0,'Données projet'!$E$13+1,1))</f>
        <v>467.37715054082025</v>
      </c>
      <c r="CZ181" s="62">
        <f t="shared" si="150"/>
        <v>443.35096563136415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0.53765552180238441</v>
      </c>
      <c r="DG181" s="23">
        <f>EXP(-LN(2)/25)*DG180+(1-EXP(-LN(2)/25))/(LN(2)/25)*Calculateur!DB181*Calculateur!DD181*VLOOKUP('Données projet'!$B$13,Paramètres!$A$1:$I$89,3,0)*0.475*44/12</f>
        <v>0.2416468234467514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0.77930234524913577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477.12000000000097</v>
      </c>
      <c r="DP181" s="18">
        <f>DO181*VLOOKUP('Données projet'!$B$14,Paramètres!$A$1:$I$89,3,0)*VLOOKUP('Données projet'!$B$14,Paramètres!$A$1:$I$89,5,0)</f>
        <v>513.57196800000099</v>
      </c>
      <c r="DQ181" s="14">
        <f t="shared" si="176"/>
        <v>114.45621584436451</v>
      </c>
      <c r="DR181" s="22">
        <f t="shared" si="177"/>
        <v>1093.8157535289363</v>
      </c>
      <c r="DS181" s="62">
        <f t="shared" si="125"/>
        <v>1387.1490868622695</v>
      </c>
      <c r="DT181" s="62">
        <f ca="1">AVERAGE(OFFSET($DS$3,0,0,'Données projet'!$E$14+1,1))-AVERAGE(OFFSET($H$3,0,0,'Données projet'!$E$14+1,1))</f>
        <v>524.51242549438939</v>
      </c>
      <c r="DU181" s="62">
        <f t="shared" si="152"/>
        <v>494.88778446576327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0.59835856458652359</v>
      </c>
      <c r="EB181" s="23">
        <f>EXP(-LN(2)/25)*EB180+(1-EXP(-LN(2)/25))/(LN(2)/25)*Calculateur!DW181*Calculateur!DY181*VLOOKUP('Données projet'!$B$14,Paramètres!$A$1:$I$89,3,0)*0.475*44/12</f>
        <v>0.26892952931977165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0.86728809390629524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604.6888125030207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256.51999999999981</v>
      </c>
      <c r="O182" s="14">
        <f>N182*VLOOKUP('Données projet'!$B$9,Paramètres!$A$1:$I$89,3,0)*VLOOKUP('Données projet'!$B$9,Paramètres!$A$1:$I$89,5,0)</f>
        <v>232.09929599999984</v>
      </c>
      <c r="P182" s="14">
        <f t="shared" si="141"/>
        <v>56.736358096348383</v>
      </c>
      <c r="Q182" s="22">
        <f t="shared" si="162"/>
        <v>503.0554308844732</v>
      </c>
      <c r="R182" s="62">
        <f t="shared" si="109"/>
        <v>796.38876421780651</v>
      </c>
      <c r="S182" s="62">
        <f ca="1">AVERAGE(OFFSET($R$3,0,0,'Données projet'!$E$9+1,1))-AVERAGE(OFFSET($H$3,0,0,'Données projet'!$E$9+1,1))</f>
        <v>299.17641394512162</v>
      </c>
      <c r="T182" s="62">
        <f t="shared" si="142"/>
        <v>180.73046320039873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7.2860426658285933</v>
      </c>
      <c r="AA182" s="23">
        <f>EXP(-LN(2)/25)*AA181+(1-EXP(-LN(2)/25))/(LN(2)/25)*Calculateur!V182*Calculateur!X182*VLOOKUP('Données projet'!$B$9,Paramètres!$A$1:$I$89,3,0)*0.475*44/12</f>
        <v>4.444379629220828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11.730422295049422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361.20999999999862</v>
      </c>
      <c r="AJ182" s="14">
        <f>AI182*VLOOKUP('Données projet'!$B$10,Paramètres!$A$1:$I$89,3,0)*VLOOKUP('Données projet'!$B$10,Paramètres!$A$1:$I$89,5,0)</f>
        <v>366.26693999999861</v>
      </c>
      <c r="AK182" s="14">
        <f t="shared" si="164"/>
        <v>84.903135734816331</v>
      </c>
      <c r="AL182" s="22">
        <f t="shared" si="165"/>
        <v>785.7878819048027</v>
      </c>
      <c r="AM182" s="62">
        <f t="shared" si="113"/>
        <v>1079.1212152381361</v>
      </c>
      <c r="AN182" s="62">
        <f ca="1">AVERAGE(OFFSET($AM$3,0,0,'Données projet'!$E$10+1,1))-AVERAGE(OFFSET($H$3,0,0,'Données projet'!$E$10+1,1))</f>
        <v>384.66322295929552</v>
      </c>
      <c r="AO182" s="62">
        <f t="shared" si="144"/>
        <v>248.53970183513286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7.9282737618579224</v>
      </c>
      <c r="AV182" s="23">
        <f>EXP(-LN(2)/25)*AV181+(1-EXP(-LN(2)/25))/(LN(2)/25)*Calculateur!AQ182*Calculateur!AS182*VLOOKUP('Données projet'!$B$10,Paramètres!$A$1:$I$89,3,0)*0.475*44/12</f>
        <v>4.7894863385764825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12.717760100434404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343.79999999999995</v>
      </c>
      <c r="BE182" s="14">
        <f>BD182*VLOOKUP('Données projet'!$B$11,Paramètres!$A$1:$I$89,3,0)*VLOOKUP('Données projet'!$B$11,Paramètres!$A$1:$I$89,5,0)</f>
        <v>205.5924</v>
      </c>
      <c r="BF182" s="14">
        <f t="shared" si="167"/>
        <v>50.971228364263673</v>
      </c>
      <c r="BG182" s="22">
        <f t="shared" si="168"/>
        <v>446.84831940109251</v>
      </c>
      <c r="BH182" s="62">
        <f t="shared" si="116"/>
        <v>740.18165273442582</v>
      </c>
      <c r="BI182" s="62">
        <f ca="1">AVERAGE(OFFSET($BH$3,0,0,'Données projet'!$E$11+1,1))-AVERAGE(OFFSET($H$3,0,0,'Données projet'!$E$11+1,1))</f>
        <v>146.25807703055079</v>
      </c>
      <c r="BJ182" s="62">
        <f t="shared" si="146"/>
        <v>177.40137940534413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0.49803777748449313</v>
      </c>
      <c r="BQ182" s="23">
        <f>EXP(-LN(2)/25)*BQ181+(1-EXP(-LN(2)/25))/(LN(2)/25)*Calculateur!BL182*Calculateur!BN182*VLOOKUP('Données projet'!$B$11,Paramètres!$A$1:$I$89,3,0)*0.475*44/12</f>
        <v>0.15672294543885987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0.65476072292335297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760.1400000000001</v>
      </c>
      <c r="BZ182" s="14">
        <f>BY182*VLOOKUP('Données projet'!$B$12,Paramètres!$A$1:$I$89,3,0)*VLOOKUP('Données projet'!$B$12,Paramètres!$A$1:$I$89,5,0)</f>
        <v>355.74552000000006</v>
      </c>
      <c r="CA182" s="14">
        <f t="shared" si="170"/>
        <v>82.744450026504168</v>
      </c>
      <c r="CB182" s="22">
        <f t="shared" si="171"/>
        <v>763.70336446282818</v>
      </c>
      <c r="CC182" s="62">
        <f t="shared" si="119"/>
        <v>1057.0366977961614</v>
      </c>
      <c r="CD182" s="62">
        <f ca="1">AVERAGE(OFFSET($CC$3,0,0,'Données projet'!$E$12+1,1))-AVERAGE(OFFSET($H$3,0,0,'Données projet'!$E$12+1,1))</f>
        <v>287.12723448949828</v>
      </c>
      <c r="CE182" s="62">
        <f t="shared" si="148"/>
        <v>170.5203352323382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0.60450069531327577</v>
      </c>
      <c r="CL182" s="23">
        <f>EXP(-LN(2)/25)*CL181+(1-EXP(-LN(2)/25))/(LN(2)/25)*Calculateur!CG182*Calculateur!CI182*VLOOKUP('Données projet'!$B$12,Paramètres!$A$1:$I$89,3,0)*0.475*44/12</f>
        <v>1.4820958259316226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2.0865965212448985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477.12000000000097</v>
      </c>
      <c r="CU182" s="18">
        <f>CT182*VLOOKUP('Données projet'!$B$13,Paramètres!$A$1:$I$89,3,0)*VLOOKUP('Données projet'!$B$13,Paramètres!$A$1:$I$89,5,0)</f>
        <v>461.47046400000096</v>
      </c>
      <c r="CV182" s="14">
        <f t="shared" si="173"/>
        <v>104.13329806929862</v>
      </c>
      <c r="CW182" s="22">
        <f t="shared" si="174"/>
        <v>985.09321893736342</v>
      </c>
      <c r="CX182" s="62">
        <f t="shared" si="122"/>
        <v>1278.4265522706967</v>
      </c>
      <c r="CY182" s="62">
        <f ca="1">AVERAGE(OFFSET($CX$3,0,0,'Données projet'!$E$13+1,1))-AVERAGE(OFFSET($H$3,0,0,'Données projet'!$E$13+1,1))</f>
        <v>467.37715054082025</v>
      </c>
      <c r="CZ182" s="62">
        <f t="shared" si="150"/>
        <v>443.35096563136415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0.5271124249573268</v>
      </c>
      <c r="DG182" s="23">
        <f>EXP(-LN(2)/25)*DG181+(1-EXP(-LN(2)/25))/(LN(2)/25)*Calculateur!DB182*Calculateur!DD182*VLOOKUP('Données projet'!$B$13,Paramètres!$A$1:$I$89,3,0)*0.475*44/12</f>
        <v>0.23503897835194582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0.76215140330927267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477.12000000000097</v>
      </c>
      <c r="DP182" s="18">
        <f>DO182*VLOOKUP('Données projet'!$B$14,Paramètres!$A$1:$I$89,3,0)*VLOOKUP('Données projet'!$B$14,Paramètres!$A$1:$I$89,5,0)</f>
        <v>513.57196800000099</v>
      </c>
      <c r="DQ182" s="14">
        <f t="shared" si="176"/>
        <v>114.45621584436451</v>
      </c>
      <c r="DR182" s="22">
        <f t="shared" si="177"/>
        <v>1093.8157535289363</v>
      </c>
      <c r="DS182" s="62">
        <f t="shared" si="125"/>
        <v>1387.1490868622695</v>
      </c>
      <c r="DT182" s="62">
        <f ca="1">AVERAGE(OFFSET($DS$3,0,0,'Données projet'!$E$14+1,1))-AVERAGE(OFFSET($H$3,0,0,'Données projet'!$E$14+1,1))</f>
        <v>524.51242549438939</v>
      </c>
      <c r="DU182" s="62">
        <f t="shared" si="152"/>
        <v>494.88778446576327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0.58662511809766915</v>
      </c>
      <c r="EB182" s="23">
        <f>EXP(-LN(2)/25)*EB181+(1-EXP(-LN(2)/25))/(LN(2)/25)*Calculateur!DW182*Calculateur!DY182*VLOOKUP('Données projet'!$B$14,Paramètres!$A$1:$I$89,3,0)*0.475*44/12</f>
        <v>0.2615756371981332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0.84820075529580241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606.58691280085009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256.51999999999981</v>
      </c>
      <c r="O183" s="14">
        <f>N183*VLOOKUP('Données projet'!$B$9,Paramètres!$A$1:$I$89,3,0)*VLOOKUP('Données projet'!$B$9,Paramètres!$A$1:$I$89,5,0)</f>
        <v>232.09929599999984</v>
      </c>
      <c r="P183" s="14">
        <f t="shared" si="141"/>
        <v>56.736358096348383</v>
      </c>
      <c r="Q183" s="22">
        <f t="shared" si="162"/>
        <v>503.0554308844732</v>
      </c>
      <c r="R183" s="62">
        <f t="shared" si="109"/>
        <v>796.38876421780651</v>
      </c>
      <c r="S183" s="62">
        <f ca="1">AVERAGE(OFFSET($R$3,0,0,'Données projet'!$E$9+1,1))-AVERAGE(OFFSET($H$3,0,0,'Données projet'!$E$9+1,1))</f>
        <v>299.17641394512162</v>
      </c>
      <c r="T183" s="62">
        <f t="shared" si="142"/>
        <v>180.73046320039873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7.1431678131989074</v>
      </c>
      <c r="AA183" s="23">
        <f>EXP(-LN(2)/25)*AA182+(1-EXP(-LN(2)/25))/(LN(2)/25)*Calculateur!V183*Calculateur!X183*VLOOKUP('Données projet'!$B$9,Paramètres!$A$1:$I$89,3,0)*0.475*44/12</f>
        <v>4.3228478345400179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11.466015647738924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361.20999999999862</v>
      </c>
      <c r="AJ183" s="14">
        <f>AI183*VLOOKUP('Données projet'!$B$10,Paramètres!$A$1:$I$89,3,0)*VLOOKUP('Données projet'!$B$10,Paramètres!$A$1:$I$89,5,0)</f>
        <v>366.26693999999861</v>
      </c>
      <c r="AK183" s="14">
        <f t="shared" si="164"/>
        <v>84.903135734816331</v>
      </c>
      <c r="AL183" s="22">
        <f t="shared" si="165"/>
        <v>785.7878819048027</v>
      </c>
      <c r="AM183" s="62">
        <f t="shared" si="113"/>
        <v>1079.1212152381361</v>
      </c>
      <c r="AN183" s="62">
        <f ca="1">AVERAGE(OFFSET($AM$3,0,0,'Données projet'!$E$10+1,1))-AVERAGE(OFFSET($H$3,0,0,'Données projet'!$E$10+1,1))</f>
        <v>384.66322295929552</v>
      </c>
      <c r="AO183" s="62">
        <f t="shared" si="144"/>
        <v>248.53970183513286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7.7728051491573904</v>
      </c>
      <c r="AV183" s="23">
        <f>EXP(-LN(2)/25)*AV182+(1-EXP(-LN(2)/25))/(LN(2)/25)*Calculateur!AQ183*Calculateur!AS183*VLOOKUP('Données projet'!$B$10,Paramètres!$A$1:$I$89,3,0)*0.475*44/12</f>
        <v>4.658517582779969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12.43132273193736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343.79999999999995</v>
      </c>
      <c r="BE183" s="14">
        <f>BD183*VLOOKUP('Données projet'!$B$11,Paramètres!$A$1:$I$89,3,0)*VLOOKUP('Données projet'!$B$11,Paramètres!$A$1:$I$89,5,0)</f>
        <v>205.5924</v>
      </c>
      <c r="BF183" s="14">
        <f t="shared" si="167"/>
        <v>50.971228364263673</v>
      </c>
      <c r="BG183" s="22">
        <f t="shared" si="168"/>
        <v>446.84831940109251</v>
      </c>
      <c r="BH183" s="62">
        <f t="shared" si="116"/>
        <v>740.18165273442582</v>
      </c>
      <c r="BI183" s="62">
        <f ca="1">AVERAGE(OFFSET($BH$3,0,0,'Données projet'!$E$11+1,1))-AVERAGE(OFFSET($H$3,0,0,'Données projet'!$E$11+1,1))</f>
        <v>146.25807703055079</v>
      </c>
      <c r="BJ183" s="62">
        <f t="shared" si="146"/>
        <v>177.40137940534413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0.48827156044107139</v>
      </c>
      <c r="BQ183" s="23">
        <f>EXP(-LN(2)/25)*BQ182+(1-EXP(-LN(2)/25))/(LN(2)/25)*Calculateur!BL183*Calculateur!BN183*VLOOKUP('Données projet'!$B$11,Paramètres!$A$1:$I$89,3,0)*0.475*44/12</f>
        <v>0.15243734825413274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0.64070890869520414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760.1400000000001</v>
      </c>
      <c r="BZ183" s="14">
        <f>BY183*VLOOKUP('Données projet'!$B$12,Paramètres!$A$1:$I$89,3,0)*VLOOKUP('Données projet'!$B$12,Paramètres!$A$1:$I$89,5,0)</f>
        <v>355.74552000000006</v>
      </c>
      <c r="CA183" s="14">
        <f t="shared" si="170"/>
        <v>82.744450026504168</v>
      </c>
      <c r="CB183" s="22">
        <f t="shared" si="171"/>
        <v>763.70336446282818</v>
      </c>
      <c r="CC183" s="62">
        <f t="shared" si="119"/>
        <v>1057.0366977961614</v>
      </c>
      <c r="CD183" s="62">
        <f ca="1">AVERAGE(OFFSET($CC$3,0,0,'Données projet'!$E$12+1,1))-AVERAGE(OFFSET($H$3,0,0,'Données projet'!$E$12+1,1))</f>
        <v>287.12723448949828</v>
      </c>
      <c r="CE183" s="62">
        <f t="shared" si="148"/>
        <v>170.5203352323382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0.5926468053871996</v>
      </c>
      <c r="CL183" s="23">
        <f>EXP(-LN(2)/25)*CL182+(1-EXP(-LN(2)/25))/(LN(2)/25)*Calculateur!CG183*Calculateur!CI183*VLOOKUP('Données projet'!$B$12,Paramètres!$A$1:$I$89,3,0)*0.475*44/12</f>
        <v>1.4415678376314902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2.0342146430186898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477.12000000000097</v>
      </c>
      <c r="CU183" s="18">
        <f>CT183*VLOOKUP('Données projet'!$B$13,Paramètres!$A$1:$I$89,3,0)*VLOOKUP('Données projet'!$B$13,Paramètres!$A$1:$I$89,5,0)</f>
        <v>461.47046400000096</v>
      </c>
      <c r="CV183" s="14">
        <f t="shared" si="173"/>
        <v>104.13329806929862</v>
      </c>
      <c r="CW183" s="22">
        <f t="shared" si="174"/>
        <v>985.09321893736342</v>
      </c>
      <c r="CX183" s="62">
        <f t="shared" si="122"/>
        <v>1278.4265522706967</v>
      </c>
      <c r="CY183" s="62">
        <f ca="1">AVERAGE(OFFSET($CX$3,0,0,'Données projet'!$E$13+1,1))-AVERAGE(OFFSET($H$3,0,0,'Données projet'!$E$13+1,1))</f>
        <v>467.37715054082025</v>
      </c>
      <c r="CZ183" s="62">
        <f t="shared" si="150"/>
        <v>443.35096563136415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0.5167760718107467</v>
      </c>
      <c r="DG183" s="23">
        <f>EXP(-LN(2)/25)*DG182+(1-EXP(-LN(2)/25))/(LN(2)/25)*Calculateur!DB183*Calculateur!DD183*VLOOKUP('Données projet'!$B$13,Paramètres!$A$1:$I$89,3,0)*0.475*44/12</f>
        <v>0.22861182512874917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0.74538789693949581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477.12000000000097</v>
      </c>
      <c r="DP183" s="18">
        <f>DO183*VLOOKUP('Données projet'!$B$14,Paramètres!$A$1:$I$89,3,0)*VLOOKUP('Données projet'!$B$14,Paramètres!$A$1:$I$89,5,0)</f>
        <v>513.57196800000099</v>
      </c>
      <c r="DQ183" s="14">
        <f t="shared" si="176"/>
        <v>114.45621584436451</v>
      </c>
      <c r="DR183" s="22">
        <f t="shared" si="177"/>
        <v>1093.8157535289363</v>
      </c>
      <c r="DS183" s="62">
        <f t="shared" si="125"/>
        <v>1387.1490868622695</v>
      </c>
      <c r="DT183" s="62">
        <f ca="1">AVERAGE(OFFSET($DS$3,0,0,'Données projet'!$E$14+1,1))-AVERAGE(OFFSET($H$3,0,0,'Données projet'!$E$14+1,1))</f>
        <v>524.51242549438939</v>
      </c>
      <c r="DU183" s="62">
        <f t="shared" si="152"/>
        <v>494.88778446576327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0.57512175733776549</v>
      </c>
      <c r="EB183" s="23">
        <f>EXP(-LN(2)/25)*EB182+(1-EXP(-LN(2)/25))/(LN(2)/25)*Calculateur!DW183*Calculateur!DY183*VLOOKUP('Données projet'!$B$14,Paramètres!$A$1:$I$89,3,0)*0.475*44/12</f>
        <v>0.25442283764328533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0.82954459498105082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608.48478721849972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256.51999999999981</v>
      </c>
      <c r="O184" s="14">
        <f>N184*VLOOKUP('Données projet'!$B$9,Paramètres!$A$1:$I$89,3,0)*VLOOKUP('Données projet'!$B$9,Paramètres!$A$1:$I$89,5,0)</f>
        <v>232.09929599999984</v>
      </c>
      <c r="P184" s="14">
        <f t="shared" si="141"/>
        <v>56.736358096348383</v>
      </c>
      <c r="Q184" s="22">
        <f t="shared" si="162"/>
        <v>503.0554308844732</v>
      </c>
      <c r="R184" s="62">
        <f t="shared" si="109"/>
        <v>796.38876421780651</v>
      </c>
      <c r="S184" s="62">
        <f ca="1">AVERAGE(OFFSET($R$3,0,0,'Données projet'!$E$9+1,1))-AVERAGE(OFFSET($H$3,0,0,'Données projet'!$E$9+1,1))</f>
        <v>299.17641394512162</v>
      </c>
      <c r="T184" s="62">
        <f t="shared" si="142"/>
        <v>180.73046320039873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7.0030946492842343</v>
      </c>
      <c r="AA184" s="23">
        <f>EXP(-LN(2)/25)*AA183+(1-EXP(-LN(2)/25))/(LN(2)/25)*Calculateur!V184*Calculateur!X184*VLOOKUP('Données projet'!$B$9,Paramètres!$A$1:$I$89,3,0)*0.475*44/12</f>
        <v>4.2046393331758338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11.207733982460068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361.20999999999862</v>
      </c>
      <c r="AJ184" s="14">
        <f>AI184*VLOOKUP('Données projet'!$B$10,Paramètres!$A$1:$I$89,3,0)*VLOOKUP('Données projet'!$B$10,Paramètres!$A$1:$I$89,5,0)</f>
        <v>366.26693999999861</v>
      </c>
      <c r="AK184" s="14">
        <f t="shared" si="164"/>
        <v>84.903135734816331</v>
      </c>
      <c r="AL184" s="22">
        <f t="shared" si="165"/>
        <v>785.7878819048027</v>
      </c>
      <c r="AM184" s="62">
        <f t="shared" si="113"/>
        <v>1079.1212152381361</v>
      </c>
      <c r="AN184" s="62">
        <f ca="1">AVERAGE(OFFSET($AM$3,0,0,'Données projet'!$E$10+1,1))-AVERAGE(OFFSET($H$3,0,0,'Données projet'!$E$10+1,1))</f>
        <v>384.66322295929552</v>
      </c>
      <c r="AO184" s="62">
        <f t="shared" si="144"/>
        <v>248.53970183513286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7.6203851811254255</v>
      </c>
      <c r="AV184" s="23">
        <f>EXP(-LN(2)/25)*AV183+(1-EXP(-LN(2)/25))/(LN(2)/25)*Calculateur!AQ184*Calculateur!AS184*VLOOKUP('Données projet'!$B$10,Paramètres!$A$1:$I$89,3,0)*0.475*44/12</f>
        <v>4.5311301744980579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12.151515355623484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343.79999999999995</v>
      </c>
      <c r="BE184" s="14">
        <f>BD184*VLOOKUP('Données projet'!$B$11,Paramètres!$A$1:$I$89,3,0)*VLOOKUP('Données projet'!$B$11,Paramètres!$A$1:$I$89,5,0)</f>
        <v>205.5924</v>
      </c>
      <c r="BF184" s="14">
        <f t="shared" si="167"/>
        <v>50.971228364263673</v>
      </c>
      <c r="BG184" s="22">
        <f t="shared" si="168"/>
        <v>446.84831940109251</v>
      </c>
      <c r="BH184" s="62">
        <f t="shared" si="116"/>
        <v>740.18165273442582</v>
      </c>
      <c r="BI184" s="62">
        <f ca="1">AVERAGE(OFFSET($BH$3,0,0,'Données projet'!$E$11+1,1))-AVERAGE(OFFSET($H$3,0,0,'Données projet'!$E$11+1,1))</f>
        <v>146.25807703055079</v>
      </c>
      <c r="BJ184" s="62">
        <f t="shared" si="146"/>
        <v>177.40137940534413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0.47869685295706693</v>
      </c>
      <c r="BQ184" s="23">
        <f>EXP(-LN(2)/25)*BQ183+(1-EXP(-LN(2)/25))/(LN(2)/25)*Calculateur!BL184*Calculateur!BN184*VLOOKUP('Données projet'!$B$11,Paramètres!$A$1:$I$89,3,0)*0.475*44/12</f>
        <v>0.14826894094979173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0.62696579390685869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760.1400000000001</v>
      </c>
      <c r="BZ184" s="14">
        <f>BY184*VLOOKUP('Données projet'!$B$12,Paramètres!$A$1:$I$89,3,0)*VLOOKUP('Données projet'!$B$12,Paramètres!$A$1:$I$89,5,0)</f>
        <v>355.74552000000006</v>
      </c>
      <c r="CA184" s="14">
        <f t="shared" si="170"/>
        <v>82.744450026504168</v>
      </c>
      <c r="CB184" s="22">
        <f t="shared" si="171"/>
        <v>763.70336446282818</v>
      </c>
      <c r="CC184" s="62">
        <f t="shared" si="119"/>
        <v>1057.0366977961614</v>
      </c>
      <c r="CD184" s="62">
        <f ca="1">AVERAGE(OFFSET($CC$3,0,0,'Données projet'!$E$12+1,1))-AVERAGE(OFFSET($H$3,0,0,'Données projet'!$E$12+1,1))</f>
        <v>287.12723448949828</v>
      </c>
      <c r="CE184" s="62">
        <f t="shared" si="148"/>
        <v>170.5203352323382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0.58102536301241481</v>
      </c>
      <c r="CL184" s="23">
        <f>EXP(-LN(2)/25)*CL183+(1-EXP(-LN(2)/25))/(LN(2)/25)*Calculateur!CG184*Calculateur!CI184*VLOOKUP('Données projet'!$B$12,Paramètres!$A$1:$I$89,3,0)*0.475*44/12</f>
        <v>1.4021480893026992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1.9831734523151141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477.12000000000097</v>
      </c>
      <c r="CU184" s="18">
        <f>CT184*VLOOKUP('Données projet'!$B$13,Paramètres!$A$1:$I$89,3,0)*VLOOKUP('Données projet'!$B$13,Paramètres!$A$1:$I$89,5,0)</f>
        <v>461.47046400000096</v>
      </c>
      <c r="CV184" s="14">
        <f t="shared" si="173"/>
        <v>104.13329806929862</v>
      </c>
      <c r="CW184" s="22">
        <f t="shared" si="174"/>
        <v>985.09321893736342</v>
      </c>
      <c r="CX184" s="62">
        <f t="shared" si="122"/>
        <v>1278.4265522706967</v>
      </c>
      <c r="CY184" s="62">
        <f ca="1">AVERAGE(OFFSET($CX$3,0,0,'Données projet'!$E$13+1,1))-AVERAGE(OFFSET($H$3,0,0,'Données projet'!$E$13+1,1))</f>
        <v>467.37715054082025</v>
      </c>
      <c r="CZ184" s="62">
        <f t="shared" si="150"/>
        <v>443.35096563136415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0.5066424082448181</v>
      </c>
      <c r="DG184" s="23">
        <f>EXP(-LN(2)/25)*DG183+(1-EXP(-LN(2)/25))/(LN(2)/25)*Calculateur!DB184*Calculateur!DD184*VLOOKUP('Données projet'!$B$13,Paramètres!$A$1:$I$89,3,0)*0.475*44/12</f>
        <v>0.22236042274843013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0.72900283099324825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477.12000000000097</v>
      </c>
      <c r="DP184" s="18">
        <f>DO184*VLOOKUP('Données projet'!$B$14,Paramètres!$A$1:$I$89,3,0)*VLOOKUP('Données projet'!$B$14,Paramètres!$A$1:$I$89,5,0)</f>
        <v>513.57196800000099</v>
      </c>
      <c r="DQ184" s="14">
        <f t="shared" si="176"/>
        <v>114.45621584436451</v>
      </c>
      <c r="DR184" s="22">
        <f t="shared" si="177"/>
        <v>1093.8157535289363</v>
      </c>
      <c r="DS184" s="62">
        <f t="shared" si="125"/>
        <v>1387.1490868622695</v>
      </c>
      <c r="DT184" s="62">
        <f ca="1">AVERAGE(OFFSET($DS$3,0,0,'Données projet'!$E$14+1,1))-AVERAGE(OFFSET($H$3,0,0,'Données projet'!$E$14+1,1))</f>
        <v>524.51242549438939</v>
      </c>
      <c r="DU184" s="62">
        <f t="shared" si="152"/>
        <v>494.88778446576327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0.56384397046600632</v>
      </c>
      <c r="EB184" s="23">
        <f>EXP(-LN(2)/25)*EB183+(1-EXP(-LN(2)/25))/(LN(2)/25)*Calculateur!DW184*Calculateur!DY184*VLOOKUP('Données projet'!$B$14,Paramètres!$A$1:$I$89,3,0)*0.475*44/12</f>
        <v>0.24746563176841416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0.8113096022344205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610.38243714875489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256.51999999999981</v>
      </c>
      <c r="O185" s="14">
        <f>N185*VLOOKUP('Données projet'!$B$9,Paramètres!$A$1:$I$89,3,0)*VLOOKUP('Données projet'!$B$9,Paramètres!$A$1:$I$89,5,0)</f>
        <v>232.09929599999984</v>
      </c>
      <c r="P185" s="14">
        <f t="shared" si="141"/>
        <v>56.736358096348383</v>
      </c>
      <c r="Q185" s="22">
        <f t="shared" si="162"/>
        <v>503.0554308844732</v>
      </c>
      <c r="R185" s="62">
        <f t="shared" si="109"/>
        <v>796.38876421780651</v>
      </c>
      <c r="S185" s="62">
        <f ca="1">AVERAGE(OFFSET($R$3,0,0,'Données projet'!$E$9+1,1))-AVERAGE(OFFSET($H$3,0,0,'Données projet'!$E$9+1,1))</f>
        <v>299.17641394512162</v>
      </c>
      <c r="T185" s="62">
        <f t="shared" si="142"/>
        <v>180.73046320039873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6.8657682346777342</v>
      </c>
      <c r="AA185" s="23">
        <f>EXP(-LN(2)/25)*AA184+(1-EXP(-LN(2)/25))/(LN(2)/25)*Calculateur!V185*Calculateur!X185*VLOOKUP('Données projet'!$B$9,Paramètres!$A$1:$I$89,3,0)*0.475*44/12</f>
        <v>4.089663249497768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10.955431484175502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361.20999999999862</v>
      </c>
      <c r="AJ185" s="14">
        <f>AI185*VLOOKUP('Données projet'!$B$10,Paramètres!$A$1:$I$89,3,0)*VLOOKUP('Données projet'!$B$10,Paramètres!$A$1:$I$89,5,0)</f>
        <v>366.26693999999861</v>
      </c>
      <c r="AK185" s="14">
        <f t="shared" si="164"/>
        <v>84.903135734816331</v>
      </c>
      <c r="AL185" s="22">
        <f t="shared" si="165"/>
        <v>785.7878819048027</v>
      </c>
      <c r="AM185" s="62">
        <f t="shared" si="113"/>
        <v>1079.1212152381361</v>
      </c>
      <c r="AN185" s="62">
        <f ca="1">AVERAGE(OFFSET($AM$3,0,0,'Données projet'!$E$10+1,1))-AVERAGE(OFFSET($H$3,0,0,'Données projet'!$E$10+1,1))</f>
        <v>384.66322295929552</v>
      </c>
      <c r="AO185" s="62">
        <f t="shared" si="144"/>
        <v>248.53970183513286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7.4709540756995665</v>
      </c>
      <c r="AV185" s="23">
        <f>EXP(-LN(2)/25)*AV184+(1-EXP(-LN(2)/25))/(LN(2)/25)*Calculateur!AQ185*Calculateur!AS185*VLOOKUP('Données projet'!$B$10,Paramètres!$A$1:$I$89,3,0)*0.475*44/12</f>
        <v>4.4072261815946288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11.878180257294195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343.79999999999995</v>
      </c>
      <c r="BE185" s="14">
        <f>BD185*VLOOKUP('Données projet'!$B$11,Paramètres!$A$1:$I$89,3,0)*VLOOKUP('Données projet'!$B$11,Paramètres!$A$1:$I$89,5,0)</f>
        <v>205.5924</v>
      </c>
      <c r="BF185" s="14">
        <f t="shared" si="167"/>
        <v>50.971228364263673</v>
      </c>
      <c r="BG185" s="22">
        <f t="shared" si="168"/>
        <v>446.84831940109251</v>
      </c>
      <c r="BH185" s="62">
        <f t="shared" si="116"/>
        <v>740.18165273442582</v>
      </c>
      <c r="BI185" s="62">
        <f ca="1">AVERAGE(OFFSET($BH$3,0,0,'Données projet'!$E$11+1,1))-AVERAGE(OFFSET($H$3,0,0,'Données projet'!$E$11+1,1))</f>
        <v>146.25807703055079</v>
      </c>
      <c r="BJ185" s="62">
        <f t="shared" si="146"/>
        <v>177.40137940534413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0.4693098996468289</v>
      </c>
      <c r="BQ185" s="23">
        <f>EXP(-LN(2)/25)*BQ184+(1-EXP(-LN(2)/25))/(LN(2)/25)*Calculateur!BL185*Calculateur!BN185*VLOOKUP('Données projet'!$B$11,Paramètres!$A$1:$I$89,3,0)*0.475*44/12</f>
        <v>0.14421451896239496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0.61352441860922391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760.1400000000001</v>
      </c>
      <c r="BZ185" s="14">
        <f>BY185*VLOOKUP('Données projet'!$B$12,Paramètres!$A$1:$I$89,3,0)*VLOOKUP('Données projet'!$B$12,Paramètres!$A$1:$I$89,5,0)</f>
        <v>355.74552000000006</v>
      </c>
      <c r="CA185" s="14">
        <f t="shared" si="170"/>
        <v>82.744450026504168</v>
      </c>
      <c r="CB185" s="22">
        <f t="shared" si="171"/>
        <v>763.70336446282818</v>
      </c>
      <c r="CC185" s="62">
        <f t="shared" si="119"/>
        <v>1057.0366977961614</v>
      </c>
      <c r="CD185" s="62">
        <f ca="1">AVERAGE(OFFSET($CC$3,0,0,'Données projet'!$E$12+1,1))-AVERAGE(OFFSET($H$3,0,0,'Données projet'!$E$12+1,1))</f>
        <v>287.12723448949828</v>
      </c>
      <c r="CE185" s="62">
        <f t="shared" si="148"/>
        <v>170.5203352323382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0.56963181003421959</v>
      </c>
      <c r="CL185" s="23">
        <f>EXP(-LN(2)/25)*CL184+(1-EXP(-LN(2)/25))/(LN(2)/25)*Calculateur!CG185*Calculateur!CI185*VLOOKUP('Données projet'!$B$12,Paramètres!$A$1:$I$89,3,0)*0.475*44/12</f>
        <v>1.3638062760649534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1.9334380860991729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477.12000000000097</v>
      </c>
      <c r="CU185" s="18">
        <f>CT185*VLOOKUP('Données projet'!$B$13,Paramètres!$A$1:$I$89,3,0)*VLOOKUP('Données projet'!$B$13,Paramètres!$A$1:$I$89,5,0)</f>
        <v>461.47046400000096</v>
      </c>
      <c r="CV185" s="14">
        <f t="shared" si="173"/>
        <v>104.13329806929862</v>
      </c>
      <c r="CW185" s="22">
        <f t="shared" si="174"/>
        <v>985.09321893736342</v>
      </c>
      <c r="CX185" s="62">
        <f t="shared" si="122"/>
        <v>1278.4265522706967</v>
      </c>
      <c r="CY185" s="62">
        <f ca="1">AVERAGE(OFFSET($CX$3,0,0,'Données projet'!$E$13+1,1))-AVERAGE(OFFSET($H$3,0,0,'Données projet'!$E$13+1,1))</f>
        <v>467.37715054082025</v>
      </c>
      <c r="CZ185" s="62">
        <f t="shared" si="150"/>
        <v>443.35096563136415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0.4967074596404929</v>
      </c>
      <c r="DG185" s="23">
        <f>EXP(-LN(2)/25)*DG184+(1-EXP(-LN(2)/25))/(LN(2)/25)*Calculateur!DB185*Calculateur!DD185*VLOOKUP('Données projet'!$B$13,Paramètres!$A$1:$I$89,3,0)*0.475*44/12</f>
        <v>0.21627996529494789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0.71298742493544076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477.12000000000097</v>
      </c>
      <c r="DP185" s="18">
        <f>DO185*VLOOKUP('Données projet'!$B$14,Paramètres!$A$1:$I$89,3,0)*VLOOKUP('Données projet'!$B$14,Paramètres!$A$1:$I$89,5,0)</f>
        <v>513.57196800000099</v>
      </c>
      <c r="DQ185" s="14">
        <f t="shared" si="176"/>
        <v>114.45621584436451</v>
      </c>
      <c r="DR185" s="22">
        <f t="shared" si="177"/>
        <v>1093.8157535289363</v>
      </c>
      <c r="DS185" s="62">
        <f t="shared" si="125"/>
        <v>1387.1490868622695</v>
      </c>
      <c r="DT185" s="62">
        <f ca="1">AVERAGE(OFFSET($DS$3,0,0,'Données projet'!$E$14+1,1))-AVERAGE(OFFSET($H$3,0,0,'Données projet'!$E$14+1,1))</f>
        <v>524.51242549438939</v>
      </c>
      <c r="DU185" s="62">
        <f t="shared" si="152"/>
        <v>494.88778446576327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0.55278733411603154</v>
      </c>
      <c r="EB185" s="23">
        <f>EXP(-LN(2)/25)*EB184+(1-EXP(-LN(2)/25))/(LN(2)/25)*Calculateur!DW185*Calculateur!DY185*VLOOKUP('Données projet'!$B$14,Paramètres!$A$1:$I$89,3,0)*0.475*44/12</f>
        <v>0.24069867105405487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0.79348600517008638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612.27986396820972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256.51999999999981</v>
      </c>
      <c r="O186" s="14">
        <f>N186*VLOOKUP('Données projet'!$B$9,Paramètres!$A$1:$I$89,3,0)*VLOOKUP('Données projet'!$B$9,Paramètres!$A$1:$I$89,5,0)</f>
        <v>232.09929599999984</v>
      </c>
      <c r="P186" s="14">
        <f t="shared" si="141"/>
        <v>56.736358096348383</v>
      </c>
      <c r="Q186" s="22">
        <f t="shared" si="162"/>
        <v>503.0554308844732</v>
      </c>
      <c r="R186" s="62">
        <f t="shared" si="109"/>
        <v>796.38876421780651</v>
      </c>
      <c r="S186" s="62">
        <f ca="1">AVERAGE(OFFSET($R$3,0,0,'Données projet'!$E$9+1,1))-AVERAGE(OFFSET($H$3,0,0,'Données projet'!$E$9+1,1))</f>
        <v>299.17641394512162</v>
      </c>
      <c r="T186" s="62">
        <f t="shared" si="142"/>
        <v>180.73046320039873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6.7311347073008259</v>
      </c>
      <c r="AA186" s="23">
        <f>EXP(-LN(2)/25)*AA185+(1-EXP(-LN(2)/25))/(LN(2)/25)*Calculateur!V186*Calculateur!X186*VLOOKUP('Données projet'!$B$9,Paramètres!$A$1:$I$89,3,0)*0.475*44/12</f>
        <v>3.9778311928742083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10.708965900175034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361.20999999999862</v>
      </c>
      <c r="AJ186" s="14">
        <f>AI186*VLOOKUP('Données projet'!$B$10,Paramètres!$A$1:$I$89,3,0)*VLOOKUP('Données projet'!$B$10,Paramètres!$A$1:$I$89,5,0)</f>
        <v>366.26693999999861</v>
      </c>
      <c r="AK186" s="14">
        <f t="shared" si="164"/>
        <v>84.903135734816331</v>
      </c>
      <c r="AL186" s="22">
        <f t="shared" si="165"/>
        <v>785.7878819048027</v>
      </c>
      <c r="AM186" s="62">
        <f t="shared" si="113"/>
        <v>1079.1212152381361</v>
      </c>
      <c r="AN186" s="62">
        <f ca="1">AVERAGE(OFFSET($AM$3,0,0,'Données projet'!$E$10+1,1))-AVERAGE(OFFSET($H$3,0,0,'Données projet'!$E$10+1,1))</f>
        <v>384.66322295929552</v>
      </c>
      <c r="AO186" s="62">
        <f t="shared" si="144"/>
        <v>248.53970183513286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7.3244532231071346</v>
      </c>
      <c r="AV186" s="23">
        <f>EXP(-LN(2)/25)*AV185+(1-EXP(-LN(2)/25))/(LN(2)/25)*Calculateur!AQ186*Calculateur!AS186*VLOOKUP('Données projet'!$B$10,Paramètres!$A$1:$I$89,3,0)*0.475*44/12</f>
        <v>4.2867103498929717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11.611163573000105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343.79999999999995</v>
      </c>
      <c r="BE186" s="14">
        <f>BD186*VLOOKUP('Données projet'!$B$11,Paramètres!$A$1:$I$89,3,0)*VLOOKUP('Données projet'!$B$11,Paramètres!$A$1:$I$89,5,0)</f>
        <v>205.5924</v>
      </c>
      <c r="BF186" s="14">
        <f t="shared" si="167"/>
        <v>50.971228364263673</v>
      </c>
      <c r="BG186" s="22">
        <f t="shared" si="168"/>
        <v>446.84831940109251</v>
      </c>
      <c r="BH186" s="62">
        <f t="shared" si="116"/>
        <v>740.18165273442582</v>
      </c>
      <c r="BI186" s="62">
        <f ca="1">AVERAGE(OFFSET($BH$3,0,0,'Données projet'!$E$11+1,1))-AVERAGE(OFFSET($H$3,0,0,'Données projet'!$E$11+1,1))</f>
        <v>146.25807703055079</v>
      </c>
      <c r="BJ186" s="62">
        <f t="shared" si="146"/>
        <v>177.40137940534413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0.46010701876552845</v>
      </c>
      <c r="BQ186" s="23">
        <f>EXP(-LN(2)/25)*BQ185+(1-EXP(-LN(2)/25))/(LN(2)/25)*Calculateur!BL186*Calculateur!BN186*VLOOKUP('Données projet'!$B$11,Paramètres!$A$1:$I$89,3,0)*0.475*44/12</f>
        <v>0.14027096535745631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0.60037798412298482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760.1400000000001</v>
      </c>
      <c r="BZ186" s="14">
        <f>BY186*VLOOKUP('Données projet'!$B$12,Paramètres!$A$1:$I$89,3,0)*VLOOKUP('Données projet'!$B$12,Paramètres!$A$1:$I$89,5,0)</f>
        <v>355.74552000000006</v>
      </c>
      <c r="CA186" s="14">
        <f t="shared" si="170"/>
        <v>82.744450026504168</v>
      </c>
      <c r="CB186" s="22">
        <f t="shared" si="171"/>
        <v>763.70336446282818</v>
      </c>
      <c r="CC186" s="62">
        <f t="shared" si="119"/>
        <v>1057.0366977961614</v>
      </c>
      <c r="CD186" s="62">
        <f ca="1">AVERAGE(OFFSET($CC$3,0,0,'Données projet'!$E$12+1,1))-AVERAGE(OFFSET($H$3,0,0,'Données projet'!$E$12+1,1))</f>
        <v>287.12723448949828</v>
      </c>
      <c r="CE186" s="62">
        <f t="shared" si="148"/>
        <v>170.5203352323382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0.55846167768054567</v>
      </c>
      <c r="CL186" s="23">
        <f>EXP(-LN(2)/25)*CL185+(1-EXP(-LN(2)/25))/(LN(2)/25)*Calculateur!CG186*Calculateur!CI186*VLOOKUP('Données projet'!$B$12,Paramètres!$A$1:$I$89,3,0)*0.475*44/12</f>
        <v>1.3265129217265021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1.8849745994070477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477.12000000000097</v>
      </c>
      <c r="CU186" s="18">
        <f>CT186*VLOOKUP('Données projet'!$B$13,Paramètres!$A$1:$I$89,3,0)*VLOOKUP('Données projet'!$B$13,Paramètres!$A$1:$I$89,5,0)</f>
        <v>461.47046400000096</v>
      </c>
      <c r="CV186" s="14">
        <f t="shared" si="173"/>
        <v>104.13329806929862</v>
      </c>
      <c r="CW186" s="22">
        <f t="shared" si="174"/>
        <v>985.09321893736342</v>
      </c>
      <c r="CX186" s="62">
        <f t="shared" si="122"/>
        <v>1278.4265522706967</v>
      </c>
      <c r="CY186" s="62">
        <f ca="1">AVERAGE(OFFSET($CX$3,0,0,'Données projet'!$E$13+1,1))-AVERAGE(OFFSET($H$3,0,0,'Données projet'!$E$13+1,1))</f>
        <v>467.37715054082025</v>
      </c>
      <c r="CZ186" s="62">
        <f t="shared" si="150"/>
        <v>443.35096563136415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0.48696732931857822</v>
      </c>
      <c r="DG186" s="23">
        <f>EXP(-LN(2)/25)*DG185+(1-EXP(-LN(2)/25))/(LN(2)/25)*Calculateur!DB186*Calculateur!DD186*VLOOKUP('Données projet'!$B$13,Paramètres!$A$1:$I$89,3,0)*0.475*44/12</f>
        <v>0.21036577827028849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0.69733310758886669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477.12000000000097</v>
      </c>
      <c r="DP186" s="18">
        <f>DO186*VLOOKUP('Données projet'!$B$14,Paramètres!$A$1:$I$89,3,0)*VLOOKUP('Données projet'!$B$14,Paramètres!$A$1:$I$89,5,0)</f>
        <v>513.57196800000099</v>
      </c>
      <c r="DQ186" s="14">
        <f t="shared" si="176"/>
        <v>114.45621584436451</v>
      </c>
      <c r="DR186" s="22">
        <f t="shared" si="177"/>
        <v>1093.8157535289363</v>
      </c>
      <c r="DS186" s="62">
        <f t="shared" si="125"/>
        <v>1387.1490868622695</v>
      </c>
      <c r="DT186" s="62">
        <f ca="1">AVERAGE(OFFSET($DS$3,0,0,'Données projet'!$E$14+1,1))-AVERAGE(OFFSET($H$3,0,0,'Données projet'!$E$14+1,1))</f>
        <v>524.51242549438939</v>
      </c>
      <c r="DU186" s="62">
        <f t="shared" si="152"/>
        <v>494.88778446576327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0.54194751166099753</v>
      </c>
      <c r="EB186" s="23">
        <f>EXP(-LN(2)/25)*EB185+(1-EXP(-LN(2)/25))/(LN(2)/25)*Calculateur!DW186*Calculateur!DY186*VLOOKUP('Données projet'!$B$14,Paramètres!$A$1:$I$89,3,0)*0.475*44/12</f>
        <v>0.23411675323628875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0.7760642648972863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614.17706903754288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256.51999999999981</v>
      </c>
      <c r="O187" s="14">
        <f>N187*VLOOKUP('Données projet'!$B$9,Paramètres!$A$1:$I$89,3,0)*VLOOKUP('Données projet'!$B$9,Paramètres!$A$1:$I$89,5,0)</f>
        <v>232.09929599999984</v>
      </c>
      <c r="P187" s="14">
        <f t="shared" si="141"/>
        <v>56.736358096348383</v>
      </c>
      <c r="Q187" s="22">
        <f t="shared" si="162"/>
        <v>503.0554308844732</v>
      </c>
      <c r="R187" s="62">
        <f t="shared" si="109"/>
        <v>796.38876421780651</v>
      </c>
      <c r="S187" s="62">
        <f ca="1">AVERAGE(OFFSET($R$3,0,0,'Données projet'!$E$9+1,1))-AVERAGE(OFFSET($H$3,0,0,'Données projet'!$E$9+1,1))</f>
        <v>299.17641394512162</v>
      </c>
      <c r="T187" s="62">
        <f t="shared" si="142"/>
        <v>180.73046320039873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6.5991412612774347</v>
      </c>
      <c r="AA187" s="23">
        <f>EXP(-LN(2)/25)*AA186+(1-EXP(-LN(2)/25))/(LN(2)/25)*Calculateur!V187*Calculateur!X187*VLOOKUP('Données projet'!$B$9,Paramètres!$A$1:$I$89,3,0)*0.475*44/12</f>
        <v>3.8690571897200119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10.468198450997447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361.20999999999862</v>
      </c>
      <c r="AJ187" s="14">
        <f>AI187*VLOOKUP('Données projet'!$B$10,Paramètres!$A$1:$I$89,3,0)*VLOOKUP('Données projet'!$B$10,Paramètres!$A$1:$I$89,5,0)</f>
        <v>366.26693999999861</v>
      </c>
      <c r="AK187" s="14">
        <f t="shared" si="164"/>
        <v>84.903135734816331</v>
      </c>
      <c r="AL187" s="22">
        <f t="shared" si="165"/>
        <v>785.7878819048027</v>
      </c>
      <c r="AM187" s="62">
        <f t="shared" si="113"/>
        <v>1079.1212152381361</v>
      </c>
      <c r="AN187" s="62">
        <f ca="1">AVERAGE(OFFSET($AM$3,0,0,'Données projet'!$E$10+1,1))-AVERAGE(OFFSET($H$3,0,0,'Données projet'!$E$10+1,1))</f>
        <v>384.66322295929552</v>
      </c>
      <c r="AO187" s="62">
        <f t="shared" si="144"/>
        <v>248.53970183513286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7.1808251628773432</v>
      </c>
      <c r="AV187" s="23">
        <f>EXP(-LN(2)/25)*AV186+(1-EXP(-LN(2)/25))/(LN(2)/25)*Calculateur!AQ187*Calculateur!AS187*VLOOKUP('Données projet'!$B$10,Paramètres!$A$1:$I$89,3,0)*0.475*44/12</f>
        <v>4.1694900299468483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11.350315192824191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343.79999999999995</v>
      </c>
      <c r="BE187" s="14">
        <f>BD187*VLOOKUP('Données projet'!$B$11,Paramètres!$A$1:$I$89,3,0)*VLOOKUP('Données projet'!$B$11,Paramètres!$A$1:$I$89,5,0)</f>
        <v>205.5924</v>
      </c>
      <c r="BF187" s="14">
        <f t="shared" si="167"/>
        <v>50.971228364263673</v>
      </c>
      <c r="BG187" s="22">
        <f t="shared" si="168"/>
        <v>446.84831940109251</v>
      </c>
      <c r="BH187" s="62">
        <f t="shared" si="116"/>
        <v>740.18165273442582</v>
      </c>
      <c r="BI187" s="62">
        <f ca="1">AVERAGE(OFFSET($BH$3,0,0,'Données projet'!$E$11+1,1))-AVERAGE(OFFSET($H$3,0,0,'Données projet'!$E$11+1,1))</f>
        <v>146.25807703055079</v>
      </c>
      <c r="BJ187" s="62">
        <f t="shared" si="146"/>
        <v>177.40137940534413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0.4510846007651072</v>
      </c>
      <c r="BQ187" s="23">
        <f>EXP(-LN(2)/25)*BQ186+(1-EXP(-LN(2)/25))/(LN(2)/25)*Calculateur!BL187*Calculateur!BN187*VLOOKUP('Données projet'!$B$11,Paramètres!$A$1:$I$89,3,0)*0.475*44/12</f>
        <v>0.13643524843322719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0.58751984919833444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760.1400000000001</v>
      </c>
      <c r="BZ187" s="14">
        <f>BY187*VLOOKUP('Données projet'!$B$12,Paramètres!$A$1:$I$89,3,0)*VLOOKUP('Données projet'!$B$12,Paramètres!$A$1:$I$89,5,0)</f>
        <v>355.74552000000006</v>
      </c>
      <c r="CA187" s="14">
        <f t="shared" si="170"/>
        <v>82.744450026504168</v>
      </c>
      <c r="CB187" s="22">
        <f t="shared" si="171"/>
        <v>763.70336446282818</v>
      </c>
      <c r="CC187" s="62">
        <f t="shared" si="119"/>
        <v>1057.0366977961614</v>
      </c>
      <c r="CD187" s="62">
        <f ca="1">AVERAGE(OFFSET($CC$3,0,0,'Données projet'!$E$12+1,1))-AVERAGE(OFFSET($H$3,0,0,'Données projet'!$E$12+1,1))</f>
        <v>287.12723448949828</v>
      </c>
      <c r="CE187" s="62">
        <f t="shared" si="148"/>
        <v>170.5203352323382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0.54751058480921933</v>
      </c>
      <c r="CL187" s="23">
        <f>EXP(-LN(2)/25)*CL186+(1-EXP(-LN(2)/25))/(LN(2)/25)*Calculateur!CG187*Calculateur!CI187*VLOOKUP('Données projet'!$B$12,Paramètres!$A$1:$I$89,3,0)*0.475*44/12</f>
        <v>1.2902393561236081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1.8377499409328273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477.12000000000097</v>
      </c>
      <c r="CU187" s="18">
        <f>CT187*VLOOKUP('Données projet'!$B$13,Paramètres!$A$1:$I$89,3,0)*VLOOKUP('Données projet'!$B$13,Paramètres!$A$1:$I$89,5,0)</f>
        <v>461.47046400000096</v>
      </c>
      <c r="CV187" s="14">
        <f t="shared" si="173"/>
        <v>104.13329806929862</v>
      </c>
      <c r="CW187" s="22">
        <f t="shared" si="174"/>
        <v>985.09321893736342</v>
      </c>
      <c r="CX187" s="62">
        <f t="shared" si="122"/>
        <v>1278.4265522706967</v>
      </c>
      <c r="CY187" s="62">
        <f ca="1">AVERAGE(OFFSET($CX$3,0,0,'Données projet'!$E$13+1,1))-AVERAGE(OFFSET($H$3,0,0,'Données projet'!$E$13+1,1))</f>
        <v>467.37715054082025</v>
      </c>
      <c r="CZ187" s="62">
        <f t="shared" si="150"/>
        <v>443.35096563136415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0.47741819701138344</v>
      </c>
      <c r="DG187" s="23">
        <f>EXP(-LN(2)/25)*DG186+(1-EXP(-LN(2)/25))/(LN(2)/25)*Calculateur!DB187*Calculateur!DD187*VLOOKUP('Données projet'!$B$13,Paramètres!$A$1:$I$89,3,0)*0.475*44/12</f>
        <v>0.20461331500083196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0.68203151201221535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477.12000000000097</v>
      </c>
      <c r="DP187" s="18">
        <f>DO187*VLOOKUP('Données projet'!$B$14,Paramètres!$A$1:$I$89,3,0)*VLOOKUP('Données projet'!$B$14,Paramètres!$A$1:$I$89,5,0)</f>
        <v>513.57196800000099</v>
      </c>
      <c r="DQ187" s="14">
        <f t="shared" si="176"/>
        <v>114.45621584436451</v>
      </c>
      <c r="DR187" s="22">
        <f t="shared" si="177"/>
        <v>1093.8157535289363</v>
      </c>
      <c r="DS187" s="62">
        <f t="shared" si="125"/>
        <v>1387.1490868622695</v>
      </c>
      <c r="DT187" s="62">
        <f ca="1">AVERAGE(OFFSET($DS$3,0,0,'Données projet'!$E$14+1,1))-AVERAGE(OFFSET($H$3,0,0,'Données projet'!$E$14+1,1))</f>
        <v>524.51242549438939</v>
      </c>
      <c r="DU187" s="62">
        <f t="shared" si="152"/>
        <v>494.88778446576327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0.53132025151266782</v>
      </c>
      <c r="EB187" s="23">
        <f>EXP(-LN(2)/25)*EB186+(1-EXP(-LN(2)/25))/(LN(2)/25)*Calculateur!DW187*Calculateur!DY187*VLOOKUP('Données projet'!$B$14,Paramètres!$A$1:$I$89,3,0)*0.475*44/12</f>
        <v>0.22771481830737747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0.75903506982004532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616.07405370178697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256.51999999999981</v>
      </c>
      <c r="O188" s="14">
        <f>N188*VLOOKUP('Données projet'!$B$9,Paramètres!$A$1:$I$89,3,0)*VLOOKUP('Données projet'!$B$9,Paramètres!$A$1:$I$89,5,0)</f>
        <v>232.09929599999984</v>
      </c>
      <c r="P188" s="14">
        <f t="shared" si="141"/>
        <v>56.736358096348383</v>
      </c>
      <c r="Q188" s="22">
        <f t="shared" si="162"/>
        <v>503.0554308844732</v>
      </c>
      <c r="R188" s="62">
        <f t="shared" si="109"/>
        <v>796.38876421780651</v>
      </c>
      <c r="S188" s="62">
        <f ca="1">AVERAGE(OFFSET($R$3,0,0,'Données projet'!$E$9+1,1))-AVERAGE(OFFSET($H$3,0,0,'Données projet'!$E$9+1,1))</f>
        <v>299.17641394512162</v>
      </c>
      <c r="T188" s="62">
        <f t="shared" si="142"/>
        <v>180.73046320039873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6.4697361262225099</v>
      </c>
      <c r="AA188" s="23">
        <f>EXP(-LN(2)/25)*AA187+(1-EXP(-LN(2)/25))/(LN(2)/25)*Calculateur!V188*Calculateur!X188*VLOOKUP('Données projet'!$B$9,Paramètres!$A$1:$I$89,3,0)*0.475*44/12</f>
        <v>3.7632576174022434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10.232993743624753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361.20999999999862</v>
      </c>
      <c r="AJ188" s="14">
        <f>AI188*VLOOKUP('Données projet'!$B$10,Paramètres!$A$1:$I$89,3,0)*VLOOKUP('Données projet'!$B$10,Paramètres!$A$1:$I$89,5,0)</f>
        <v>366.26693999999861</v>
      </c>
      <c r="AK188" s="14">
        <f t="shared" si="164"/>
        <v>84.903135734816331</v>
      </c>
      <c r="AL188" s="22">
        <f t="shared" si="165"/>
        <v>785.7878819048027</v>
      </c>
      <c r="AM188" s="62">
        <f t="shared" si="113"/>
        <v>1079.1212152381361</v>
      </c>
      <c r="AN188" s="62">
        <f ca="1">AVERAGE(OFFSET($AM$3,0,0,'Données projet'!$E$10+1,1))-AVERAGE(OFFSET($H$3,0,0,'Données projet'!$E$10+1,1))</f>
        <v>384.66322295929552</v>
      </c>
      <c r="AO188" s="62">
        <f t="shared" si="144"/>
        <v>248.53970183513286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7.0400135613041916</v>
      </c>
      <c r="AV188" s="23">
        <f>EXP(-LN(2)/25)*AV187+(1-EXP(-LN(2)/25))/(LN(2)/25)*Calculateur!AQ188*Calculateur!AS188*VLOOKUP('Données projet'!$B$10,Paramètres!$A$1:$I$89,3,0)*0.475*44/12</f>
        <v>4.0554751058140006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11.095488667118193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343.79999999999995</v>
      </c>
      <c r="BE188" s="14">
        <f>BD188*VLOOKUP('Données projet'!$B$11,Paramètres!$A$1:$I$89,3,0)*VLOOKUP('Données projet'!$B$11,Paramètres!$A$1:$I$89,5,0)</f>
        <v>205.5924</v>
      </c>
      <c r="BF188" s="14">
        <f t="shared" si="167"/>
        <v>50.971228364263673</v>
      </c>
      <c r="BG188" s="22">
        <f t="shared" si="168"/>
        <v>446.84831940109251</v>
      </c>
      <c r="BH188" s="62">
        <f t="shared" si="116"/>
        <v>740.18165273442582</v>
      </c>
      <c r="BI188" s="62">
        <f ca="1">AVERAGE(OFFSET($BH$3,0,0,'Données projet'!$E$11+1,1))-AVERAGE(OFFSET($H$3,0,0,'Données projet'!$E$11+1,1))</f>
        <v>146.25807703055079</v>
      </c>
      <c r="BJ188" s="62">
        <f t="shared" si="146"/>
        <v>177.40137940534413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0.44223910687854262</v>
      </c>
      <c r="BQ188" s="23">
        <f>EXP(-LN(2)/25)*BQ187+(1-EXP(-LN(2)/25))/(LN(2)/25)*Calculateur!BL188*Calculateur!BN188*VLOOKUP('Données projet'!$B$11,Paramètres!$A$1:$I$89,3,0)*0.475*44/12</f>
        <v>0.13270441939000269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0.57494352626854528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760.1400000000001</v>
      </c>
      <c r="BZ188" s="14">
        <f>BY188*VLOOKUP('Données projet'!$B$12,Paramètres!$A$1:$I$89,3,0)*VLOOKUP('Données projet'!$B$12,Paramètres!$A$1:$I$89,5,0)</f>
        <v>355.74552000000006</v>
      </c>
      <c r="CA188" s="14">
        <f t="shared" si="170"/>
        <v>82.744450026504168</v>
      </c>
      <c r="CB188" s="22">
        <f t="shared" si="171"/>
        <v>763.70336446282818</v>
      </c>
      <c r="CC188" s="62">
        <f t="shared" si="119"/>
        <v>1057.0366977961614</v>
      </c>
      <c r="CD188" s="62">
        <f ca="1">AVERAGE(OFFSET($CC$3,0,0,'Données projet'!$E$12+1,1))-AVERAGE(OFFSET($H$3,0,0,'Données projet'!$E$12+1,1))</f>
        <v>287.12723448949828</v>
      </c>
      <c r="CE188" s="62">
        <f t="shared" si="148"/>
        <v>170.5203352323382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0.53677423618959264</v>
      </c>
      <c r="CL188" s="23">
        <f>EXP(-LN(2)/25)*CL187+(1-EXP(-LN(2)/25))/(LN(2)/25)*Calculateur!CG188*Calculateur!CI188*VLOOKUP('Données projet'!$B$12,Paramètres!$A$1:$I$89,3,0)*0.475*44/12</f>
        <v>1.2549576930796691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1.7917319292692617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477.12000000000097</v>
      </c>
      <c r="CU188" s="18">
        <f>CT188*VLOOKUP('Données projet'!$B$13,Paramètres!$A$1:$I$89,3,0)*VLOOKUP('Données projet'!$B$13,Paramètres!$A$1:$I$89,5,0)</f>
        <v>461.47046400000096</v>
      </c>
      <c r="CV188" s="14">
        <f t="shared" si="173"/>
        <v>104.13329806929862</v>
      </c>
      <c r="CW188" s="22">
        <f t="shared" si="174"/>
        <v>985.09321893736342</v>
      </c>
      <c r="CX188" s="62">
        <f t="shared" si="122"/>
        <v>1278.4265522706967</v>
      </c>
      <c r="CY188" s="62">
        <f ca="1">AVERAGE(OFFSET($CX$3,0,0,'Données projet'!$E$13+1,1))-AVERAGE(OFFSET($H$3,0,0,'Données projet'!$E$13+1,1))</f>
        <v>467.37715054082025</v>
      </c>
      <c r="CZ188" s="62">
        <f t="shared" si="150"/>
        <v>443.35096563136415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0.46805631736433712</v>
      </c>
      <c r="DG188" s="23">
        <f>EXP(-LN(2)/25)*DG187+(1-EXP(-LN(2)/25))/(LN(2)/25)*Calculateur!DB188*Calculateur!DD188*VLOOKUP('Données projet'!$B$13,Paramètres!$A$1:$I$89,3,0)*0.475*44/12</f>
        <v>0.19901815314198762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0.66707447050632473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477.12000000000097</v>
      </c>
      <c r="DP188" s="18">
        <f>DO188*VLOOKUP('Données projet'!$B$14,Paramètres!$A$1:$I$89,3,0)*VLOOKUP('Données projet'!$B$14,Paramètres!$A$1:$I$89,5,0)</f>
        <v>513.57196800000099</v>
      </c>
      <c r="DQ188" s="14">
        <f t="shared" si="176"/>
        <v>114.45621584436451</v>
      </c>
      <c r="DR188" s="22">
        <f t="shared" si="177"/>
        <v>1093.8157535289363</v>
      </c>
      <c r="DS188" s="62">
        <f t="shared" si="125"/>
        <v>1387.1490868622695</v>
      </c>
      <c r="DT188" s="62">
        <f ca="1">AVERAGE(OFFSET($DS$3,0,0,'Données projet'!$E$14+1,1))-AVERAGE(OFFSET($H$3,0,0,'Données projet'!$E$14+1,1))</f>
        <v>524.51242549438939</v>
      </c>
      <c r="DU188" s="62">
        <f t="shared" si="152"/>
        <v>494.88778446576327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0.52090138545385822</v>
      </c>
      <c r="EB188" s="23">
        <f>EXP(-LN(2)/25)*EB187+(1-EXP(-LN(2)/25))/(LN(2)/25)*Calculateur!DW188*Calculateur!DY188*VLOOKUP('Données projet'!$B$14,Paramètres!$A$1:$I$89,3,0)*0.475*44/12</f>
        <v>0.22148794462576038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0.7423893300796186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617.97081929059186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256.51999999999981</v>
      </c>
      <c r="O189" s="14">
        <f>N189*VLOOKUP('Données projet'!$B$9,Paramètres!$A$1:$I$89,3,0)*VLOOKUP('Données projet'!$B$9,Paramètres!$A$1:$I$89,5,0)</f>
        <v>232.09929599999984</v>
      </c>
      <c r="P189" s="14">
        <f t="shared" si="141"/>
        <v>56.736358096348383</v>
      </c>
      <c r="Q189" s="22">
        <f t="shared" si="162"/>
        <v>503.0554308844732</v>
      </c>
      <c r="R189" s="62">
        <f t="shared" si="109"/>
        <v>796.38876421780651</v>
      </c>
      <c r="S189" s="62">
        <f ca="1">AVERAGE(OFFSET($R$3,0,0,'Données projet'!$E$9+1,1))-AVERAGE(OFFSET($H$3,0,0,'Données projet'!$E$9+1,1))</f>
        <v>299.17641394512162</v>
      </c>
      <c r="T189" s="62">
        <f t="shared" si="142"/>
        <v>180.73046320039873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6.3428685469366739</v>
      </c>
      <c r="AA189" s="23">
        <f>EXP(-LN(2)/25)*AA188+(1-EXP(-LN(2)/25))/(LN(2)/25)*Calculateur!V189*Calculateur!X189*VLOOKUP('Données projet'!$B$9,Paramètres!$A$1:$I$89,3,0)*0.475*44/12</f>
        <v>3.6603511399532622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10.003219686889937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361.20999999999862</v>
      </c>
      <c r="AJ189" s="14">
        <f>AI189*VLOOKUP('Données projet'!$B$10,Paramètres!$A$1:$I$89,3,0)*VLOOKUP('Données projet'!$B$10,Paramètres!$A$1:$I$89,5,0)</f>
        <v>366.26693999999861</v>
      </c>
      <c r="AK189" s="14">
        <f t="shared" si="164"/>
        <v>84.903135734816331</v>
      </c>
      <c r="AL189" s="22">
        <f t="shared" si="165"/>
        <v>785.7878819048027</v>
      </c>
      <c r="AM189" s="62">
        <f t="shared" si="113"/>
        <v>1079.1212152381361</v>
      </c>
      <c r="AN189" s="62">
        <f ca="1">AVERAGE(OFFSET($AM$3,0,0,'Données projet'!$E$10+1,1))-AVERAGE(OFFSET($H$3,0,0,'Données projet'!$E$10+1,1))</f>
        <v>384.66322295929552</v>
      </c>
      <c r="AO189" s="62">
        <f t="shared" si="144"/>
        <v>248.53970183513286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6.9019631893512932</v>
      </c>
      <c r="AV189" s="23">
        <f>EXP(-LN(2)/25)*AV188+(1-EXP(-LN(2)/25))/(LN(2)/25)*Calculateur!AQ189*Calculateur!AS189*VLOOKUP('Données projet'!$B$10,Paramètres!$A$1:$I$89,3,0)*0.475*44/12</f>
        <v>3.9445779257773497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10.846541115128643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343.79999999999995</v>
      </c>
      <c r="BE189" s="14">
        <f>BD189*VLOOKUP('Données projet'!$B$11,Paramètres!$A$1:$I$89,3,0)*VLOOKUP('Données projet'!$B$11,Paramètres!$A$1:$I$89,5,0)</f>
        <v>205.5924</v>
      </c>
      <c r="BF189" s="14">
        <f t="shared" si="167"/>
        <v>50.971228364263673</v>
      </c>
      <c r="BG189" s="22">
        <f t="shared" si="168"/>
        <v>446.84831940109251</v>
      </c>
      <c r="BH189" s="62">
        <f t="shared" si="116"/>
        <v>740.18165273442582</v>
      </c>
      <c r="BI189" s="62">
        <f ca="1">AVERAGE(OFFSET($BH$3,0,0,'Données projet'!$E$11+1,1))-AVERAGE(OFFSET($H$3,0,0,'Données projet'!$E$11+1,1))</f>
        <v>146.25807703055079</v>
      </c>
      <c r="BJ189" s="62">
        <f t="shared" si="146"/>
        <v>177.40137940534413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0.43356706773187503</v>
      </c>
      <c r="BQ189" s="23">
        <f>EXP(-LN(2)/25)*BQ188+(1-EXP(-LN(2)/25))/(LN(2)/25)*Calculateur!BL189*Calculateur!BN189*VLOOKUP('Données projet'!$B$11,Paramètres!$A$1:$I$89,3,0)*0.475*44/12</f>
        <v>0.12907561006316096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0.56264267779503596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760.1400000000001</v>
      </c>
      <c r="BZ189" s="14">
        <f>BY189*VLOOKUP('Données projet'!$B$12,Paramètres!$A$1:$I$89,3,0)*VLOOKUP('Données projet'!$B$12,Paramètres!$A$1:$I$89,5,0)</f>
        <v>355.74552000000006</v>
      </c>
      <c r="CA189" s="14">
        <f t="shared" si="170"/>
        <v>82.744450026504168</v>
      </c>
      <c r="CB189" s="22">
        <f t="shared" si="171"/>
        <v>763.70336446282818</v>
      </c>
      <c r="CC189" s="62">
        <f t="shared" si="119"/>
        <v>1057.0366977961614</v>
      </c>
      <c r="CD189" s="62">
        <f ca="1">AVERAGE(OFFSET($CC$3,0,0,'Données projet'!$E$12+1,1))-AVERAGE(OFFSET($H$3,0,0,'Données projet'!$E$12+1,1))</f>
        <v>287.12723448949828</v>
      </c>
      <c r="CE189" s="62">
        <f t="shared" si="148"/>
        <v>170.5203352323382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0.52624842081787071</v>
      </c>
      <c r="CL189" s="23">
        <f>EXP(-LN(2)/25)*CL188+(1-EXP(-LN(2)/25))/(LN(2)/25)*Calculateur!CG189*Calculateur!CI189*VLOOKUP('Données projet'!$B$12,Paramètres!$A$1:$I$89,3,0)*0.475*44/12</f>
        <v>1.2206408089670486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1.7468892297849195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477.12000000000097</v>
      </c>
      <c r="CU189" s="18">
        <f>CT189*VLOOKUP('Données projet'!$B$13,Paramètres!$A$1:$I$89,3,0)*VLOOKUP('Données projet'!$B$13,Paramètres!$A$1:$I$89,5,0)</f>
        <v>461.47046400000096</v>
      </c>
      <c r="CV189" s="14">
        <f t="shared" si="173"/>
        <v>104.13329806929862</v>
      </c>
      <c r="CW189" s="22">
        <f t="shared" si="174"/>
        <v>985.09321893736342</v>
      </c>
      <c r="CX189" s="62">
        <f t="shared" si="122"/>
        <v>1278.4265522706967</v>
      </c>
      <c r="CY189" s="62">
        <f ca="1">AVERAGE(OFFSET($CX$3,0,0,'Données projet'!$E$13+1,1))-AVERAGE(OFFSET($H$3,0,0,'Données projet'!$E$13+1,1))</f>
        <v>467.37715054082025</v>
      </c>
      <c r="CZ189" s="62">
        <f t="shared" si="150"/>
        <v>443.35096563136415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0.45887801846698661</v>
      </c>
      <c r="DG189" s="23">
        <f>EXP(-LN(2)/25)*DG188+(1-EXP(-LN(2)/25))/(LN(2)/25)*Calculateur!DB189*Calculateur!DD189*VLOOKUP('Données projet'!$B$13,Paramètres!$A$1:$I$89,3,0)*0.475*44/12</f>
        <v>0.19357599127841016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0.6524540097453968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477.12000000000097</v>
      </c>
      <c r="DP189" s="18">
        <f>DO189*VLOOKUP('Données projet'!$B$14,Paramètres!$A$1:$I$89,3,0)*VLOOKUP('Données projet'!$B$14,Paramètres!$A$1:$I$89,5,0)</f>
        <v>513.57196800000099</v>
      </c>
      <c r="DQ189" s="14">
        <f t="shared" si="176"/>
        <v>114.45621584436451</v>
      </c>
      <c r="DR189" s="22">
        <f t="shared" si="177"/>
        <v>1093.8157535289363</v>
      </c>
      <c r="DS189" s="62">
        <f t="shared" si="125"/>
        <v>1387.1490868622695</v>
      </c>
      <c r="DT189" s="62">
        <f ca="1">AVERAGE(OFFSET($DS$3,0,0,'Données projet'!$E$14+1,1))-AVERAGE(OFFSET($H$3,0,0,'Données projet'!$E$14+1,1))</f>
        <v>524.51242549438939</v>
      </c>
      <c r="DU189" s="62">
        <f t="shared" si="152"/>
        <v>494.88778446576327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0.51068682700358115</v>
      </c>
      <c r="EB189" s="23">
        <f>EXP(-LN(2)/25)*EB188+(1-EXP(-LN(2)/25))/(LN(2)/25)*Calculateur!DW189*Calculateur!DY189*VLOOKUP('Données projet'!$B$14,Paramètres!$A$1:$I$89,3,0)*0.475*44/12</f>
        <v>0.21543134513242418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0.72611817213600527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619.86736711848266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256.51999999999981</v>
      </c>
      <c r="O190" s="14">
        <f>N190*VLOOKUP('Données projet'!$B$9,Paramètres!$A$1:$I$89,3,0)*VLOOKUP('Données projet'!$B$9,Paramètres!$A$1:$I$89,5,0)</f>
        <v>232.09929599999984</v>
      </c>
      <c r="P190" s="14">
        <f t="shared" si="141"/>
        <v>56.736358096348383</v>
      </c>
      <c r="Q190" s="22">
        <f t="shared" si="162"/>
        <v>503.0554308844732</v>
      </c>
      <c r="R190" s="62">
        <f t="shared" si="109"/>
        <v>796.38876421780651</v>
      </c>
      <c r="S190" s="62">
        <f ca="1">AVERAGE(OFFSET($R$3,0,0,'Données projet'!$E$9+1,1))-AVERAGE(OFFSET($H$3,0,0,'Données projet'!$E$9+1,1))</f>
        <v>299.17641394512162</v>
      </c>
      <c r="T190" s="62">
        <f t="shared" si="142"/>
        <v>180.73046320039873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6.2184887634990504</v>
      </c>
      <c r="AA190" s="23">
        <f>EXP(-LN(2)/25)*AA189+(1-EXP(-LN(2)/25))/(LN(2)/25)*Calculateur!V190*Calculateur!X190*VLOOKUP('Données projet'!$B$9,Paramètres!$A$1:$I$89,3,0)*0.475*44/12</f>
        <v>3.5602586455417398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9.7787474090407898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361.20999999999862</v>
      </c>
      <c r="AJ190" s="14">
        <f>AI190*VLOOKUP('Données projet'!$B$10,Paramètres!$A$1:$I$89,3,0)*VLOOKUP('Données projet'!$B$10,Paramètres!$A$1:$I$89,5,0)</f>
        <v>366.26693999999861</v>
      </c>
      <c r="AK190" s="14">
        <f t="shared" si="164"/>
        <v>84.903135734816331</v>
      </c>
      <c r="AL190" s="22">
        <f t="shared" si="165"/>
        <v>785.7878819048027</v>
      </c>
      <c r="AM190" s="62">
        <f t="shared" si="113"/>
        <v>1079.1212152381361</v>
      </c>
      <c r="AN190" s="62">
        <f ca="1">AVERAGE(OFFSET($AM$3,0,0,'Données projet'!$E$10+1,1))-AVERAGE(OFFSET($H$3,0,0,'Données projet'!$E$10+1,1))</f>
        <v>384.66322295929552</v>
      </c>
      <c r="AO190" s="62">
        <f t="shared" si="144"/>
        <v>248.53970183513286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6.7666199009899781</v>
      </c>
      <c r="AV190" s="23">
        <f>EXP(-LN(2)/25)*AV189+(1-EXP(-LN(2)/25))/(LN(2)/25)*Calculateur!AQ190*Calculateur!AS190*VLOOKUP('Données projet'!$B$10,Paramètres!$A$1:$I$89,3,0)*0.475*44/12</f>
        <v>3.8367132349606305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10.603333135950608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343.79999999999995</v>
      </c>
      <c r="BE190" s="14">
        <f>BD190*VLOOKUP('Données projet'!$B$11,Paramètres!$A$1:$I$89,3,0)*VLOOKUP('Données projet'!$B$11,Paramètres!$A$1:$I$89,5,0)</f>
        <v>205.5924</v>
      </c>
      <c r="BF190" s="14">
        <f t="shared" si="167"/>
        <v>50.971228364263673</v>
      </c>
      <c r="BG190" s="22">
        <f t="shared" si="168"/>
        <v>446.84831940109251</v>
      </c>
      <c r="BH190" s="62">
        <f t="shared" si="116"/>
        <v>740.18165273442582</v>
      </c>
      <c r="BI190" s="62">
        <f ca="1">AVERAGE(OFFSET($BH$3,0,0,'Données projet'!$E$11+1,1))-AVERAGE(OFFSET($H$3,0,0,'Données projet'!$E$11+1,1))</f>
        <v>146.25807703055079</v>
      </c>
      <c r="BJ190" s="62">
        <f t="shared" si="146"/>
        <v>177.40137940534413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0.42506508198345205</v>
      </c>
      <c r="BQ190" s="23">
        <f>EXP(-LN(2)/25)*BQ189+(1-EXP(-LN(2)/25))/(LN(2)/25)*Calculateur!BL190*Calculateur!BN190*VLOOKUP('Données projet'!$B$11,Paramètres!$A$1:$I$89,3,0)*0.475*44/12</f>
        <v>0.12554603071819248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0.55061111270164453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760.1400000000001</v>
      </c>
      <c r="BZ190" s="14">
        <f>BY190*VLOOKUP('Données projet'!$B$12,Paramètres!$A$1:$I$89,3,0)*VLOOKUP('Données projet'!$B$12,Paramètres!$A$1:$I$89,5,0)</f>
        <v>355.74552000000006</v>
      </c>
      <c r="CA190" s="14">
        <f t="shared" si="170"/>
        <v>82.744450026504168</v>
      </c>
      <c r="CB190" s="22">
        <f t="shared" si="171"/>
        <v>763.70336446282818</v>
      </c>
      <c r="CC190" s="62">
        <f t="shared" si="119"/>
        <v>1057.0366977961614</v>
      </c>
      <c r="CD190" s="62">
        <f ca="1">AVERAGE(OFFSET($CC$3,0,0,'Données projet'!$E$12+1,1))-AVERAGE(OFFSET($H$3,0,0,'Données projet'!$E$12+1,1))</f>
        <v>287.12723448949828</v>
      </c>
      <c r="CE190" s="62">
        <f t="shared" si="148"/>
        <v>170.5203352323382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0.51592901026547489</v>
      </c>
      <c r="CL190" s="23">
        <f>EXP(-LN(2)/25)*CL189+(1-EXP(-LN(2)/25))/(LN(2)/25)*Calculateur!CG190*Calculateur!CI190*VLOOKUP('Données projet'!$B$12,Paramètres!$A$1:$I$89,3,0)*0.475*44/12</f>
        <v>1.1872623218551344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1.7031913321206091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477.12000000000097</v>
      </c>
      <c r="CU190" s="18">
        <f>CT190*VLOOKUP('Données projet'!$B$13,Paramètres!$A$1:$I$89,3,0)*VLOOKUP('Données projet'!$B$13,Paramètres!$A$1:$I$89,5,0)</f>
        <v>461.47046400000096</v>
      </c>
      <c r="CV190" s="14">
        <f t="shared" si="173"/>
        <v>104.13329806929862</v>
      </c>
      <c r="CW190" s="22">
        <f t="shared" si="174"/>
        <v>985.09321893736342</v>
      </c>
      <c r="CX190" s="62">
        <f t="shared" si="122"/>
        <v>1278.4265522706967</v>
      </c>
      <c r="CY190" s="62">
        <f ca="1">AVERAGE(OFFSET($CX$3,0,0,'Données projet'!$E$13+1,1))-AVERAGE(OFFSET($H$3,0,0,'Données projet'!$E$13+1,1))</f>
        <v>467.37715054082025</v>
      </c>
      <c r="CZ190" s="62">
        <f t="shared" si="150"/>
        <v>443.35096563136415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0.44987970041280362</v>
      </c>
      <c r="DG190" s="23">
        <f>EXP(-LN(2)/25)*DG189+(1-EXP(-LN(2)/25))/(LN(2)/25)*Calculateur!DB190*Calculateur!DD190*VLOOKUP('Données projet'!$B$13,Paramètres!$A$1:$I$89,3,0)*0.475*44/12</f>
        <v>0.18828264561718308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0.63816234602998667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477.12000000000097</v>
      </c>
      <c r="DP190" s="18">
        <f>DO190*VLOOKUP('Données projet'!$B$14,Paramètres!$A$1:$I$89,3,0)*VLOOKUP('Données projet'!$B$14,Paramètres!$A$1:$I$89,5,0)</f>
        <v>513.57196800000099</v>
      </c>
      <c r="DQ190" s="14">
        <f t="shared" si="176"/>
        <v>114.45621584436451</v>
      </c>
      <c r="DR190" s="22">
        <f t="shared" si="177"/>
        <v>1093.8157535289363</v>
      </c>
      <c r="DS190" s="62">
        <f t="shared" si="125"/>
        <v>1387.1490868622695</v>
      </c>
      <c r="DT190" s="62">
        <f ca="1">AVERAGE(OFFSET($DS$3,0,0,'Données projet'!$E$14+1,1))-AVERAGE(OFFSET($H$3,0,0,'Données projet'!$E$14+1,1))</f>
        <v>524.51242549438939</v>
      </c>
      <c r="DU190" s="62">
        <f t="shared" si="152"/>
        <v>494.88778446576327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0.50067256981424846</v>
      </c>
      <c r="EB190" s="23">
        <f>EXP(-LN(2)/25)*EB189+(1-EXP(-LN(2)/25))/(LN(2)/25)*Calculateur!DW190*Calculateur!DY190*VLOOKUP('Données projet'!$B$14,Paramètres!$A$1:$I$89,3,0)*0.475*44/12</f>
        <v>0.20954036367073597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0.71021293348498449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621.7636984851116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256.51999999999981</v>
      </c>
      <c r="O191" s="14">
        <f>N191*VLOOKUP('Données projet'!$B$9,Paramètres!$A$1:$I$89,3,0)*VLOOKUP('Données projet'!$B$9,Paramètres!$A$1:$I$89,5,0)</f>
        <v>232.09929599999984</v>
      </c>
      <c r="P191" s="14">
        <f t="shared" si="141"/>
        <v>56.736358096348383</v>
      </c>
      <c r="Q191" s="22">
        <f t="shared" si="162"/>
        <v>503.0554308844732</v>
      </c>
      <c r="R191" s="62">
        <f t="shared" si="109"/>
        <v>796.38876421780651</v>
      </c>
      <c r="S191" s="62">
        <f ca="1">AVERAGE(OFFSET($R$3,0,0,'Données projet'!$E$9+1,1))-AVERAGE(OFFSET($H$3,0,0,'Données projet'!$E$9+1,1))</f>
        <v>299.17641394512162</v>
      </c>
      <c r="T191" s="62">
        <f t="shared" si="142"/>
        <v>180.73046320039873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6.0965479917504615</v>
      </c>
      <c r="AA191" s="23">
        <f>EXP(-LN(2)/25)*AA190+(1-EXP(-LN(2)/25))/(LN(2)/25)*Calculateur!V191*Calculateur!X191*VLOOKUP('Données projet'!$B$9,Paramètres!$A$1:$I$89,3,0)*0.475*44/12</f>
        <v>3.4629031856535359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9.5594511774039965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361.20999999999862</v>
      </c>
      <c r="AJ191" s="14">
        <f>AI191*VLOOKUP('Données projet'!$B$10,Paramètres!$A$1:$I$89,3,0)*VLOOKUP('Données projet'!$B$10,Paramètres!$A$1:$I$89,5,0)</f>
        <v>366.26693999999861</v>
      </c>
      <c r="AK191" s="14">
        <f t="shared" si="164"/>
        <v>84.903135734816331</v>
      </c>
      <c r="AL191" s="22">
        <f t="shared" si="165"/>
        <v>785.7878819048027</v>
      </c>
      <c r="AM191" s="62">
        <f t="shared" si="113"/>
        <v>1079.1212152381361</v>
      </c>
      <c r="AN191" s="62">
        <f ca="1">AVERAGE(OFFSET($AM$3,0,0,'Données projet'!$E$10+1,1))-AVERAGE(OFFSET($H$3,0,0,'Données projet'!$E$10+1,1))</f>
        <v>384.66322295929552</v>
      </c>
      <c r="AO191" s="62">
        <f t="shared" si="144"/>
        <v>248.53970183513286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6.6339306119621737</v>
      </c>
      <c r="AV191" s="23">
        <f>EXP(-LN(2)/25)*AV190+(1-EXP(-LN(2)/25))/(LN(2)/25)*Calculateur!AQ191*Calculateur!AS191*VLOOKUP('Données projet'!$B$10,Paramètres!$A$1:$I$89,3,0)*0.475*44/12</f>
        <v>3.7317981097866522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10.365728721748827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343.79999999999995</v>
      </c>
      <c r="BE191" s="14">
        <f>BD191*VLOOKUP('Données projet'!$B$11,Paramètres!$A$1:$I$89,3,0)*VLOOKUP('Données projet'!$B$11,Paramètres!$A$1:$I$89,5,0)</f>
        <v>205.5924</v>
      </c>
      <c r="BF191" s="14">
        <f t="shared" si="167"/>
        <v>50.971228364263673</v>
      </c>
      <c r="BG191" s="22">
        <f t="shared" si="168"/>
        <v>446.84831940109251</v>
      </c>
      <c r="BH191" s="62">
        <f t="shared" si="116"/>
        <v>740.18165273442582</v>
      </c>
      <c r="BI191" s="62">
        <f ca="1">AVERAGE(OFFSET($BH$3,0,0,'Données projet'!$E$11+1,1))-AVERAGE(OFFSET($H$3,0,0,'Données projet'!$E$11+1,1))</f>
        <v>146.25807703055079</v>
      </c>
      <c r="BJ191" s="62">
        <f t="shared" si="146"/>
        <v>177.40137940534413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0.41672981498985634</v>
      </c>
      <c r="BQ191" s="23">
        <f>EXP(-LN(2)/25)*BQ190+(1-EXP(-LN(2)/25))/(LN(2)/25)*Calculateur!BL191*Calculateur!BN191*VLOOKUP('Données projet'!$B$11,Paramètres!$A$1:$I$89,3,0)*0.475*44/12</f>
        <v>0.12211296790602469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0.53884278289588106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760.1400000000001</v>
      </c>
      <c r="BZ191" s="14">
        <f>BY191*VLOOKUP('Données projet'!$B$12,Paramètres!$A$1:$I$89,3,0)*VLOOKUP('Données projet'!$B$12,Paramètres!$A$1:$I$89,5,0)</f>
        <v>355.74552000000006</v>
      </c>
      <c r="CA191" s="14">
        <f t="shared" si="170"/>
        <v>82.744450026504168</v>
      </c>
      <c r="CB191" s="22">
        <f t="shared" si="171"/>
        <v>763.70336446282818</v>
      </c>
      <c r="CC191" s="62">
        <f t="shared" si="119"/>
        <v>1057.0366977961614</v>
      </c>
      <c r="CD191" s="62">
        <f ca="1">AVERAGE(OFFSET($CC$3,0,0,'Données projet'!$E$12+1,1))-AVERAGE(OFFSET($H$3,0,0,'Données projet'!$E$12+1,1))</f>
        <v>287.12723448949828</v>
      </c>
      <c r="CE191" s="62">
        <f t="shared" si="148"/>
        <v>170.5203352323382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0.50581195705979254</v>
      </c>
      <c r="CL191" s="23">
        <f>EXP(-LN(2)/25)*CL190+(1-EXP(-LN(2)/25))/(LN(2)/25)*Calculateur!CG191*Calculateur!CI191*VLOOKUP('Données projet'!$B$12,Paramètres!$A$1:$I$89,3,0)*0.475*44/12</f>
        <v>1.1547965712285937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1.6606085282883862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477.12000000000097</v>
      </c>
      <c r="CU191" s="18">
        <f>CT191*VLOOKUP('Données projet'!$B$13,Paramètres!$A$1:$I$89,3,0)*VLOOKUP('Données projet'!$B$13,Paramètres!$A$1:$I$89,5,0)</f>
        <v>461.47046400000096</v>
      </c>
      <c r="CV191" s="14">
        <f t="shared" si="173"/>
        <v>104.13329806929862</v>
      </c>
      <c r="CW191" s="22">
        <f t="shared" si="174"/>
        <v>985.09321893736342</v>
      </c>
      <c r="CX191" s="62">
        <f t="shared" si="122"/>
        <v>1278.4265522706967</v>
      </c>
      <c r="CY191" s="62">
        <f ca="1">AVERAGE(OFFSET($CX$3,0,0,'Données projet'!$E$13+1,1))-AVERAGE(OFFSET($H$3,0,0,'Données projet'!$E$13+1,1))</f>
        <v>467.37715054082025</v>
      </c>
      <c r="CZ191" s="62">
        <f t="shared" si="150"/>
        <v>443.35096563136415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0.44105783388723108</v>
      </c>
      <c r="DG191" s="23">
        <f>EXP(-LN(2)/25)*DG190+(1-EXP(-LN(2)/25))/(LN(2)/25)*Calculateur!DB191*Calculateur!DD191*VLOOKUP('Données projet'!$B$13,Paramètres!$A$1:$I$89,3,0)*0.475*44/12</f>
        <v>0.18313404677142719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0.62419188065865827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477.12000000000097</v>
      </c>
      <c r="DP191" s="18">
        <f>DO191*VLOOKUP('Données projet'!$B$14,Paramètres!$A$1:$I$89,3,0)*VLOOKUP('Données projet'!$B$14,Paramètres!$A$1:$I$89,5,0)</f>
        <v>513.57196800000099</v>
      </c>
      <c r="DQ191" s="14">
        <f t="shared" si="176"/>
        <v>114.45621584436451</v>
      </c>
      <c r="DR191" s="22">
        <f t="shared" si="177"/>
        <v>1093.8157535289363</v>
      </c>
      <c r="DS191" s="62">
        <f t="shared" si="125"/>
        <v>1387.1490868622695</v>
      </c>
      <c r="DT191" s="62">
        <f ca="1">AVERAGE(OFFSET($DS$3,0,0,'Données projet'!$E$14+1,1))-AVERAGE(OFFSET($H$3,0,0,'Données projet'!$E$14+1,1))</f>
        <v>524.51242549438939</v>
      </c>
      <c r="DU191" s="62">
        <f t="shared" si="152"/>
        <v>494.88778446576327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0.49085468610030486</v>
      </c>
      <c r="EB191" s="23">
        <f>EXP(-LN(2)/25)*EB190+(1-EXP(-LN(2)/25))/(LN(2)/25)*Calculateur!DW191*Calculateur!DY191*VLOOKUP('Données projet'!$B$14,Paramètres!$A$1:$I$89,3,0)*0.475*44/12</f>
        <v>0.20381047140691089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0.6946651575072158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623.65981467550444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256.51999999999981</v>
      </c>
      <c r="O192" s="14">
        <f>N192*VLOOKUP('Données projet'!$B$9,Paramètres!$A$1:$I$89,3,0)*VLOOKUP('Données projet'!$B$9,Paramètres!$A$1:$I$89,5,0)</f>
        <v>232.09929599999984</v>
      </c>
      <c r="P192" s="14">
        <f t="shared" si="141"/>
        <v>56.736358096348383</v>
      </c>
      <c r="Q192" s="22">
        <f t="shared" si="162"/>
        <v>503.0554308844732</v>
      </c>
      <c r="R192" s="62">
        <f t="shared" si="109"/>
        <v>796.38876421780651</v>
      </c>
      <c r="S192" s="62">
        <f ca="1">AVERAGE(OFFSET($R$3,0,0,'Données projet'!$E$9+1,1))-AVERAGE(OFFSET($H$3,0,0,'Données projet'!$E$9+1,1))</f>
        <v>299.17641394512162</v>
      </c>
      <c r="T192" s="62">
        <f t="shared" si="142"/>
        <v>180.73046320039873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5.9769984041593363</v>
      </c>
      <c r="AA192" s="23">
        <f>EXP(-LN(2)/25)*AA191+(1-EXP(-LN(2)/25))/(LN(2)/25)*Calculateur!V192*Calculateur!X192*VLOOKUP('Données projet'!$B$9,Paramètres!$A$1:$I$89,3,0)*0.475*44/12</f>
        <v>3.368209915935676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9.3452083200950113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361.20999999999862</v>
      </c>
      <c r="AJ192" s="14">
        <f>AI192*VLOOKUP('Données projet'!$B$10,Paramètres!$A$1:$I$89,3,0)*VLOOKUP('Données projet'!$B$10,Paramètres!$A$1:$I$89,5,0)</f>
        <v>366.26693999999861</v>
      </c>
      <c r="AK192" s="14">
        <f t="shared" si="164"/>
        <v>84.903135734816331</v>
      </c>
      <c r="AL192" s="22">
        <f t="shared" si="165"/>
        <v>785.7878819048027</v>
      </c>
      <c r="AM192" s="62">
        <f t="shared" si="113"/>
        <v>1079.1212152381361</v>
      </c>
      <c r="AN192" s="62">
        <f ca="1">AVERAGE(OFFSET($AM$3,0,0,'Données projet'!$E$10+1,1))-AVERAGE(OFFSET($H$3,0,0,'Données projet'!$E$10+1,1))</f>
        <v>384.66322295929552</v>
      </c>
      <c r="AO192" s="62">
        <f t="shared" si="144"/>
        <v>248.53970183513286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6.5038432789597298</v>
      </c>
      <c r="AV192" s="23">
        <f>EXP(-LN(2)/25)*AV191+(1-EXP(-LN(2)/25))/(LN(2)/25)*Calculateur!AQ192*Calculateur!AS192*VLOOKUP('Données projet'!$B$10,Paramètres!$A$1:$I$89,3,0)*0.475*44/12</f>
        <v>3.6297518942278026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10.133595173187533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343.79999999999995</v>
      </c>
      <c r="BE192" s="14">
        <f>BD192*VLOOKUP('Données projet'!$B$11,Paramètres!$A$1:$I$89,3,0)*VLOOKUP('Données projet'!$B$11,Paramètres!$A$1:$I$89,5,0)</f>
        <v>205.5924</v>
      </c>
      <c r="BF192" s="14">
        <f t="shared" si="167"/>
        <v>50.971228364263673</v>
      </c>
      <c r="BG192" s="22">
        <f t="shared" si="168"/>
        <v>446.84831940109251</v>
      </c>
      <c r="BH192" s="62">
        <f t="shared" si="116"/>
        <v>740.18165273442582</v>
      </c>
      <c r="BI192" s="62">
        <f ca="1">AVERAGE(OFFSET($BH$3,0,0,'Données projet'!$E$11+1,1))-AVERAGE(OFFSET($H$3,0,0,'Données projet'!$E$11+1,1))</f>
        <v>146.25807703055079</v>
      </c>
      <c r="BJ192" s="62">
        <f t="shared" si="146"/>
        <v>177.40137940534413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0.40855799749799421</v>
      </c>
      <c r="BQ192" s="23">
        <f>EXP(-LN(2)/25)*BQ191+(1-EXP(-LN(2)/25))/(LN(2)/25)*Calculateur!BL192*Calculateur!BN192*VLOOKUP('Données projet'!$B$11,Paramètres!$A$1:$I$89,3,0)*0.475*44/12</f>
        <v>0.11877378237699256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0.52733177987498681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760.1400000000001</v>
      </c>
      <c r="BZ192" s="14">
        <f>BY192*VLOOKUP('Données projet'!$B$12,Paramètres!$A$1:$I$89,3,0)*VLOOKUP('Données projet'!$B$12,Paramètres!$A$1:$I$89,5,0)</f>
        <v>355.74552000000006</v>
      </c>
      <c r="CA192" s="14">
        <f t="shared" si="170"/>
        <v>82.744450026504168</v>
      </c>
      <c r="CB192" s="22">
        <f t="shared" si="171"/>
        <v>763.70336446282818</v>
      </c>
      <c r="CC192" s="62">
        <f t="shared" si="119"/>
        <v>1057.0366977961614</v>
      </c>
      <c r="CD192" s="62">
        <f ca="1">AVERAGE(OFFSET($CC$3,0,0,'Données projet'!$E$12+1,1))-AVERAGE(OFFSET($H$3,0,0,'Données projet'!$E$12+1,1))</f>
        <v>287.12723448949828</v>
      </c>
      <c r="CE192" s="62">
        <f t="shared" si="148"/>
        <v>170.5203352323382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0.49589329309668051</v>
      </c>
      <c r="CL192" s="23">
        <f>EXP(-LN(2)/25)*CL191+(1-EXP(-LN(2)/25))/(LN(2)/25)*Calculateur!CG192*Calculateur!CI192*VLOOKUP('Données projet'!$B$12,Paramètres!$A$1:$I$89,3,0)*0.475*44/12</f>
        <v>1.1232185982602354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1.619111891356916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477.12000000000097</v>
      </c>
      <c r="CU192" s="18">
        <f>CT192*VLOOKUP('Données projet'!$B$13,Paramètres!$A$1:$I$89,3,0)*VLOOKUP('Données projet'!$B$13,Paramètres!$A$1:$I$89,5,0)</f>
        <v>461.47046400000096</v>
      </c>
      <c r="CV192" s="14">
        <f t="shared" si="173"/>
        <v>104.13329806929862</v>
      </c>
      <c r="CW192" s="22">
        <f t="shared" si="174"/>
        <v>985.09321893736342</v>
      </c>
      <c r="CX192" s="62">
        <f t="shared" si="122"/>
        <v>1278.4265522706967</v>
      </c>
      <c r="CY192" s="62">
        <f ca="1">AVERAGE(OFFSET($CX$3,0,0,'Données projet'!$E$13+1,1))-AVERAGE(OFFSET($H$3,0,0,'Données projet'!$E$13+1,1))</f>
        <v>467.37715054082025</v>
      </c>
      <c r="CZ192" s="62">
        <f t="shared" si="150"/>
        <v>443.35096563136415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0.43240895878341773</v>
      </c>
      <c r="DG192" s="23">
        <f>EXP(-LN(2)/25)*DG191+(1-EXP(-LN(2)/25))/(LN(2)/25)*Calculateur!DB192*Calculateur!DD192*VLOOKUP('Données projet'!$B$13,Paramètres!$A$1:$I$89,3,0)*0.475*44/12</f>
        <v>0.17812623663186156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0.61053519541527934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477.12000000000097</v>
      </c>
      <c r="DP192" s="18">
        <f>DO192*VLOOKUP('Données projet'!$B$14,Paramètres!$A$1:$I$89,3,0)*VLOOKUP('Données projet'!$B$14,Paramètres!$A$1:$I$89,5,0)</f>
        <v>513.57196800000099</v>
      </c>
      <c r="DQ192" s="14">
        <f t="shared" si="176"/>
        <v>114.45621584436451</v>
      </c>
      <c r="DR192" s="22">
        <f t="shared" si="177"/>
        <v>1093.8157535289363</v>
      </c>
      <c r="DS192" s="62">
        <f t="shared" si="125"/>
        <v>1387.1490868622695</v>
      </c>
      <c r="DT192" s="62">
        <f ca="1">AVERAGE(OFFSET($DS$3,0,0,'Données projet'!$E$14+1,1))-AVERAGE(OFFSET($H$3,0,0,'Données projet'!$E$14+1,1))</f>
        <v>524.51242549438939</v>
      </c>
      <c r="DU192" s="62">
        <f t="shared" si="152"/>
        <v>494.88778446576327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0.48122932509767391</v>
      </c>
      <c r="EB192" s="23">
        <f>EXP(-LN(2)/25)*EB191+(1-EXP(-LN(2)/25))/(LN(2)/25)*Calculateur!DW192*Calculateur!DY192*VLOOKUP('Données projet'!$B$14,Paramètres!$A$1:$I$89,3,0)*0.475*44/12</f>
        <v>0.19823726334836203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0.67946658844603591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625.55571696030165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256.51999999999981</v>
      </c>
      <c r="O193" s="14">
        <f>N193*VLOOKUP('Données projet'!$B$9,Paramètres!$A$1:$I$89,3,0)*VLOOKUP('Données projet'!$B$9,Paramètres!$A$1:$I$89,5,0)</f>
        <v>232.09929599999984</v>
      </c>
      <c r="P193" s="14">
        <f t="shared" si="141"/>
        <v>56.736358096348383</v>
      </c>
      <c r="Q193" s="22">
        <f t="shared" si="162"/>
        <v>503.0554308844732</v>
      </c>
      <c r="R193" s="62">
        <f t="shared" si="109"/>
        <v>796.38876421780651</v>
      </c>
      <c r="S193" s="62">
        <f ca="1">AVERAGE(OFFSET($R$3,0,0,'Données projet'!$E$9+1,1))-AVERAGE(OFFSET($H$3,0,0,'Données projet'!$E$9+1,1))</f>
        <v>299.17641394512162</v>
      </c>
      <c r="T193" s="62">
        <f t="shared" si="142"/>
        <v>180.73046320039873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5.8597931110628245</v>
      </c>
      <c r="AA193" s="23">
        <f>EXP(-LN(2)/25)*AA192+(1-EXP(-LN(2)/25))/(LN(2)/25)*Calculateur!V193*Calculateur!X193*VLOOKUP('Données projet'!$B$9,Paramètres!$A$1:$I$89,3,0)*0.475*44/12</f>
        <v>3.2761060386579537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9.1358991497207782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361.20999999999862</v>
      </c>
      <c r="AJ193" s="14">
        <f>AI193*VLOOKUP('Données projet'!$B$10,Paramètres!$A$1:$I$89,3,0)*VLOOKUP('Données projet'!$B$10,Paramètres!$A$1:$I$89,5,0)</f>
        <v>366.26693999999861</v>
      </c>
      <c r="AK193" s="14">
        <f t="shared" si="164"/>
        <v>84.903135734816331</v>
      </c>
      <c r="AL193" s="22">
        <f t="shared" si="165"/>
        <v>785.7878819048027</v>
      </c>
      <c r="AM193" s="62">
        <f t="shared" si="113"/>
        <v>1079.1212152381361</v>
      </c>
      <c r="AN193" s="62">
        <f ca="1">AVERAGE(OFFSET($AM$3,0,0,'Données projet'!$E$10+1,1))-AVERAGE(OFFSET($H$3,0,0,'Données projet'!$E$10+1,1))</f>
        <v>384.66322295929552</v>
      </c>
      <c r="AO193" s="62">
        <f t="shared" si="144"/>
        <v>248.53970183513286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6.3763068792120254</v>
      </c>
      <c r="AV193" s="23">
        <f>EXP(-LN(2)/25)*AV192+(1-EXP(-LN(2)/25))/(LN(2)/25)*Calculateur!AQ193*Calculateur!AS193*VLOOKUP('Données projet'!$B$10,Paramètres!$A$1:$I$89,3,0)*0.475*44/12</f>
        <v>3.530496137799787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9.9068030170118124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343.79999999999995</v>
      </c>
      <c r="BE193" s="14">
        <f>BD193*VLOOKUP('Données projet'!$B$11,Paramètres!$A$1:$I$89,3,0)*VLOOKUP('Données projet'!$B$11,Paramètres!$A$1:$I$89,5,0)</f>
        <v>205.5924</v>
      </c>
      <c r="BF193" s="14">
        <f t="shared" si="167"/>
        <v>50.971228364263673</v>
      </c>
      <c r="BG193" s="22">
        <f t="shared" si="168"/>
        <v>446.84831940109251</v>
      </c>
      <c r="BH193" s="62">
        <f t="shared" si="116"/>
        <v>740.18165273442582</v>
      </c>
      <c r="BI193" s="62">
        <f ca="1">AVERAGE(OFFSET($BH$3,0,0,'Données projet'!$E$11+1,1))-AVERAGE(OFFSET($H$3,0,0,'Données projet'!$E$11+1,1))</f>
        <v>146.25807703055079</v>
      </c>
      <c r="BJ193" s="62">
        <f t="shared" si="146"/>
        <v>177.40137940534413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0.400546424362831</v>
      </c>
      <c r="BQ193" s="23">
        <f>EXP(-LN(2)/25)*BQ192+(1-EXP(-LN(2)/25))/(LN(2)/25)*Calculateur!BL193*Calculateur!BN193*VLOOKUP('Données projet'!$B$11,Paramètres!$A$1:$I$89,3,0)*0.475*44/12</f>
        <v>0.11552590705185194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0.51607233141468289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760.1400000000001</v>
      </c>
      <c r="BZ193" s="14">
        <f>BY193*VLOOKUP('Données projet'!$B$12,Paramètres!$A$1:$I$89,3,0)*VLOOKUP('Données projet'!$B$12,Paramètres!$A$1:$I$89,5,0)</f>
        <v>355.74552000000006</v>
      </c>
      <c r="CA193" s="14">
        <f t="shared" si="170"/>
        <v>82.744450026504168</v>
      </c>
      <c r="CB193" s="22">
        <f t="shared" si="171"/>
        <v>763.70336446282818</v>
      </c>
      <c r="CC193" s="62">
        <f t="shared" si="119"/>
        <v>1057.0366977961614</v>
      </c>
      <c r="CD193" s="62">
        <f ca="1">AVERAGE(OFFSET($CC$3,0,0,'Données projet'!$E$12+1,1))-AVERAGE(OFFSET($H$3,0,0,'Données projet'!$E$12+1,1))</f>
        <v>287.12723448949828</v>
      </c>
      <c r="CE193" s="62">
        <f t="shared" si="148"/>
        <v>170.5203352323382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0.48616912808409746</v>
      </c>
      <c r="CL193" s="23">
        <f>EXP(-LN(2)/25)*CL192+(1-EXP(-LN(2)/25))/(LN(2)/25)*Calculateur!CG193*Calculateur!CI193*VLOOKUP('Données projet'!$B$12,Paramètres!$A$1:$I$89,3,0)*0.475*44/12</f>
        <v>1.0925041266233104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1.5786732547074078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477.12000000000097</v>
      </c>
      <c r="CU193" s="18">
        <f>CT193*VLOOKUP('Données projet'!$B$13,Paramètres!$A$1:$I$89,3,0)*VLOOKUP('Données projet'!$B$13,Paramètres!$A$1:$I$89,5,0)</f>
        <v>461.47046400000096</v>
      </c>
      <c r="CV193" s="14">
        <f t="shared" si="173"/>
        <v>104.13329806929862</v>
      </c>
      <c r="CW193" s="22">
        <f t="shared" si="174"/>
        <v>985.09321893736342</v>
      </c>
      <c r="CX193" s="62">
        <f t="shared" si="122"/>
        <v>1278.4265522706967</v>
      </c>
      <c r="CY193" s="62">
        <f ca="1">AVERAGE(OFFSET($CX$3,0,0,'Données projet'!$E$13+1,1))-AVERAGE(OFFSET($H$3,0,0,'Données projet'!$E$13+1,1))</f>
        <v>467.37715054082025</v>
      </c>
      <c r="CZ193" s="62">
        <f t="shared" si="150"/>
        <v>443.35096563136415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0.42392968284509724</v>
      </c>
      <c r="DG193" s="23">
        <f>EXP(-LN(2)/25)*DG192+(1-EXP(-LN(2)/25))/(LN(2)/25)*Calculateur!DB193*Calculateur!DD193*VLOOKUP('Données projet'!$B$13,Paramètres!$A$1:$I$89,3,0)*0.475*44/12</f>
        <v>0.17325536532391164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0.59718504816900886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477.12000000000097</v>
      </c>
      <c r="DP193" s="18">
        <f>DO193*VLOOKUP('Données projet'!$B$14,Paramètres!$A$1:$I$89,3,0)*VLOOKUP('Données projet'!$B$14,Paramètres!$A$1:$I$89,5,0)</f>
        <v>513.57196800000099</v>
      </c>
      <c r="DQ193" s="14">
        <f t="shared" si="176"/>
        <v>114.45621584436451</v>
      </c>
      <c r="DR193" s="22">
        <f t="shared" si="177"/>
        <v>1093.8157535289363</v>
      </c>
      <c r="DS193" s="62">
        <f t="shared" si="125"/>
        <v>1387.1490868622695</v>
      </c>
      <c r="DT193" s="62">
        <f ca="1">AVERAGE(OFFSET($DS$3,0,0,'Données projet'!$E$14+1,1))-AVERAGE(OFFSET($H$3,0,0,'Données projet'!$E$14+1,1))</f>
        <v>524.51242549438939</v>
      </c>
      <c r="DU193" s="62">
        <f t="shared" si="152"/>
        <v>494.88778446576327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0.47179271155341407</v>
      </c>
      <c r="EB193" s="23">
        <f>EXP(-LN(2)/25)*EB192+(1-EXP(-LN(2)/25))/(LN(2)/25)*Calculateur!DW193*Calculateur!DY193*VLOOKUP('Données projet'!$B$14,Paramètres!$A$1:$I$89,3,0)*0.475*44/12</f>
        <v>0.19281645495725647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0.66460916651067059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627.45140659599406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256.51999999999981</v>
      </c>
      <c r="O194" s="14">
        <f>N194*VLOOKUP('Données projet'!$B$9,Paramètres!$A$1:$I$89,3,0)*VLOOKUP('Données projet'!$B$9,Paramètres!$A$1:$I$89,5,0)</f>
        <v>232.09929599999984</v>
      </c>
      <c r="P194" s="14">
        <f t="shared" si="141"/>
        <v>56.736358096348383</v>
      </c>
      <c r="Q194" s="22">
        <f t="shared" si="162"/>
        <v>503.0554308844732</v>
      </c>
      <c r="R194" s="62">
        <f t="shared" si="109"/>
        <v>796.38876421780651</v>
      </c>
      <c r="S194" s="62">
        <f ca="1">AVERAGE(OFFSET($R$3,0,0,'Données projet'!$E$9+1,1))-AVERAGE(OFFSET($H$3,0,0,'Données projet'!$E$9+1,1))</f>
        <v>299.17641394512162</v>
      </c>
      <c r="T194" s="62">
        <f t="shared" si="142"/>
        <v>180.73046320039873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5.7448861422757656</v>
      </c>
      <c r="AA194" s="23">
        <f>EXP(-LN(2)/25)*AA193+(1-EXP(-LN(2)/25))/(LN(2)/25)*Calculateur!V194*Calculateur!X194*VLOOKUP('Données projet'!$B$9,Paramètres!$A$1:$I$89,3,0)*0.475*44/12</f>
        <v>3.1865207467479228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8.9314068890236875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361.20999999999862</v>
      </c>
      <c r="AJ194" s="14">
        <f>AI194*VLOOKUP('Données projet'!$B$10,Paramètres!$A$1:$I$89,3,0)*VLOOKUP('Données projet'!$B$10,Paramètres!$A$1:$I$89,5,0)</f>
        <v>366.26693999999861</v>
      </c>
      <c r="AK194" s="14">
        <f t="shared" si="164"/>
        <v>84.903135734816331</v>
      </c>
      <c r="AL194" s="22">
        <f t="shared" si="165"/>
        <v>785.7878819048027</v>
      </c>
      <c r="AM194" s="62">
        <f t="shared" si="113"/>
        <v>1079.1212152381361</v>
      </c>
      <c r="AN194" s="62">
        <f ca="1">AVERAGE(OFFSET($AM$3,0,0,'Données projet'!$E$10+1,1))-AVERAGE(OFFSET($H$3,0,0,'Données projet'!$E$10+1,1))</f>
        <v>384.66322295929552</v>
      </c>
      <c r="AO194" s="62">
        <f t="shared" si="144"/>
        <v>248.53970183513286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6.2512713904738506</v>
      </c>
      <c r="AV194" s="23">
        <f>EXP(-LN(2)/25)*AV193+(1-EXP(-LN(2)/25))/(LN(2)/25)*Calculateur!AQ194*Calculateur!AS194*VLOOKUP('Données projet'!$B$10,Paramètres!$A$1:$I$89,3,0)*0.475*44/12</f>
        <v>3.4339545352509289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9.6852259257247795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343.79999999999995</v>
      </c>
      <c r="BE194" s="14">
        <f>BD194*VLOOKUP('Données projet'!$B$11,Paramètres!$A$1:$I$89,3,0)*VLOOKUP('Données projet'!$B$11,Paramètres!$A$1:$I$89,5,0)</f>
        <v>205.5924</v>
      </c>
      <c r="BF194" s="14">
        <f t="shared" si="167"/>
        <v>50.971228364263673</v>
      </c>
      <c r="BG194" s="22">
        <f t="shared" si="168"/>
        <v>446.84831940109251</v>
      </c>
      <c r="BH194" s="62">
        <f t="shared" si="116"/>
        <v>740.18165273442582</v>
      </c>
      <c r="BI194" s="62">
        <f ca="1">AVERAGE(OFFSET($BH$3,0,0,'Données projet'!$E$11+1,1))-AVERAGE(OFFSET($H$3,0,0,'Données projet'!$E$11+1,1))</f>
        <v>146.25807703055079</v>
      </c>
      <c r="BJ194" s="62">
        <f t="shared" si="146"/>
        <v>177.40137940534413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0.39269195329027123</v>
      </c>
      <c r="BQ194" s="23">
        <f>EXP(-LN(2)/25)*BQ193+(1-EXP(-LN(2)/25))/(LN(2)/25)*Calculateur!BL194*Calculateur!BN194*VLOOKUP('Données projet'!$B$11,Paramètres!$A$1:$I$89,3,0)*0.475*44/12</f>
        <v>0.11236684504827563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0.50505879833854683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760.1400000000001</v>
      </c>
      <c r="BZ194" s="14">
        <f>BY194*VLOOKUP('Données projet'!$B$12,Paramètres!$A$1:$I$89,3,0)*VLOOKUP('Données projet'!$B$12,Paramètres!$A$1:$I$89,5,0)</f>
        <v>355.74552000000006</v>
      </c>
      <c r="CA194" s="14">
        <f t="shared" si="170"/>
        <v>82.744450026504168</v>
      </c>
      <c r="CB194" s="22">
        <f t="shared" si="171"/>
        <v>763.70336446282818</v>
      </c>
      <c r="CC194" s="62">
        <f t="shared" si="119"/>
        <v>1057.0366977961614</v>
      </c>
      <c r="CD194" s="62">
        <f ca="1">AVERAGE(OFFSET($CC$3,0,0,'Données projet'!$E$12+1,1))-AVERAGE(OFFSET($H$3,0,0,'Données projet'!$E$12+1,1))</f>
        <v>287.12723448949828</v>
      </c>
      <c r="CE194" s="62">
        <f t="shared" si="148"/>
        <v>170.5203352323382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0.47663564801625613</v>
      </c>
      <c r="CL194" s="23">
        <f>EXP(-LN(2)/25)*CL193+(1-EXP(-LN(2)/25))/(LN(2)/25)*Calculateur!CG194*Calculateur!CI194*VLOOKUP('Données projet'!$B$12,Paramètres!$A$1:$I$89,3,0)*0.475*44/12</f>
        <v>1.0626295438285009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1.5392651918447571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477.12000000000097</v>
      </c>
      <c r="CU194" s="18">
        <f>CT194*VLOOKUP('Données projet'!$B$13,Paramètres!$A$1:$I$89,3,0)*VLOOKUP('Données projet'!$B$13,Paramètres!$A$1:$I$89,5,0)</f>
        <v>461.47046400000096</v>
      </c>
      <c r="CV194" s="14">
        <f t="shared" si="173"/>
        <v>104.13329806929862</v>
      </c>
      <c r="CW194" s="22">
        <f t="shared" si="174"/>
        <v>985.09321893736342</v>
      </c>
      <c r="CX194" s="62">
        <f t="shared" si="122"/>
        <v>1278.4265522706967</v>
      </c>
      <c r="CY194" s="62">
        <f ca="1">AVERAGE(OFFSET($CX$3,0,0,'Données projet'!$E$13+1,1))-AVERAGE(OFFSET($H$3,0,0,'Données projet'!$E$13+1,1))</f>
        <v>467.37715054082025</v>
      </c>
      <c r="CZ194" s="62">
        <f t="shared" si="150"/>
        <v>443.35096563136415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0.41561668033607962</v>
      </c>
      <c r="DG194" s="23">
        <f>EXP(-LN(2)/25)*DG193+(1-EXP(-LN(2)/25))/(LN(2)/25)*Calculateur!DB194*Calculateur!DD194*VLOOKUP('Données projet'!$B$13,Paramètres!$A$1:$I$89,3,0)*0.475*44/12</f>
        <v>0.1685176882480256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0.58413436858410517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477.12000000000097</v>
      </c>
      <c r="DP194" s="18">
        <f>DO194*VLOOKUP('Données projet'!$B$14,Paramètres!$A$1:$I$89,3,0)*VLOOKUP('Données projet'!$B$14,Paramètres!$A$1:$I$89,5,0)</f>
        <v>513.57196800000099</v>
      </c>
      <c r="DQ194" s="14">
        <f t="shared" si="176"/>
        <v>114.45621584436451</v>
      </c>
      <c r="DR194" s="22">
        <f t="shared" si="177"/>
        <v>1093.8157535289363</v>
      </c>
      <c r="DS194" s="62">
        <f t="shared" si="125"/>
        <v>1387.1490868622695</v>
      </c>
      <c r="DT194" s="62">
        <f ca="1">AVERAGE(OFFSET($DS$3,0,0,'Données projet'!$E$14+1,1))-AVERAGE(OFFSET($H$3,0,0,'Données projet'!$E$14+1,1))</f>
        <v>524.51242549438939</v>
      </c>
      <c r="DU194" s="62">
        <f t="shared" si="152"/>
        <v>494.88778446576327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0.46254114424499121</v>
      </c>
      <c r="EB194" s="23">
        <f>EXP(-LN(2)/25)*EB193+(1-EXP(-LN(2)/25))/(LN(2)/25)*Calculateur!DW194*Calculateur!DY194*VLOOKUP('Données projet'!$B$14,Paramètres!$A$1:$I$89,3,0)*0.475*44/12</f>
        <v>0.18754387885667362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0.65008502310166483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629.34688482515401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256.51999999999981</v>
      </c>
      <c r="O195" s="14">
        <f>N195*VLOOKUP('Données projet'!$B$9,Paramètres!$A$1:$I$89,3,0)*VLOOKUP('Données projet'!$B$9,Paramètres!$A$1:$I$89,5,0)</f>
        <v>232.09929599999984</v>
      </c>
      <c r="P195" s="14">
        <f t="shared" si="141"/>
        <v>56.736358096348383</v>
      </c>
      <c r="Q195" s="22">
        <f t="shared" si="162"/>
        <v>503.0554308844732</v>
      </c>
      <c r="R195" s="62">
        <f t="shared" ref="R195:R203" si="191">Q195+(I195+J195)*44/12</f>
        <v>796.38876421780651</v>
      </c>
      <c r="S195" s="62">
        <f ca="1">AVERAGE(OFFSET($R$3,0,0,'Données projet'!$E$9+1,1))-AVERAGE(OFFSET($H$3,0,0,'Données projet'!$E$9+1,1))</f>
        <v>299.17641394512162</v>
      </c>
      <c r="T195" s="62">
        <f t="shared" si="142"/>
        <v>180.73046320039873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5.6322324290602896</v>
      </c>
      <c r="AA195" s="23">
        <f>EXP(-LN(2)/25)*AA194+(1-EXP(-LN(2)/25))/(LN(2)/25)*Calculateur!V195*Calculateur!X195*VLOOKUP('Données projet'!$B$9,Paramètres!$A$1:$I$89,3,0)*0.475*44/12</f>
        <v>3.0993851693562577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8.7316175984165483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361.20999999999862</v>
      </c>
      <c r="AJ195" s="14">
        <f>AI195*VLOOKUP('Données projet'!$B$10,Paramètres!$A$1:$I$89,3,0)*VLOOKUP('Données projet'!$B$10,Paramètres!$A$1:$I$89,5,0)</f>
        <v>366.26693999999861</v>
      </c>
      <c r="AK195" s="14">
        <f t="shared" si="164"/>
        <v>84.903135734816331</v>
      </c>
      <c r="AL195" s="22">
        <f t="shared" si="165"/>
        <v>785.7878819048027</v>
      </c>
      <c r="AM195" s="62">
        <f t="shared" si="113"/>
        <v>1079.1212152381361</v>
      </c>
      <c r="AN195" s="62">
        <f ca="1">AVERAGE(OFFSET($AM$3,0,0,'Données projet'!$E$10+1,1))-AVERAGE(OFFSET($H$3,0,0,'Données projet'!$E$10+1,1))</f>
        <v>384.66322295929552</v>
      </c>
      <c r="AO195" s="62">
        <f t="shared" si="144"/>
        <v>248.53970183513286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6.1286877714057137</v>
      </c>
      <c r="AV195" s="23">
        <f>EXP(-LN(2)/25)*AV194+(1-EXP(-LN(2)/25))/(LN(2)/25)*Calculateur!AQ195*Calculateur!AS195*VLOOKUP('Données projet'!$B$10,Paramètres!$A$1:$I$89,3,0)*0.475*44/12</f>
        <v>3.3400528679006718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9.468740639306386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343.79999999999995</v>
      </c>
      <c r="BE195" s="14">
        <f>BD195*VLOOKUP('Données projet'!$B$11,Paramètres!$A$1:$I$89,3,0)*VLOOKUP('Données projet'!$B$11,Paramètres!$A$1:$I$89,5,0)</f>
        <v>205.5924</v>
      </c>
      <c r="BF195" s="14">
        <f t="shared" si="167"/>
        <v>50.971228364263673</v>
      </c>
      <c r="BG195" s="22">
        <f t="shared" si="168"/>
        <v>446.84831940109251</v>
      </c>
      <c r="BH195" s="62">
        <f t="shared" si="116"/>
        <v>740.18165273442582</v>
      </c>
      <c r="BI195" s="62">
        <f ca="1">AVERAGE(OFFSET($BH$3,0,0,'Données projet'!$E$11+1,1))-AVERAGE(OFFSET($H$3,0,0,'Données projet'!$E$11+1,1))</f>
        <v>146.25807703055079</v>
      </c>
      <c r="BJ195" s="62">
        <f t="shared" si="146"/>
        <v>177.40137940534413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0.38499150360469003</v>
      </c>
      <c r="BQ195" s="23">
        <f>EXP(-LN(2)/25)*BQ194+(1-EXP(-LN(2)/25))/(LN(2)/25)*Calculateur!BL195*Calculateur!BN195*VLOOKUP('Données projet'!$B$11,Paramètres!$A$1:$I$89,3,0)*0.475*44/12</f>
        <v>0.10929416776131497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0.49428567136600499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760.1400000000001</v>
      </c>
      <c r="BZ195" s="14">
        <f>BY195*VLOOKUP('Données projet'!$B$12,Paramètres!$A$1:$I$89,3,0)*VLOOKUP('Données projet'!$B$12,Paramètres!$A$1:$I$89,5,0)</f>
        <v>355.74552000000006</v>
      </c>
      <c r="CA195" s="14">
        <f t="shared" si="170"/>
        <v>82.744450026504168</v>
      </c>
      <c r="CB195" s="22">
        <f t="shared" si="171"/>
        <v>763.70336446282818</v>
      </c>
      <c r="CC195" s="62">
        <f t="shared" si="119"/>
        <v>1057.0366977961614</v>
      </c>
      <c r="CD195" s="62">
        <f ca="1">AVERAGE(OFFSET($CC$3,0,0,'Données projet'!$E$12+1,1))-AVERAGE(OFFSET($H$3,0,0,'Données projet'!$E$12+1,1))</f>
        <v>287.12723448949828</v>
      </c>
      <c r="CE195" s="62">
        <f t="shared" si="148"/>
        <v>170.5203352323382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0.46728911367769654</v>
      </c>
      <c r="CL195" s="23">
        <f>EXP(-LN(2)/25)*CL194+(1-EXP(-LN(2)/25))/(LN(2)/25)*Calculateur!CG195*Calculateur!CI195*VLOOKUP('Données projet'!$B$12,Paramètres!$A$1:$I$89,3,0)*0.475*44/12</f>
        <v>1.0335718830712515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1.5008609967489481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477.12000000000097</v>
      </c>
      <c r="CU195" s="18">
        <f>CT195*VLOOKUP('Données projet'!$B$13,Paramètres!$A$1:$I$89,3,0)*VLOOKUP('Données projet'!$B$13,Paramètres!$A$1:$I$89,5,0)</f>
        <v>461.47046400000096</v>
      </c>
      <c r="CV195" s="14">
        <f t="shared" si="173"/>
        <v>104.13329806929862</v>
      </c>
      <c r="CW195" s="22">
        <f t="shared" si="174"/>
        <v>985.09321893736342</v>
      </c>
      <c r="CX195" s="62">
        <f t="shared" si="122"/>
        <v>1278.4265522706967</v>
      </c>
      <c r="CY195" s="62">
        <f ca="1">AVERAGE(OFFSET($CX$3,0,0,'Données projet'!$E$13+1,1))-AVERAGE(OFFSET($H$3,0,0,'Données projet'!$E$13+1,1))</f>
        <v>467.37715054082025</v>
      </c>
      <c r="CZ195" s="62">
        <f t="shared" si="150"/>
        <v>443.35096563136415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0.40746669073583297</v>
      </c>
      <c r="DG195" s="23">
        <f>EXP(-LN(2)/25)*DG194+(1-EXP(-LN(2)/25))/(LN(2)/25)*Calculateur!DB195*Calculateur!DD195*VLOOKUP('Données projet'!$B$13,Paramètres!$A$1:$I$89,3,0)*0.475*44/12</f>
        <v>0.16390956320092326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0.57137625393675617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477.12000000000097</v>
      </c>
      <c r="DP195" s="18">
        <f>DO195*VLOOKUP('Données projet'!$B$14,Paramètres!$A$1:$I$89,3,0)*VLOOKUP('Données projet'!$B$14,Paramètres!$A$1:$I$89,5,0)</f>
        <v>513.57196800000099</v>
      </c>
      <c r="DQ195" s="14">
        <f t="shared" si="176"/>
        <v>114.45621584436451</v>
      </c>
      <c r="DR195" s="22">
        <f t="shared" si="177"/>
        <v>1093.8157535289363</v>
      </c>
      <c r="DS195" s="62">
        <f t="shared" si="125"/>
        <v>1387.1490868622695</v>
      </c>
      <c r="DT195" s="62">
        <f ca="1">AVERAGE(OFFSET($DS$3,0,0,'Données projet'!$E$14+1,1))-AVERAGE(OFFSET($H$3,0,0,'Données projet'!$E$14+1,1))</f>
        <v>524.51242549438939</v>
      </c>
      <c r="DU195" s="62">
        <f t="shared" si="152"/>
        <v>494.88778446576327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0.45347099452858769</v>
      </c>
      <c r="EB195" s="23">
        <f>EXP(-LN(2)/25)*EB194+(1-EXP(-LN(2)/25))/(LN(2)/25)*Calculateur!DW195*Calculateur!DY195*VLOOKUP('Données projet'!$B$14,Paramètres!$A$1:$I$89,3,0)*0.475*44/12</f>
        <v>0.18241548162683394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0.6358864761554216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631.24215287666095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256.51999999999981</v>
      </c>
      <c r="O196" s="14">
        <f>N196*VLOOKUP('Données projet'!$B$9,Paramètres!$A$1:$I$89,3,0)*VLOOKUP('Données projet'!$B$9,Paramètres!$A$1:$I$89,5,0)</f>
        <v>232.09929599999984</v>
      </c>
      <c r="P196" s="14">
        <f t="shared" si="141"/>
        <v>56.736358096348383</v>
      </c>
      <c r="Q196" s="22">
        <f t="shared" si="162"/>
        <v>503.0554308844732</v>
      </c>
      <c r="R196" s="62">
        <f t="shared" si="191"/>
        <v>796.38876421780651</v>
      </c>
      <c r="S196" s="62">
        <f ca="1">AVERAGE(OFFSET($R$3,0,0,'Données projet'!$E$9+1,1))-AVERAGE(OFFSET($H$3,0,0,'Données projet'!$E$9+1,1))</f>
        <v>299.17641394512162</v>
      </c>
      <c r="T196" s="62">
        <f t="shared" si="142"/>
        <v>180.73046320039873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5.5217877864489893</v>
      </c>
      <c r="AA196" s="23">
        <f>EXP(-LN(2)/25)*AA195+(1-EXP(-LN(2)/25))/(LN(2)/25)*Calculateur!V196*Calculateur!X196*VLOOKUP('Données projet'!$B$9,Paramètres!$A$1:$I$89,3,0)*0.475*44/12</f>
        <v>3.0146323189106288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8.5364201053596176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361.20999999999862</v>
      </c>
      <c r="AJ196" s="14">
        <f>AI196*VLOOKUP('Données projet'!$B$10,Paramètres!$A$1:$I$89,3,0)*VLOOKUP('Données projet'!$B$10,Paramètres!$A$1:$I$89,5,0)</f>
        <v>366.26693999999861</v>
      </c>
      <c r="AK196" s="14">
        <f t="shared" si="164"/>
        <v>84.903135734816331</v>
      </c>
      <c r="AL196" s="22">
        <f t="shared" si="165"/>
        <v>785.7878819048027</v>
      </c>
      <c r="AM196" s="62">
        <f t="shared" ref="AM196:AM203" si="193">AL196+(AD196+AE196)*44/12</f>
        <v>1079.1212152381361</v>
      </c>
      <c r="AN196" s="62">
        <f ca="1">AVERAGE(OFFSET($AM$3,0,0,'Données projet'!$E$10+1,1))-AVERAGE(OFFSET($H$3,0,0,'Données projet'!$E$10+1,1))</f>
        <v>384.66322295929552</v>
      </c>
      <c r="AO196" s="62">
        <f t="shared" si="144"/>
        <v>248.53970183513286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6.0085079423388787</v>
      </c>
      <c r="AV196" s="23">
        <f>EXP(-LN(2)/25)*AV195+(1-EXP(-LN(2)/25))/(LN(2)/25)*Calculateur!AQ196*Calculateur!AS196*VLOOKUP('Données projet'!$B$10,Paramètres!$A$1:$I$89,3,0)*0.475*44/12</f>
        <v>3.2487189465821813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9.2572268889210605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343.79999999999995</v>
      </c>
      <c r="BE196" s="14">
        <f>BD196*VLOOKUP('Données projet'!$B$11,Paramètres!$A$1:$I$89,3,0)*VLOOKUP('Données projet'!$B$11,Paramètres!$A$1:$I$89,5,0)</f>
        <v>205.5924</v>
      </c>
      <c r="BF196" s="14">
        <f t="shared" si="167"/>
        <v>50.971228364263673</v>
      </c>
      <c r="BG196" s="22">
        <f t="shared" si="168"/>
        <v>446.84831940109251</v>
      </c>
      <c r="BH196" s="62">
        <f t="shared" ref="BH196:BH203" si="194">BG196+(AY196+AZ196)*44/12</f>
        <v>740.18165273442582</v>
      </c>
      <c r="BI196" s="62">
        <f ca="1">AVERAGE(OFFSET($BH$3,0,0,'Données projet'!$E$11+1,1))-AVERAGE(OFFSET($H$3,0,0,'Données projet'!$E$11+1,1))</f>
        <v>146.25807703055079</v>
      </c>
      <c r="BJ196" s="62">
        <f t="shared" si="146"/>
        <v>177.40137940534413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0.37744205504063255</v>
      </c>
      <c r="BQ196" s="23">
        <f>EXP(-LN(2)/25)*BQ195+(1-EXP(-LN(2)/25))/(LN(2)/25)*Calculateur!BL196*Calculateur!BN196*VLOOKUP('Données projet'!$B$11,Paramètres!$A$1:$I$89,3,0)*0.475*44/12</f>
        <v>0.10630551299635133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0.48374756803698388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760.1400000000001</v>
      </c>
      <c r="BZ196" s="14">
        <f>BY196*VLOOKUP('Données projet'!$B$12,Paramètres!$A$1:$I$89,3,0)*VLOOKUP('Données projet'!$B$12,Paramètres!$A$1:$I$89,5,0)</f>
        <v>355.74552000000006</v>
      </c>
      <c r="CA196" s="14">
        <f t="shared" si="170"/>
        <v>82.744450026504168</v>
      </c>
      <c r="CB196" s="22">
        <f t="shared" si="171"/>
        <v>763.70336446282818</v>
      </c>
      <c r="CC196" s="62">
        <f t="shared" ref="CC196:CC203" si="195">CB196+(BT196+BU196)*44/12</f>
        <v>1057.0366977961614</v>
      </c>
      <c r="CD196" s="62">
        <f ca="1">AVERAGE(OFFSET($CC$3,0,0,'Données projet'!$E$12+1,1))-AVERAGE(OFFSET($H$3,0,0,'Données projet'!$E$12+1,1))</f>
        <v>287.12723448949828</v>
      </c>
      <c r="CE196" s="62">
        <f t="shared" si="148"/>
        <v>170.5203352323382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0.45812585917669307</v>
      </c>
      <c r="CL196" s="23">
        <f>EXP(-LN(2)/25)*CL195+(1-EXP(-LN(2)/25))/(LN(2)/25)*Calculateur!CG196*Calculateur!CI196*VLOOKUP('Données projet'!$B$12,Paramètres!$A$1:$I$89,3,0)*0.475*44/12</f>
        <v>1.0053088055754851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1.4634346647521781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477.12000000000097</v>
      </c>
      <c r="CU196" s="18">
        <f>CT196*VLOOKUP('Données projet'!$B$13,Paramètres!$A$1:$I$89,3,0)*VLOOKUP('Données projet'!$B$13,Paramètres!$A$1:$I$89,5,0)</f>
        <v>461.47046400000096</v>
      </c>
      <c r="CV196" s="14">
        <f t="shared" si="173"/>
        <v>104.13329806929862</v>
      </c>
      <c r="CW196" s="22">
        <f t="shared" si="174"/>
        <v>985.09321893736342</v>
      </c>
      <c r="CX196" s="62">
        <f t="shared" ref="CX196:CX203" si="196">CW196+(CO196+CP196)*44/12</f>
        <v>1278.4265522706967</v>
      </c>
      <c r="CY196" s="62">
        <f ca="1">AVERAGE(OFFSET($CX$3,0,0,'Données projet'!$E$13+1,1))-AVERAGE(OFFSET($H$3,0,0,'Données projet'!$E$13+1,1))</f>
        <v>467.37715054082025</v>
      </c>
      <c r="CZ196" s="62">
        <f t="shared" si="150"/>
        <v>443.35096563136415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0.39947651746064433</v>
      </c>
      <c r="DG196" s="23">
        <f>EXP(-LN(2)/25)*DG195+(1-EXP(-LN(2)/25))/(LN(2)/25)*Calculateur!DB196*Calculateur!DD196*VLOOKUP('Données projet'!$B$13,Paramètres!$A$1:$I$89,3,0)*0.475*44/12</f>
        <v>0.15942744757556471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0.55890396503620909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477.12000000000097</v>
      </c>
      <c r="DP196" s="18">
        <f>DO196*VLOOKUP('Données projet'!$B$14,Paramètres!$A$1:$I$89,3,0)*VLOOKUP('Données projet'!$B$14,Paramètres!$A$1:$I$89,5,0)</f>
        <v>513.57196800000099</v>
      </c>
      <c r="DQ196" s="14">
        <f t="shared" si="176"/>
        <v>114.45621584436451</v>
      </c>
      <c r="DR196" s="22">
        <f t="shared" si="177"/>
        <v>1093.8157535289363</v>
      </c>
      <c r="DS196" s="62">
        <f t="shared" ref="DS196:DS203" si="197">DR196+(DJ196+DK196)*44/12</f>
        <v>1387.1490868622695</v>
      </c>
      <c r="DT196" s="62">
        <f ca="1">AVERAGE(OFFSET($DS$3,0,0,'Données projet'!$E$14+1,1))-AVERAGE(OFFSET($H$3,0,0,'Données projet'!$E$14+1,1))</f>
        <v>524.51242549438939</v>
      </c>
      <c r="DU196" s="62">
        <f t="shared" si="152"/>
        <v>494.88778446576327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0.44457870491587775</v>
      </c>
      <c r="EB196" s="23">
        <f>EXP(-LN(2)/25)*EB195+(1-EXP(-LN(2)/25))/(LN(2)/25)*Calculateur!DW196*Calculateur!DY196*VLOOKUP('Données projet'!$B$14,Paramètres!$A$1:$I$89,3,0)*0.475*44/12</f>
        <v>0.17742732068893491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0.62200602560481266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633.13721196592269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256.51999999999981</v>
      </c>
      <c r="O197" s="14">
        <f>N197*VLOOKUP('Données projet'!$B$9,Paramètres!$A$1:$I$89,3,0)*VLOOKUP('Données projet'!$B$9,Paramètres!$A$1:$I$89,5,0)</f>
        <v>232.09929599999984</v>
      </c>
      <c r="P197" s="14">
        <f t="shared" ref="P197:P203" si="203">EXP(-1.0587+0.8836*LN(O197)+0.284)</f>
        <v>56.736358096348383</v>
      </c>
      <c r="Q197" s="22">
        <f t="shared" si="162"/>
        <v>503.0554308844732</v>
      </c>
      <c r="R197" s="62">
        <f t="shared" si="191"/>
        <v>796.38876421780651</v>
      </c>
      <c r="S197" s="62">
        <f ca="1">AVERAGE(OFFSET($R$3,0,0,'Données projet'!$E$9+1,1))-AVERAGE(OFFSET($H$3,0,0,'Données projet'!$E$9+1,1))</f>
        <v>299.17641394512162</v>
      </c>
      <c r="T197" s="62">
        <f t="shared" ref="T197:T203" si="204">$T$3</f>
        <v>180.73046320039873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5.413508895914716</v>
      </c>
      <c r="AA197" s="23">
        <f>EXP(-LN(2)/25)*AA196+(1-EXP(-LN(2)/25))/(LN(2)/25)*Calculateur!V197*Calculateur!X197*VLOOKUP('Données projet'!$B$9,Paramètres!$A$1:$I$89,3,0)*0.475*44/12</f>
        <v>2.9321970396173942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8.3457059355321093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361.20999999999862</v>
      </c>
      <c r="AJ197" s="14">
        <f>AI197*VLOOKUP('Données projet'!$B$10,Paramètres!$A$1:$I$89,3,0)*VLOOKUP('Données projet'!$B$10,Paramètres!$A$1:$I$89,5,0)</f>
        <v>366.26693999999861</v>
      </c>
      <c r="AK197" s="14">
        <f t="shared" si="164"/>
        <v>84.903135734816331</v>
      </c>
      <c r="AL197" s="22">
        <f t="shared" si="165"/>
        <v>785.7878819048027</v>
      </c>
      <c r="AM197" s="62">
        <f t="shared" si="193"/>
        <v>1079.1212152381361</v>
      </c>
      <c r="AN197" s="62">
        <f ca="1">AVERAGE(OFFSET($AM$3,0,0,'Données projet'!$E$10+1,1))-AVERAGE(OFFSET($H$3,0,0,'Données projet'!$E$10+1,1))</f>
        <v>384.66322295929552</v>
      </c>
      <c r="AO197" s="62">
        <f t="shared" ref="AO197:AO203" si="205">$AO$3</f>
        <v>248.53970183513286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5.8906847664175865</v>
      </c>
      <c r="AV197" s="23">
        <f>EXP(-LN(2)/25)*AV196+(1-EXP(-LN(2)/25))/(LN(2)/25)*Calculateur!AQ197*Calculateur!AS197*VLOOKUP('Données projet'!$B$10,Paramètres!$A$1:$I$89,3,0)*0.475*44/12</f>
        <v>3.1598825561451873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9.0505673225627739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343.79999999999995</v>
      </c>
      <c r="BE197" s="14">
        <f>BD197*VLOOKUP('Données projet'!$B$11,Paramètres!$A$1:$I$89,3,0)*VLOOKUP('Données projet'!$B$11,Paramètres!$A$1:$I$89,5,0)</f>
        <v>205.5924</v>
      </c>
      <c r="BF197" s="14">
        <f t="shared" si="167"/>
        <v>50.971228364263673</v>
      </c>
      <c r="BG197" s="22">
        <f t="shared" si="168"/>
        <v>446.84831940109251</v>
      </c>
      <c r="BH197" s="62">
        <f t="shared" si="194"/>
        <v>740.18165273442582</v>
      </c>
      <c r="BI197" s="62">
        <f ca="1">AVERAGE(OFFSET($BH$3,0,0,'Données projet'!$E$11+1,1))-AVERAGE(OFFSET($H$3,0,0,'Données projet'!$E$11+1,1))</f>
        <v>146.25807703055079</v>
      </c>
      <c r="BJ197" s="62">
        <f t="shared" ref="BJ197:BJ203" si="206">$BJ$3</f>
        <v>177.40137940534413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0.37004064655820729</v>
      </c>
      <c r="BQ197" s="23">
        <f>EXP(-LN(2)/25)*BQ196+(1-EXP(-LN(2)/25))/(LN(2)/25)*Calculateur!BL197*Calculateur!BN197*VLOOKUP('Données projet'!$B$11,Paramètres!$A$1:$I$89,3,0)*0.475*44/12</f>
        <v>0.10339858315310213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0.47343922971130942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760.1400000000001</v>
      </c>
      <c r="BZ197" s="14">
        <f>BY197*VLOOKUP('Données projet'!$B$12,Paramètres!$A$1:$I$89,3,0)*VLOOKUP('Données projet'!$B$12,Paramètres!$A$1:$I$89,5,0)</f>
        <v>355.74552000000006</v>
      </c>
      <c r="CA197" s="14">
        <f t="shared" si="170"/>
        <v>82.744450026504168</v>
      </c>
      <c r="CB197" s="22">
        <f t="shared" si="171"/>
        <v>763.70336446282818</v>
      </c>
      <c r="CC197" s="62">
        <f t="shared" si="195"/>
        <v>1057.0366977961614</v>
      </c>
      <c r="CD197" s="62">
        <f ca="1">AVERAGE(OFFSET($CC$3,0,0,'Données projet'!$E$12+1,1))-AVERAGE(OFFSET($H$3,0,0,'Données projet'!$E$12+1,1))</f>
        <v>287.12723448949828</v>
      </c>
      <c r="CE197" s="62">
        <f t="shared" ref="CE197:CE203" si="207">$CE$3</f>
        <v>170.5203352323382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0.44914229050742088</v>
      </c>
      <c r="CL197" s="23">
        <f>EXP(-LN(2)/25)*CL196+(1-EXP(-LN(2)/25))/(LN(2)/25)*Calculateur!CG197*Calculateur!CI197*VLOOKUP('Données projet'!$B$12,Paramètres!$A$1:$I$89,3,0)*0.475*44/12</f>
        <v>0.97781858342013106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1.4269608739275519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477.12000000000097</v>
      </c>
      <c r="CU197" s="18">
        <f>CT197*VLOOKUP('Données projet'!$B$13,Paramètres!$A$1:$I$89,3,0)*VLOOKUP('Données projet'!$B$13,Paramètres!$A$1:$I$89,5,0)</f>
        <v>461.47046400000096</v>
      </c>
      <c r="CV197" s="14">
        <f t="shared" si="173"/>
        <v>104.13329806929862</v>
      </c>
      <c r="CW197" s="22">
        <f t="shared" si="174"/>
        <v>985.09321893736342</v>
      </c>
      <c r="CX197" s="62">
        <f t="shared" si="196"/>
        <v>1278.4265522706967</v>
      </c>
      <c r="CY197" s="62">
        <f ca="1">AVERAGE(OFFSET($CX$3,0,0,'Données projet'!$E$13+1,1))-AVERAGE(OFFSET($H$3,0,0,'Données projet'!$E$13+1,1))</f>
        <v>467.37715054082025</v>
      </c>
      <c r="CZ197" s="62">
        <f t="shared" ref="CZ197:CZ203" si="208">$CZ$3</f>
        <v>443.35096563136415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0.39164302660985767</v>
      </c>
      <c r="DG197" s="23">
        <f>EXP(-LN(2)/25)*DG196+(1-EXP(-LN(2)/25))/(LN(2)/25)*Calculateur!DB197*Calculateur!DD197*VLOOKUP('Données projet'!$B$13,Paramètres!$A$1:$I$89,3,0)*0.475*44/12</f>
        <v>0.1550678956376858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0.54671092224754347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477.12000000000097</v>
      </c>
      <c r="DP197" s="18">
        <f>DO197*VLOOKUP('Données projet'!$B$14,Paramètres!$A$1:$I$89,3,0)*VLOOKUP('Données projet'!$B$14,Paramètres!$A$1:$I$89,5,0)</f>
        <v>513.57196800000099</v>
      </c>
      <c r="DQ197" s="14">
        <f t="shared" si="176"/>
        <v>114.45621584436451</v>
      </c>
      <c r="DR197" s="22">
        <f t="shared" si="177"/>
        <v>1093.8157535289363</v>
      </c>
      <c r="DS197" s="62">
        <f t="shared" si="197"/>
        <v>1387.1490868622695</v>
      </c>
      <c r="DT197" s="62">
        <f ca="1">AVERAGE(OFFSET($DS$3,0,0,'Données projet'!$E$14+1,1))-AVERAGE(OFFSET($H$3,0,0,'Données projet'!$E$14+1,1))</f>
        <v>524.51242549438939</v>
      </c>
      <c r="DU197" s="62">
        <f t="shared" ref="DU197:DU203" si="209">$DU$3</f>
        <v>494.88778446576327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0.43586078767871195</v>
      </c>
      <c r="EB197" s="23">
        <f>EXP(-LN(2)/25)*EB196+(1-EXP(-LN(2)/25))/(LN(2)/25)*Calculateur!DW197*Calculateur!DY197*VLOOKUP('Données projet'!$B$14,Paramètres!$A$1:$I$89,3,0)*0.475*44/12</f>
        <v>0.17257556127419871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0.60843634895291066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635.0320632950918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256.51999999999981</v>
      </c>
      <c r="O198" s="14">
        <f>N198*VLOOKUP('Données projet'!$B$9,Paramètres!$A$1:$I$89,3,0)*VLOOKUP('Données projet'!$B$9,Paramètres!$A$1:$I$89,5,0)</f>
        <v>232.09929599999984</v>
      </c>
      <c r="P198" s="14">
        <f t="shared" si="203"/>
        <v>56.736358096348383</v>
      </c>
      <c r="Q198" s="22">
        <f t="shared" si="162"/>
        <v>503.0554308844732</v>
      </c>
      <c r="R198" s="62">
        <f t="shared" si="191"/>
        <v>796.38876421780651</v>
      </c>
      <c r="S198" s="62">
        <f ca="1">AVERAGE(OFFSET($R$3,0,0,'Données projet'!$E$9+1,1))-AVERAGE(OFFSET($H$3,0,0,'Données projet'!$E$9+1,1))</f>
        <v>299.17641394512162</v>
      </c>
      <c r="T198" s="62">
        <f t="shared" si="204"/>
        <v>180.73046320039873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5.3073532883802184</v>
      </c>
      <c r="AA198" s="23">
        <f>EXP(-LN(2)/25)*AA197+(1-EXP(-LN(2)/25))/(LN(2)/25)*Calculateur!V198*Calculateur!X198*VLOOKUP('Données projet'!$B$9,Paramètres!$A$1:$I$89,3,0)*0.475*44/12</f>
        <v>2.852015957371516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8.1593692457517335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361.20999999999862</v>
      </c>
      <c r="AJ198" s="14">
        <f>AI198*VLOOKUP('Données projet'!$B$10,Paramètres!$A$1:$I$89,3,0)*VLOOKUP('Données projet'!$B$10,Paramètres!$A$1:$I$89,5,0)</f>
        <v>366.26693999999861</v>
      </c>
      <c r="AK198" s="14">
        <f t="shared" si="164"/>
        <v>84.903135734816331</v>
      </c>
      <c r="AL198" s="22">
        <f t="shared" si="165"/>
        <v>785.7878819048027</v>
      </c>
      <c r="AM198" s="62">
        <f t="shared" si="193"/>
        <v>1079.1212152381361</v>
      </c>
      <c r="AN198" s="62">
        <f ca="1">AVERAGE(OFFSET($AM$3,0,0,'Données projet'!$E$10+1,1))-AVERAGE(OFFSET($H$3,0,0,'Données projet'!$E$10+1,1))</f>
        <v>384.66322295929552</v>
      </c>
      <c r="AO198" s="62">
        <f t="shared" si="205"/>
        <v>248.53970183513286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5.7751720311110697</v>
      </c>
      <c r="AV198" s="23">
        <f>EXP(-LN(2)/25)*AV197+(1-EXP(-LN(2)/25))/(LN(2)/25)*Calculateur!AQ198*Calculateur!AS198*VLOOKUP('Données projet'!$B$10,Paramètres!$A$1:$I$89,3,0)*0.475*44/12</f>
        <v>3.0734754014763954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8.848647432587466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343.79999999999995</v>
      </c>
      <c r="BE198" s="14">
        <f>BD198*VLOOKUP('Données projet'!$B$11,Paramètres!$A$1:$I$89,3,0)*VLOOKUP('Données projet'!$B$11,Paramètres!$A$1:$I$89,5,0)</f>
        <v>205.5924</v>
      </c>
      <c r="BF198" s="14">
        <f t="shared" si="167"/>
        <v>50.971228364263673</v>
      </c>
      <c r="BG198" s="22">
        <f t="shared" si="168"/>
        <v>446.84831940109251</v>
      </c>
      <c r="BH198" s="62">
        <f t="shared" si="194"/>
        <v>740.18165273442582</v>
      </c>
      <c r="BI198" s="62">
        <f ca="1">AVERAGE(OFFSET($BH$3,0,0,'Données projet'!$E$11+1,1))-AVERAGE(OFFSET($H$3,0,0,'Données projet'!$E$11+1,1))</f>
        <v>146.25807703055079</v>
      </c>
      <c r="BJ198" s="62">
        <f t="shared" si="206"/>
        <v>177.40137940534413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0.36278437518170897</v>
      </c>
      <c r="BQ198" s="23">
        <f>EXP(-LN(2)/25)*BQ197+(1-EXP(-LN(2)/25))/(LN(2)/25)*Calculateur!BL198*Calculateur!BN198*VLOOKUP('Données projet'!$B$11,Paramètres!$A$1:$I$89,3,0)*0.475*44/12</f>
        <v>0.10057114345928539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0.46335551864099433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760.1400000000001</v>
      </c>
      <c r="BZ198" s="14">
        <f>BY198*VLOOKUP('Données projet'!$B$12,Paramètres!$A$1:$I$89,3,0)*VLOOKUP('Données projet'!$B$12,Paramètres!$A$1:$I$89,5,0)</f>
        <v>355.74552000000006</v>
      </c>
      <c r="CA198" s="14">
        <f t="shared" si="170"/>
        <v>82.744450026504168</v>
      </c>
      <c r="CB198" s="22">
        <f t="shared" si="171"/>
        <v>763.70336446282818</v>
      </c>
      <c r="CC198" s="62">
        <f t="shared" si="195"/>
        <v>1057.0366977961614</v>
      </c>
      <c r="CD198" s="62">
        <f ca="1">AVERAGE(OFFSET($CC$3,0,0,'Données projet'!$E$12+1,1))-AVERAGE(OFFSET($H$3,0,0,'Données projet'!$E$12+1,1))</f>
        <v>287.12723448949828</v>
      </c>
      <c r="CE198" s="62">
        <f t="shared" si="207"/>
        <v>170.5203352323382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0.4403348841403173</v>
      </c>
      <c r="CL198" s="23">
        <f>EXP(-LN(2)/25)*CL197+(1-EXP(-LN(2)/25))/(LN(2)/25)*Calculateur!CG198*Calculateur!CI198*VLOOKUP('Données projet'!$B$12,Paramètres!$A$1:$I$89,3,0)*0.475*44/12</f>
        <v>0.95108008283526313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1.3914149669755804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477.12000000000097</v>
      </c>
      <c r="CU198" s="18">
        <f>CT198*VLOOKUP('Données projet'!$B$13,Paramètres!$A$1:$I$89,3,0)*VLOOKUP('Données projet'!$B$13,Paramètres!$A$1:$I$89,5,0)</f>
        <v>461.47046400000096</v>
      </c>
      <c r="CV198" s="14">
        <f t="shared" si="173"/>
        <v>104.13329806929862</v>
      </c>
      <c r="CW198" s="22">
        <f t="shared" si="174"/>
        <v>985.09321893736342</v>
      </c>
      <c r="CX198" s="62">
        <f t="shared" si="196"/>
        <v>1278.4265522706967</v>
      </c>
      <c r="CY198" s="62">
        <f ca="1">AVERAGE(OFFSET($CX$3,0,0,'Données projet'!$E$13+1,1))-AVERAGE(OFFSET($H$3,0,0,'Données projet'!$E$13+1,1))</f>
        <v>467.37715054082025</v>
      </c>
      <c r="CZ198" s="62">
        <f t="shared" si="208"/>
        <v>443.35096563136415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0.38396314573669726</v>
      </c>
      <c r="DG198" s="23">
        <f>EXP(-LN(2)/25)*DG197+(1-EXP(-LN(2)/25))/(LN(2)/25)*Calculateur!DB198*Calculateur!DD198*VLOOKUP('Données projet'!$B$13,Paramètres!$A$1:$I$89,3,0)*0.475*44/12</f>
        <v>0.15082755587680707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0.53479070161350428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477.12000000000097</v>
      </c>
      <c r="DP198" s="18">
        <f>DO198*VLOOKUP('Données projet'!$B$14,Paramètres!$A$1:$I$89,3,0)*VLOOKUP('Données projet'!$B$14,Paramètres!$A$1:$I$89,5,0)</f>
        <v>513.57196800000099</v>
      </c>
      <c r="DQ198" s="14">
        <f t="shared" si="176"/>
        <v>114.45621584436451</v>
      </c>
      <c r="DR198" s="22">
        <f t="shared" si="177"/>
        <v>1093.8157535289363</v>
      </c>
      <c r="DS198" s="62">
        <f t="shared" si="197"/>
        <v>1387.1490868622695</v>
      </c>
      <c r="DT198" s="62">
        <f ca="1">AVERAGE(OFFSET($DS$3,0,0,'Données projet'!$E$14+1,1))-AVERAGE(OFFSET($H$3,0,0,'Données projet'!$E$14+1,1))</f>
        <v>524.51242549438939</v>
      </c>
      <c r="DU198" s="62">
        <f t="shared" si="209"/>
        <v>494.88778446576327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0.42731382348116248</v>
      </c>
      <c r="EB198" s="23">
        <f>EXP(-LN(2)/25)*EB197+(1-EXP(-LN(2)/25))/(LN(2)/25)*Calculateur!DW198*Calculateur!DY198*VLOOKUP('Données projet'!$B$14,Paramètres!$A$1:$I$89,3,0)*0.475*44/12</f>
        <v>0.1678564734758014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0.59517029695696388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636.92670805327657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256.51999999999981</v>
      </c>
      <c r="O199" s="14">
        <f>N199*VLOOKUP('Données projet'!$B$9,Paramètres!$A$1:$I$89,3,0)*VLOOKUP('Données projet'!$B$9,Paramètres!$A$1:$I$89,5,0)</f>
        <v>232.09929599999984</v>
      </c>
      <c r="P199" s="14">
        <f t="shared" si="203"/>
        <v>56.736358096348383</v>
      </c>
      <c r="Q199" s="22">
        <f t="shared" si="162"/>
        <v>503.0554308844732</v>
      </c>
      <c r="R199" s="62">
        <f t="shared" si="191"/>
        <v>796.38876421780651</v>
      </c>
      <c r="S199" s="62">
        <f ca="1">AVERAGE(OFFSET($R$3,0,0,'Données projet'!$E$9+1,1))-AVERAGE(OFFSET($H$3,0,0,'Données projet'!$E$9+1,1))</f>
        <v>299.17641394512162</v>
      </c>
      <c r="T199" s="62">
        <f t="shared" si="204"/>
        <v>180.73046320039873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5.2032793275609448</v>
      </c>
      <c r="AA199" s="23">
        <f>EXP(-LN(2)/25)*AA198+(1-EXP(-LN(2)/25))/(LN(2)/25)*Calculateur!V199*Calculateur!X199*VLOOKUP('Données projet'!$B$9,Paramètres!$A$1:$I$89,3,0)*0.475*44/12</f>
        <v>2.774027431036191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7.9773067585971358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361.20999999999862</v>
      </c>
      <c r="AJ199" s="14">
        <f>AI199*VLOOKUP('Données projet'!$B$10,Paramètres!$A$1:$I$89,3,0)*VLOOKUP('Données projet'!$B$10,Paramètres!$A$1:$I$89,5,0)</f>
        <v>366.26693999999861</v>
      </c>
      <c r="AK199" s="14">
        <f t="shared" si="164"/>
        <v>84.903135734816331</v>
      </c>
      <c r="AL199" s="22">
        <f t="shared" si="165"/>
        <v>785.7878819048027</v>
      </c>
      <c r="AM199" s="62">
        <f t="shared" si="193"/>
        <v>1079.1212152381361</v>
      </c>
      <c r="AN199" s="62">
        <f ca="1">AVERAGE(OFFSET($AM$3,0,0,'Données projet'!$E$10+1,1))-AVERAGE(OFFSET($H$3,0,0,'Données projet'!$E$10+1,1))</f>
        <v>384.66322295929552</v>
      </c>
      <c r="AO199" s="62">
        <f t="shared" si="205"/>
        <v>248.53970183513286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5.661924430088102</v>
      </c>
      <c r="AV199" s="23">
        <f>EXP(-LN(2)/25)*AV198+(1-EXP(-LN(2)/25))/(LN(2)/25)*Calculateur!AQ199*Calculateur!AS199*VLOOKUP('Données projet'!$B$10,Paramètres!$A$1:$I$89,3,0)*0.475*44/12</f>
        <v>2.9894310549959764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8.6513554850840784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343.79999999999995</v>
      </c>
      <c r="BE199" s="14">
        <f>BD199*VLOOKUP('Données projet'!$B$11,Paramètres!$A$1:$I$89,3,0)*VLOOKUP('Données projet'!$B$11,Paramètres!$A$1:$I$89,5,0)</f>
        <v>205.5924</v>
      </c>
      <c r="BF199" s="14">
        <f t="shared" si="167"/>
        <v>50.971228364263673</v>
      </c>
      <c r="BG199" s="22">
        <f t="shared" si="168"/>
        <v>446.84831940109251</v>
      </c>
      <c r="BH199" s="62">
        <f t="shared" si="194"/>
        <v>740.18165273442582</v>
      </c>
      <c r="BI199" s="62">
        <f ca="1">AVERAGE(OFFSET($BH$3,0,0,'Données projet'!$E$11+1,1))-AVERAGE(OFFSET($H$3,0,0,'Données projet'!$E$11+1,1))</f>
        <v>146.25807703055079</v>
      </c>
      <c r="BJ199" s="62">
        <f t="shared" si="206"/>
        <v>177.40137940534413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0.35567039486101526</v>
      </c>
      <c r="BQ199" s="23">
        <f>EXP(-LN(2)/25)*BQ198+(1-EXP(-LN(2)/25))/(LN(2)/25)*Calculateur!BL199*Calculateur!BN199*VLOOKUP('Données projet'!$B$11,Paramètres!$A$1:$I$89,3,0)*0.475*44/12</f>
        <v>9.7821020252584656E-2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0.45349141511359992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760.1400000000001</v>
      </c>
      <c r="BZ199" s="14">
        <f>BY199*VLOOKUP('Données projet'!$B$12,Paramètres!$A$1:$I$89,3,0)*VLOOKUP('Données projet'!$B$12,Paramètres!$A$1:$I$89,5,0)</f>
        <v>355.74552000000006</v>
      </c>
      <c r="CA199" s="14">
        <f t="shared" si="170"/>
        <v>82.744450026504168</v>
      </c>
      <c r="CB199" s="22">
        <f t="shared" si="171"/>
        <v>763.70336446282818</v>
      </c>
      <c r="CC199" s="62">
        <f t="shared" si="195"/>
        <v>1057.0366977961614</v>
      </c>
      <c r="CD199" s="62">
        <f ca="1">AVERAGE(OFFSET($CC$3,0,0,'Données projet'!$E$12+1,1))-AVERAGE(OFFSET($H$3,0,0,'Données projet'!$E$12+1,1))</f>
        <v>287.12723448949828</v>
      </c>
      <c r="CE199" s="62">
        <f t="shared" si="207"/>
        <v>170.5203352323382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0.43170018564008517</v>
      </c>
      <c r="CL199" s="23">
        <f>EXP(-LN(2)/25)*CL198+(1-EXP(-LN(2)/25))/(LN(2)/25)*Calculateur!CG199*Calculateur!CI199*VLOOKUP('Données projet'!$B$12,Paramètres!$A$1:$I$89,3,0)*0.475*44/12</f>
        <v>0.92507274795500505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1.3567729335950902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477.12000000000097</v>
      </c>
      <c r="CU199" s="18">
        <f>CT199*VLOOKUP('Données projet'!$B$13,Paramètres!$A$1:$I$89,3,0)*VLOOKUP('Données projet'!$B$13,Paramètres!$A$1:$I$89,5,0)</f>
        <v>461.47046400000096</v>
      </c>
      <c r="CV199" s="14">
        <f t="shared" si="173"/>
        <v>104.13329806929862</v>
      </c>
      <c r="CW199" s="22">
        <f t="shared" si="174"/>
        <v>985.09321893736342</v>
      </c>
      <c r="CX199" s="62">
        <f t="shared" si="196"/>
        <v>1278.4265522706967</v>
      </c>
      <c r="CY199" s="62">
        <f ca="1">AVERAGE(OFFSET($CX$3,0,0,'Données projet'!$E$13+1,1))-AVERAGE(OFFSET($H$3,0,0,'Données projet'!$E$13+1,1))</f>
        <v>467.37715054082025</v>
      </c>
      <c r="CZ199" s="62">
        <f t="shared" si="208"/>
        <v>443.35096563136415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0.37643386264319473</v>
      </c>
      <c r="DG199" s="23">
        <f>EXP(-LN(2)/25)*DG198+(1-EXP(-LN(2)/25))/(LN(2)/25)*Calculateur!DB199*Calculateur!DD199*VLOOKUP('Données projet'!$B$13,Paramètres!$A$1:$I$89,3,0)*0.475*44/12</f>
        <v>0.14670316842967934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0.52313703107287401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477.12000000000097</v>
      </c>
      <c r="DP199" s="18">
        <f>DO199*VLOOKUP('Données projet'!$B$14,Paramètres!$A$1:$I$89,3,0)*VLOOKUP('Données projet'!$B$14,Paramètres!$A$1:$I$89,5,0)</f>
        <v>513.57196800000099</v>
      </c>
      <c r="DQ199" s="14">
        <f t="shared" si="176"/>
        <v>114.45621584436451</v>
      </c>
      <c r="DR199" s="22">
        <f t="shared" si="177"/>
        <v>1093.8157535289363</v>
      </c>
      <c r="DS199" s="62">
        <f t="shared" si="197"/>
        <v>1387.1490868622695</v>
      </c>
      <c r="DT199" s="62">
        <f ca="1">AVERAGE(OFFSET($DS$3,0,0,'Données projet'!$E$14+1,1))-AVERAGE(OFFSET($H$3,0,0,'Données projet'!$E$14+1,1))</f>
        <v>524.51242549438939</v>
      </c>
      <c r="DU199" s="62">
        <f t="shared" si="209"/>
        <v>494.88778446576327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0.41893446003839357</v>
      </c>
      <c r="EB199" s="23">
        <f>EXP(-LN(2)/25)*EB198+(1-EXP(-LN(2)/25))/(LN(2)/25)*Calculateur!DW199*Calculateur!DY199*VLOOKUP('Données projet'!$B$14,Paramètres!$A$1:$I$89,3,0)*0.475*44/12</f>
        <v>0.16326642938141731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0.58220088941981085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638.82114741674945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256.51999999999981</v>
      </c>
      <c r="O200" s="14">
        <f>N200*VLOOKUP('Données projet'!$B$9,Paramètres!$A$1:$I$89,3,0)*VLOOKUP('Données projet'!$B$9,Paramètres!$A$1:$I$89,5,0)</f>
        <v>232.09929599999984</v>
      </c>
      <c r="P200" s="14">
        <f t="shared" si="203"/>
        <v>56.736358096348383</v>
      </c>
      <c r="Q200" s="22">
        <f t="shared" si="162"/>
        <v>503.0554308844732</v>
      </c>
      <c r="R200" s="62">
        <f t="shared" si="191"/>
        <v>796.38876421780651</v>
      </c>
      <c r="S200" s="62">
        <f ca="1">AVERAGE(OFFSET($R$3,0,0,'Données projet'!$E$9+1,1))-AVERAGE(OFFSET($H$3,0,0,'Données projet'!$E$9+1,1))</f>
        <v>299.17641394512162</v>
      </c>
      <c r="T200" s="62">
        <f t="shared" si="204"/>
        <v>180.73046320039873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5.1012461936344886</v>
      </c>
      <c r="AA200" s="23">
        <f>EXP(-LN(2)/25)*AA199+(1-EXP(-LN(2)/25))/(LN(2)/25)*Calculateur!V200*Calculateur!X200*VLOOKUP('Données projet'!$B$9,Paramètres!$A$1:$I$89,3,0)*0.475*44/12</f>
        <v>2.6981715050547437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7.7994176986892327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361.20999999999862</v>
      </c>
      <c r="AJ200" s="14">
        <f>AI200*VLOOKUP('Données projet'!$B$10,Paramètres!$A$1:$I$89,3,0)*VLOOKUP('Données projet'!$B$10,Paramètres!$A$1:$I$89,5,0)</f>
        <v>366.26693999999861</v>
      </c>
      <c r="AK200" s="14">
        <f t="shared" si="164"/>
        <v>84.903135734816331</v>
      </c>
      <c r="AL200" s="22">
        <f t="shared" si="165"/>
        <v>785.7878819048027</v>
      </c>
      <c r="AM200" s="62">
        <f t="shared" si="193"/>
        <v>1079.1212152381361</v>
      </c>
      <c r="AN200" s="62">
        <f ca="1">AVERAGE(OFFSET($AM$3,0,0,'Données projet'!$E$10+1,1))-AVERAGE(OFFSET($H$3,0,0,'Données projet'!$E$10+1,1))</f>
        <v>384.66322295929552</v>
      </c>
      <c r="AO200" s="62">
        <f t="shared" si="205"/>
        <v>248.53970183513286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5.5508975454469782</v>
      </c>
      <c r="AV200" s="23">
        <f>EXP(-LN(2)/25)*AV199+(1-EXP(-LN(2)/25))/(LN(2)/25)*Calculateur!AQ200*Calculateur!AS200*VLOOKUP('Données projet'!$B$10,Paramètres!$A$1:$I$89,3,0)*0.475*44/12</f>
        <v>2.9076849055897647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8.4585824510367438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343.79999999999995</v>
      </c>
      <c r="BE200" s="14">
        <f>BD200*VLOOKUP('Données projet'!$B$11,Paramètres!$A$1:$I$89,3,0)*VLOOKUP('Données projet'!$B$11,Paramètres!$A$1:$I$89,5,0)</f>
        <v>205.5924</v>
      </c>
      <c r="BF200" s="14">
        <f t="shared" si="167"/>
        <v>50.971228364263673</v>
      </c>
      <c r="BG200" s="22">
        <f t="shared" si="168"/>
        <v>446.84831940109251</v>
      </c>
      <c r="BH200" s="62">
        <f t="shared" si="194"/>
        <v>740.18165273442582</v>
      </c>
      <c r="BI200" s="62">
        <f ca="1">AVERAGE(OFFSET($BH$3,0,0,'Données projet'!$E$11+1,1))-AVERAGE(OFFSET($H$3,0,0,'Données projet'!$E$11+1,1))</f>
        <v>146.25807703055079</v>
      </c>
      <c r="BJ200" s="62">
        <f t="shared" si="206"/>
        <v>177.40137940534413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0.3486959153553108</v>
      </c>
      <c r="BQ200" s="23">
        <f>EXP(-LN(2)/25)*BQ199+(1-EXP(-LN(2)/25))/(LN(2)/25)*Calculateur!BL200*Calculateur!BN200*VLOOKUP('Données projet'!$B$11,Paramètres!$A$1:$I$89,3,0)*0.475*44/12</f>
        <v>9.5146099309593848E-2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0.44384201466490464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760.1400000000001</v>
      </c>
      <c r="BZ200" s="14">
        <f>BY200*VLOOKUP('Données projet'!$B$12,Paramètres!$A$1:$I$89,3,0)*VLOOKUP('Données projet'!$B$12,Paramètres!$A$1:$I$89,5,0)</f>
        <v>355.74552000000006</v>
      </c>
      <c r="CA200" s="14">
        <f t="shared" si="170"/>
        <v>82.744450026504168</v>
      </c>
      <c r="CB200" s="22">
        <f t="shared" si="171"/>
        <v>763.70336446282818</v>
      </c>
      <c r="CC200" s="62">
        <f t="shared" si="195"/>
        <v>1057.0366977961614</v>
      </c>
      <c r="CD200" s="62">
        <f ca="1">AVERAGE(OFFSET($CC$3,0,0,'Données projet'!$E$12+1,1))-AVERAGE(OFFSET($H$3,0,0,'Données projet'!$E$12+1,1))</f>
        <v>287.12723448949828</v>
      </c>
      <c r="CE200" s="62">
        <f t="shared" si="207"/>
        <v>170.5203352323382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0.42323480831079652</v>
      </c>
      <c r="CL200" s="23">
        <f>EXP(-LN(2)/25)*CL199+(1-EXP(-LN(2)/25))/(LN(2)/25)*Calculateur!CG200*Calculateur!CI200*VLOOKUP('Données projet'!$B$12,Paramètres!$A$1:$I$89,3,0)*0.475*44/12</f>
        <v>0.89977658501471391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1.3230113933255105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477.12000000000097</v>
      </c>
      <c r="CU200" s="18">
        <f>CT200*VLOOKUP('Données projet'!$B$13,Paramètres!$A$1:$I$89,3,0)*VLOOKUP('Données projet'!$B$13,Paramètres!$A$1:$I$89,5,0)</f>
        <v>461.47046400000096</v>
      </c>
      <c r="CV200" s="14">
        <f t="shared" si="173"/>
        <v>104.13329806929862</v>
      </c>
      <c r="CW200" s="22">
        <f t="shared" si="174"/>
        <v>985.09321893736342</v>
      </c>
      <c r="CX200" s="62">
        <f t="shared" si="196"/>
        <v>1278.4265522706967</v>
      </c>
      <c r="CY200" s="62">
        <f ca="1">AVERAGE(OFFSET($CX$3,0,0,'Données projet'!$E$13+1,1))-AVERAGE(OFFSET($H$3,0,0,'Données projet'!$E$13+1,1))</f>
        <v>467.37715054082025</v>
      </c>
      <c r="CZ200" s="62">
        <f t="shared" si="208"/>
        <v>443.35096563136415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0.36905222419874656</v>
      </c>
      <c r="DG200" s="23">
        <f>EXP(-LN(2)/25)*DG199+(1-EXP(-LN(2)/25))/(LN(2)/25)*Calculateur!DB200*Calculateur!DD200*VLOOKUP('Données projet'!$B$13,Paramètres!$A$1:$I$89,3,0)*0.475*44/12</f>
        <v>0.14269156257418542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0.51174378677293197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477.12000000000097</v>
      </c>
      <c r="DP200" s="18">
        <f>DO200*VLOOKUP('Données projet'!$B$14,Paramètres!$A$1:$I$89,3,0)*VLOOKUP('Données projet'!$B$14,Paramètres!$A$1:$I$89,5,0)</f>
        <v>513.57196800000099</v>
      </c>
      <c r="DQ200" s="14">
        <f t="shared" si="176"/>
        <v>114.45621584436451</v>
      </c>
      <c r="DR200" s="22">
        <f t="shared" si="177"/>
        <v>1093.8157535289363</v>
      </c>
      <c r="DS200" s="62">
        <f t="shared" si="197"/>
        <v>1387.1490868622695</v>
      </c>
      <c r="DT200" s="62">
        <f ca="1">AVERAGE(OFFSET($DS$3,0,0,'Données projet'!$E$14+1,1))-AVERAGE(OFFSET($H$3,0,0,'Données projet'!$E$14+1,1))</f>
        <v>524.51242549438939</v>
      </c>
      <c r="DU200" s="62">
        <f t="shared" si="209"/>
        <v>494.88778446576327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0.41071941080183033</v>
      </c>
      <c r="EB200" s="23">
        <f>EXP(-LN(2)/25)*EB199+(1-EXP(-LN(2)/25))/(LN(2)/25)*Calculateur!DW200*Calculateur!DY200*VLOOKUP('Données projet'!$B$14,Paramètres!$A$1:$I$89,3,0)*0.475*44/12</f>
        <v>0.15880190028417407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0.56952131108600446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640.71538254914947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256.51999999999981</v>
      </c>
      <c r="O201" s="14">
        <f>N201*VLOOKUP('Données projet'!$B$9,Paramètres!$A$1:$I$89,3,0)*VLOOKUP('Données projet'!$B$9,Paramètres!$A$1:$I$89,5,0)</f>
        <v>232.09929599999984</v>
      </c>
      <c r="P201" s="14">
        <f t="shared" si="203"/>
        <v>56.736358096348383</v>
      </c>
      <c r="Q201" s="22">
        <f t="shared" si="162"/>
        <v>503.0554308844732</v>
      </c>
      <c r="R201" s="62">
        <f t="shared" si="191"/>
        <v>796.38876421780651</v>
      </c>
      <c r="S201" s="62">
        <f ca="1">AVERAGE(OFFSET($R$3,0,0,'Données projet'!$E$9+1,1))-AVERAGE(OFFSET($H$3,0,0,'Données projet'!$E$9+1,1))</f>
        <v>299.17641394512162</v>
      </c>
      <c r="T201" s="62">
        <f t="shared" si="204"/>
        <v>180.73046320039873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5.0012138672302635</v>
      </c>
      <c r="AA201" s="23">
        <f>EXP(-LN(2)/25)*AA200+(1-EXP(-LN(2)/25))/(LN(2)/25)*Calculateur!V201*Calculateur!X201*VLOOKUP('Données projet'!$B$9,Paramètres!$A$1:$I$89,3,0)*0.475*44/12</f>
        <v>2.6243898633583491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7.6256037305886126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361.20999999999862</v>
      </c>
      <c r="AJ201" s="14">
        <f>AI201*VLOOKUP('Données projet'!$B$10,Paramètres!$A$1:$I$89,3,0)*VLOOKUP('Données projet'!$B$10,Paramètres!$A$1:$I$89,5,0)</f>
        <v>366.26693999999861</v>
      </c>
      <c r="AK201" s="14">
        <f t="shared" si="164"/>
        <v>84.903135734816331</v>
      </c>
      <c r="AL201" s="22">
        <f t="shared" si="165"/>
        <v>785.7878819048027</v>
      </c>
      <c r="AM201" s="62">
        <f t="shared" si="193"/>
        <v>1079.1212152381361</v>
      </c>
      <c r="AN201" s="62">
        <f ca="1">AVERAGE(OFFSET($AM$3,0,0,'Données projet'!$E$10+1,1))-AVERAGE(OFFSET($H$3,0,0,'Données projet'!$E$10+1,1))</f>
        <v>384.66322295929552</v>
      </c>
      <c r="AO201" s="62">
        <f t="shared" si="205"/>
        <v>248.53970183513286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5.4420478302939541</v>
      </c>
      <c r="AV201" s="23">
        <f>EXP(-LN(2)/25)*AV200+(1-EXP(-LN(2)/25))/(LN(2)/25)*Calculateur!AQ201*Calculateur!AS201*VLOOKUP('Données projet'!$B$10,Paramètres!$A$1:$I$89,3,0)*0.475*44/12</f>
        <v>2.8281741089379091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8.2702219392318632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343.79999999999995</v>
      </c>
      <c r="BE201" s="14">
        <f>BD201*VLOOKUP('Données projet'!$B$11,Paramètres!$A$1:$I$89,3,0)*VLOOKUP('Données projet'!$B$11,Paramètres!$A$1:$I$89,5,0)</f>
        <v>205.5924</v>
      </c>
      <c r="BF201" s="14">
        <f t="shared" si="167"/>
        <v>50.971228364263673</v>
      </c>
      <c r="BG201" s="22">
        <f t="shared" si="168"/>
        <v>446.84831940109251</v>
      </c>
      <c r="BH201" s="62">
        <f t="shared" si="194"/>
        <v>740.18165273442582</v>
      </c>
      <c r="BI201" s="62">
        <f ca="1">AVERAGE(OFFSET($BH$3,0,0,'Données projet'!$E$11+1,1))-AVERAGE(OFFSET($H$3,0,0,'Données projet'!$E$11+1,1))</f>
        <v>146.25807703055079</v>
      </c>
      <c r="BJ201" s="62">
        <f t="shared" si="206"/>
        <v>177.40137940534413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0.3418582011387008</v>
      </c>
      <c r="BQ201" s="23">
        <f>EXP(-LN(2)/25)*BQ200+(1-EXP(-LN(2)/25))/(LN(2)/25)*Calculateur!BL201*Calculateur!BN201*VLOOKUP('Données projet'!$B$11,Paramètres!$A$1:$I$89,3,0)*0.475*44/12</f>
        <v>9.2544324220457108E-2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0.43440252535915791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760.1400000000001</v>
      </c>
      <c r="BZ201" s="14">
        <f>BY201*VLOOKUP('Données projet'!$B$12,Paramètres!$A$1:$I$89,3,0)*VLOOKUP('Données projet'!$B$12,Paramètres!$A$1:$I$89,5,0)</f>
        <v>355.74552000000006</v>
      </c>
      <c r="CA201" s="14">
        <f t="shared" si="170"/>
        <v>82.744450026504168</v>
      </c>
      <c r="CB201" s="22">
        <f t="shared" si="171"/>
        <v>763.70336446282818</v>
      </c>
      <c r="CC201" s="62">
        <f t="shared" si="195"/>
        <v>1057.0366977961614</v>
      </c>
      <c r="CD201" s="62">
        <f ca="1">AVERAGE(OFFSET($CC$3,0,0,'Données projet'!$E$12+1,1))-AVERAGE(OFFSET($H$3,0,0,'Données projet'!$E$12+1,1))</f>
        <v>287.12723448949828</v>
      </c>
      <c r="CE201" s="62">
        <f t="shared" si="207"/>
        <v>170.5203352323382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0.41493543186756487</v>
      </c>
      <c r="CL201" s="23">
        <f>EXP(-LN(2)/25)*CL200+(1-EXP(-LN(2)/25))/(LN(2)/25)*Calculateur!CG201*Calculateur!CI201*VLOOKUP('Données projet'!$B$12,Paramètres!$A$1:$I$89,3,0)*0.475*44/12</f>
        <v>0.87517214698029244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1.2901075788478573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477.12000000000097</v>
      </c>
      <c r="CU201" s="18">
        <f>CT201*VLOOKUP('Données projet'!$B$13,Paramètres!$A$1:$I$89,3,0)*VLOOKUP('Données projet'!$B$13,Paramètres!$A$1:$I$89,5,0)</f>
        <v>461.47046400000096</v>
      </c>
      <c r="CV201" s="14">
        <f t="shared" si="173"/>
        <v>104.13329806929862</v>
      </c>
      <c r="CW201" s="22">
        <f t="shared" si="174"/>
        <v>985.09321893736342</v>
      </c>
      <c r="CX201" s="62">
        <f t="shared" si="196"/>
        <v>1278.4265522706967</v>
      </c>
      <c r="CY201" s="62">
        <f ca="1">AVERAGE(OFFSET($CX$3,0,0,'Données projet'!$E$13+1,1))-AVERAGE(OFFSET($H$3,0,0,'Données projet'!$E$13+1,1))</f>
        <v>467.37715054082025</v>
      </c>
      <c r="CZ201" s="62">
        <f t="shared" si="208"/>
        <v>443.35096563136415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0.36181533518183917</v>
      </c>
      <c r="DG201" s="23">
        <f>EXP(-LN(2)/25)*DG200+(1-EXP(-LN(2)/25))/(LN(2)/25)*Calculateur!DB201*Calculateur!DD201*VLOOKUP('Données projet'!$B$13,Paramètres!$A$1:$I$89,3,0)*0.475*44/12</f>
        <v>0.13878965429177118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0.50060498947361032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477.12000000000097</v>
      </c>
      <c r="DP201" s="18">
        <f>DO201*VLOOKUP('Données projet'!$B$14,Paramètres!$A$1:$I$89,3,0)*VLOOKUP('Données projet'!$B$14,Paramètres!$A$1:$I$89,5,0)</f>
        <v>513.57196800000099</v>
      </c>
      <c r="DQ201" s="14">
        <f t="shared" si="176"/>
        <v>114.45621584436451</v>
      </c>
      <c r="DR201" s="22">
        <f t="shared" si="177"/>
        <v>1093.8157535289363</v>
      </c>
      <c r="DS201" s="62">
        <f t="shared" si="197"/>
        <v>1387.1490868622695</v>
      </c>
      <c r="DT201" s="62">
        <f ca="1">AVERAGE(OFFSET($DS$3,0,0,'Données projet'!$E$14+1,1))-AVERAGE(OFFSET($H$3,0,0,'Données projet'!$E$14+1,1))</f>
        <v>524.51242549438939</v>
      </c>
      <c r="DU201" s="62">
        <f t="shared" si="209"/>
        <v>494.88778446576327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0.40266545367011081</v>
      </c>
      <c r="EB201" s="23">
        <f>EXP(-LN(2)/25)*EB200+(1-EXP(-LN(2)/25))/(LN(2)/25)*Calculateur!DW201*Calculateur!DY201*VLOOKUP('Données projet'!$B$14,Paramètres!$A$1:$I$89,3,0)*0.475*44/12</f>
        <v>0.15445945396987434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0.55712490763998512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642.60941460168146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256.51999999999981</v>
      </c>
      <c r="O202" s="14">
        <f>N202*VLOOKUP('Données projet'!$B$9,Paramètres!$A$1:$I$89,3,0)*VLOOKUP('Données projet'!$B$9,Paramètres!$A$1:$I$89,5,0)</f>
        <v>232.09929599999984</v>
      </c>
      <c r="P202" s="14">
        <f t="shared" si="203"/>
        <v>56.736358096348383</v>
      </c>
      <c r="Q202" s="22">
        <f t="shared" si="162"/>
        <v>503.0554308844732</v>
      </c>
      <c r="R202" s="62">
        <f t="shared" si="191"/>
        <v>796.38876421780651</v>
      </c>
      <c r="S202" s="62">
        <f ca="1">AVERAGE(OFFSET($R$3,0,0,'Données projet'!$E$9+1,1))-AVERAGE(OFFSET($H$3,0,0,'Données projet'!$E$9+1,1))</f>
        <v>299.17641394512162</v>
      </c>
      <c r="T202" s="62">
        <f t="shared" si="204"/>
        <v>180.73046320039873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4.9031431137331314</v>
      </c>
      <c r="AA202" s="23">
        <f>EXP(-LN(2)/25)*AA201+(1-EXP(-LN(2)/25))/(LN(2)/25)*Calculateur!V202*Calculateur!X202*VLOOKUP('Données projet'!$B$9,Paramètres!$A$1:$I$89,3,0)*0.475*44/12</f>
        <v>2.5526257845341505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7.4557688982672818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361.20999999999862</v>
      </c>
      <c r="AJ202" s="14">
        <f>AI202*VLOOKUP('Données projet'!$B$10,Paramètres!$A$1:$I$89,3,0)*VLOOKUP('Données projet'!$B$10,Paramètres!$A$1:$I$89,5,0)</f>
        <v>366.26693999999861</v>
      </c>
      <c r="AK202" s="14">
        <f t="shared" si="164"/>
        <v>84.903135734816331</v>
      </c>
      <c r="AL202" s="22">
        <f t="shared" si="165"/>
        <v>785.7878819048027</v>
      </c>
      <c r="AM202" s="62">
        <f t="shared" si="193"/>
        <v>1079.1212152381361</v>
      </c>
      <c r="AN202" s="62">
        <f ca="1">AVERAGE(OFFSET($AM$3,0,0,'Données projet'!$E$10+1,1))-AVERAGE(OFFSET($H$3,0,0,'Données projet'!$E$10+1,1))</f>
        <v>384.66322295929552</v>
      </c>
      <c r="AO202" s="62">
        <f t="shared" si="205"/>
        <v>248.53970183513286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5.3353325916633105</v>
      </c>
      <c r="AV202" s="23">
        <f>EXP(-LN(2)/25)*AV201+(1-EXP(-LN(2)/25))/(LN(2)/25)*Calculateur!AQ202*Calculateur!AS202*VLOOKUP('Données projet'!$B$10,Paramètres!$A$1:$I$89,3,0)*0.475*44/12</f>
        <v>2.7508375392017896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8.0861701308650993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343.79999999999995</v>
      </c>
      <c r="BE202" s="14">
        <f>BD202*VLOOKUP('Données projet'!$B$11,Paramètres!$A$1:$I$89,3,0)*VLOOKUP('Données projet'!$B$11,Paramètres!$A$1:$I$89,5,0)</f>
        <v>205.5924</v>
      </c>
      <c r="BF202" s="14">
        <f t="shared" si="167"/>
        <v>50.971228364263673</v>
      </c>
      <c r="BG202" s="22">
        <f t="shared" si="168"/>
        <v>446.84831940109251</v>
      </c>
      <c r="BH202" s="62">
        <f t="shared" si="194"/>
        <v>740.18165273442582</v>
      </c>
      <c r="BI202" s="62">
        <f ca="1">AVERAGE(OFFSET($BH$3,0,0,'Données projet'!$E$11+1,1))-AVERAGE(OFFSET($H$3,0,0,'Données projet'!$E$11+1,1))</f>
        <v>146.25807703055079</v>
      </c>
      <c r="BJ202" s="62">
        <f t="shared" si="206"/>
        <v>177.40137940534413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0.33515457032728463</v>
      </c>
      <c r="BQ202" s="23">
        <f>EXP(-LN(2)/25)*BQ201+(1-EXP(-LN(2)/25))/(LN(2)/25)*Calculateur!BL202*Calculateur!BN202*VLOOKUP('Données projet'!$B$11,Paramètres!$A$1:$I$89,3,0)*0.475*44/12</f>
        <v>9.0013694807954209E-2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0.42516826513523887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760.1400000000001</v>
      </c>
      <c r="BZ202" s="14">
        <f>BY202*VLOOKUP('Données projet'!$B$12,Paramètres!$A$1:$I$89,3,0)*VLOOKUP('Données projet'!$B$12,Paramètres!$A$1:$I$89,5,0)</f>
        <v>355.74552000000006</v>
      </c>
      <c r="CA202" s="14">
        <f t="shared" si="170"/>
        <v>82.744450026504168</v>
      </c>
      <c r="CB202" s="22">
        <f t="shared" si="171"/>
        <v>763.70336446282818</v>
      </c>
      <c r="CC202" s="62">
        <f t="shared" si="195"/>
        <v>1057.0366977961614</v>
      </c>
      <c r="CD202" s="62">
        <f ca="1">AVERAGE(OFFSET($CC$3,0,0,'Données projet'!$E$12+1,1))-AVERAGE(OFFSET($H$3,0,0,'Données projet'!$E$12+1,1))</f>
        <v>287.12723448949828</v>
      </c>
      <c r="CE202" s="62">
        <f t="shared" si="207"/>
        <v>170.5203352323382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0.40679880113426525</v>
      </c>
      <c r="CL202" s="23">
        <f>EXP(-LN(2)/25)*CL201+(1-EXP(-LN(2)/25))/(LN(2)/25)*Calculateur!CG202*Calculateur!CI202*VLOOKUP('Données projet'!$B$12,Paramètres!$A$1:$I$89,3,0)*0.475*44/12</f>
        <v>0.85124051859781336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1.2580393197320787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477.12000000000097</v>
      </c>
      <c r="CU202" s="18">
        <f>CT202*VLOOKUP('Données projet'!$B$13,Paramètres!$A$1:$I$89,3,0)*VLOOKUP('Données projet'!$B$13,Paramètres!$A$1:$I$89,5,0)</f>
        <v>461.47046400000096</v>
      </c>
      <c r="CV202" s="14">
        <f t="shared" si="173"/>
        <v>104.13329806929862</v>
      </c>
      <c r="CW202" s="22">
        <f t="shared" si="174"/>
        <v>985.09321893736342</v>
      </c>
      <c r="CX202" s="62">
        <f t="shared" si="196"/>
        <v>1278.4265522706967</v>
      </c>
      <c r="CY202" s="62">
        <f ca="1">AVERAGE(OFFSET($CX$3,0,0,'Données projet'!$E$13+1,1))-AVERAGE(OFFSET($H$3,0,0,'Données projet'!$E$13+1,1))</f>
        <v>467.37715054082025</v>
      </c>
      <c r="CZ202" s="62">
        <f t="shared" si="208"/>
        <v>443.35096563136415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0.35472035714448685</v>
      </c>
      <c r="DG202" s="23">
        <f>EXP(-LN(2)/25)*DG201+(1-EXP(-LN(2)/25))/(LN(2)/25)*Calculateur!DB202*Calculateur!DD202*VLOOKUP('Données projet'!$B$13,Paramètres!$A$1:$I$89,3,0)*0.475*44/12</f>
        <v>0.13499444389653198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0.48971480104101883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477.12000000000097</v>
      </c>
      <c r="DP202" s="18">
        <f>DO202*VLOOKUP('Données projet'!$B$14,Paramètres!$A$1:$I$89,3,0)*VLOOKUP('Données projet'!$B$14,Paramètres!$A$1:$I$89,5,0)</f>
        <v>513.57196800000099</v>
      </c>
      <c r="DQ202" s="14">
        <f t="shared" si="176"/>
        <v>114.45621584436451</v>
      </c>
      <c r="DR202" s="22">
        <f t="shared" si="177"/>
        <v>1093.8157535289363</v>
      </c>
      <c r="DS202" s="62">
        <f t="shared" si="197"/>
        <v>1387.1490868622695</v>
      </c>
      <c r="DT202" s="62">
        <f ca="1">AVERAGE(OFFSET($DS$3,0,0,'Données projet'!$E$14+1,1))-AVERAGE(OFFSET($H$3,0,0,'Données projet'!$E$14+1,1))</f>
        <v>524.51242549438939</v>
      </c>
      <c r="DU202" s="62">
        <f t="shared" si="209"/>
        <v>494.88778446576327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0.39476942972531553</v>
      </c>
      <c r="EB202" s="23">
        <f>EXP(-LN(2)/25)*EB201+(1-EXP(-LN(2)/25))/(LN(2)/25)*Calculateur!DW202*Calculateur!DY202*VLOOKUP('Données projet'!$B$14,Paramètres!$A$1:$I$89,3,0)*0.475*44/12</f>
        <v>0.15023575207839845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0.54500518180371404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644.5032447133101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256.51999999999981</v>
      </c>
      <c r="O203" s="14">
        <f>N203*VLOOKUP('Données projet'!$B$9,Paramètres!$A$1:$I$89,3,0)*VLOOKUP('Données projet'!$B$9,Paramètres!$A$1:$I$89,5,0)</f>
        <v>232.09929599999984</v>
      </c>
      <c r="P203" s="14">
        <f t="shared" si="203"/>
        <v>56.736358096348383</v>
      </c>
      <c r="Q203" s="22">
        <f t="shared" si="162"/>
        <v>503.0554308844732</v>
      </c>
      <c r="R203" s="62">
        <f t="shared" si="191"/>
        <v>796.38876421780651</v>
      </c>
      <c r="S203" s="62">
        <f ca="1">AVERAGE(OFFSET($R$3,0,0,'Données projet'!$E$9+1,1))-AVERAGE(OFFSET($H$3,0,0,'Données projet'!$E$9+1,1))</f>
        <v>299.17641394512162</v>
      </c>
      <c r="T203" s="62">
        <f t="shared" si="204"/>
        <v>180.73046320039873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4.8069954678948248</v>
      </c>
      <c r="AA203" s="23">
        <f>EXP(-LN(2)/25)*AA202+(1-EXP(-LN(2)/25))/(LN(2)/25)*Calculateur!V203*Calculateur!X203*VLOOKUP('Données projet'!$B$9,Paramètres!$A$1:$I$89,3,0)*0.475*44/12</f>
        <v>2.4828240982193082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7.289819566114133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361.20999999999862</v>
      </c>
      <c r="AJ203" s="14">
        <f>AI203*VLOOKUP('Données projet'!$B$10,Paramètres!$A$1:$I$89,3,0)*VLOOKUP('Données projet'!$B$10,Paramètres!$A$1:$I$89,5,0)</f>
        <v>366.26693999999861</v>
      </c>
      <c r="AK203" s="14">
        <f t="shared" si="164"/>
        <v>84.903135734816331</v>
      </c>
      <c r="AL203" s="22">
        <f t="shared" si="165"/>
        <v>785.7878819048027</v>
      </c>
      <c r="AM203" s="62">
        <f t="shared" si="193"/>
        <v>1079.1212152381361</v>
      </c>
      <c r="AN203" s="62">
        <f ca="1">AVERAGE(OFFSET($AM$3,0,0,'Données projet'!$E$10+1,1))-AVERAGE(OFFSET($H$3,0,0,'Données projet'!$E$10+1,1))</f>
        <v>384.66322295929552</v>
      </c>
      <c r="AO203" s="62">
        <f t="shared" si="205"/>
        <v>248.53970183513286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5.2307099737723455</v>
      </c>
      <c r="AV203" s="23">
        <f>EXP(-LN(2)/25)*AV202+(1-EXP(-LN(2)/25))/(LN(2)/25)*Calculateur!AQ203*Calculateur!AS203*VLOOKUP('Données projet'!$B$10,Paramètres!$A$1:$I$89,3,0)*0.475*44/12</f>
        <v>2.6756157420320577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7.9063257158044031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343.79999999999995</v>
      </c>
      <c r="BE203" s="14">
        <f>BD203*VLOOKUP('Données projet'!$B$11,Paramètres!$A$1:$I$89,3,0)*VLOOKUP('Données projet'!$B$11,Paramètres!$A$1:$I$89,5,0)</f>
        <v>205.5924</v>
      </c>
      <c r="BF203" s="14">
        <f t="shared" si="167"/>
        <v>50.971228364263673</v>
      </c>
      <c r="BG203" s="22">
        <f t="shared" si="168"/>
        <v>446.84831940109251</v>
      </c>
      <c r="BH203" s="62">
        <f t="shared" si="194"/>
        <v>740.18165273442582</v>
      </c>
      <c r="BI203" s="62">
        <f ca="1">AVERAGE(OFFSET($BH$3,0,0,'Données projet'!$E$11+1,1))-AVERAGE(OFFSET($H$3,0,0,'Données projet'!$E$11+1,1))</f>
        <v>146.25807703055079</v>
      </c>
      <c r="BJ203" s="62">
        <f t="shared" si="206"/>
        <v>177.40137940534413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0.32858239362726926</v>
      </c>
      <c r="BQ203" s="23">
        <f>EXP(-LN(2)/25)*BQ202+(1-EXP(-LN(2)/25))/(LN(2)/25)*Calculateur!BL203*Calculateur!BN203*VLOOKUP('Données projet'!$B$11,Paramètres!$A$1:$I$89,3,0)*0.475*44/12</f>
        <v>8.7552265589816214E-2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0.41613465921708548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760.1400000000001</v>
      </c>
      <c r="BZ203" s="14">
        <f>BY203*VLOOKUP('Données projet'!$B$12,Paramètres!$A$1:$I$89,3,0)*VLOOKUP('Données projet'!$B$12,Paramètres!$A$1:$I$89,5,0)</f>
        <v>355.74552000000006</v>
      </c>
      <c r="CA203" s="14">
        <f t="shared" si="170"/>
        <v>82.744450026504168</v>
      </c>
      <c r="CB203" s="22">
        <f t="shared" si="171"/>
        <v>763.70336446282818</v>
      </c>
      <c r="CC203" s="62">
        <f t="shared" si="195"/>
        <v>1057.0366977961614</v>
      </c>
      <c r="CD203" s="62">
        <f ca="1">AVERAGE(OFFSET($CC$3,0,0,'Données projet'!$E$12+1,1))-AVERAGE(OFFSET($H$3,0,0,'Données projet'!$E$12+1,1))</f>
        <v>287.12723448949828</v>
      </c>
      <c r="CE203" s="62">
        <f t="shared" si="207"/>
        <v>170.5203352323382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0.3988217247667909</v>
      </c>
      <c r="CL203" s="23">
        <f>EXP(-LN(2)/25)*CL202+(1-EXP(-LN(2)/25))/(LN(2)/25)*Calculateur!CG203*Calculateur!CI203*VLOOKUP('Données projet'!$B$12,Paramètres!$A$1:$I$89,3,0)*0.475*44/12</f>
        <v>0.82796330185196276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1.2267850266187537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477.12000000000097</v>
      </c>
      <c r="CU203" s="18">
        <f>CT203*VLOOKUP('Données projet'!$B$13,Paramètres!$A$1:$I$89,3,0)*VLOOKUP('Données projet'!$B$13,Paramètres!$A$1:$I$89,5,0)</f>
        <v>461.47046400000096</v>
      </c>
      <c r="CV203" s="14">
        <f t="shared" si="173"/>
        <v>104.13329806929862</v>
      </c>
      <c r="CW203" s="22">
        <f t="shared" si="174"/>
        <v>985.09321893736342</v>
      </c>
      <c r="CX203" s="62">
        <f t="shared" si="196"/>
        <v>1278.4265522706967</v>
      </c>
      <c r="CY203" s="62">
        <f ca="1">AVERAGE(OFFSET($CX$3,0,0,'Données projet'!$E$13+1,1))-AVERAGE(OFFSET($H$3,0,0,'Données projet'!$E$13+1,1))</f>
        <v>467.37715054082025</v>
      </c>
      <c r="CZ203" s="62">
        <f t="shared" si="208"/>
        <v>443.35096563136415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0.34776450729893776</v>
      </c>
      <c r="DG203" s="23">
        <f>EXP(-LN(2)/25)*DG202+(1-EXP(-LN(2)/25))/(LN(2)/25)*Calculateur!DB203*Calculateur!DD203*VLOOKUP('Données projet'!$B$13,Paramètres!$A$1:$I$89,3,0)*0.475*44/12</f>
        <v>0.13130301372913203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0.47906752102806982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477.12000000000097</v>
      </c>
      <c r="DP203" s="18">
        <f>DO203*VLOOKUP('Données projet'!$B$14,Paramètres!$A$1:$I$89,3,0)*VLOOKUP('Données projet'!$B$14,Paramètres!$A$1:$I$89,5,0)</f>
        <v>513.57196800000099</v>
      </c>
      <c r="DQ203" s="14">
        <f t="shared" si="176"/>
        <v>114.45621584436451</v>
      </c>
      <c r="DR203" s="22">
        <f t="shared" si="177"/>
        <v>1093.8157535289363</v>
      </c>
      <c r="DS203" s="62">
        <f t="shared" si="197"/>
        <v>1387.1490868622695</v>
      </c>
      <c r="DT203" s="62">
        <f ca="1">AVERAGE(OFFSET($DS$3,0,0,'Données projet'!$E$14+1,1))-AVERAGE(OFFSET($H$3,0,0,'Données projet'!$E$14+1,1))</f>
        <v>524.51242549438939</v>
      </c>
      <c r="DU203" s="62">
        <f t="shared" si="209"/>
        <v>494.88778446576327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0.38702824199397862</v>
      </c>
      <c r="EB203" s="23">
        <f>EXP(-LN(2)/25)*EB202+(1-EXP(-LN(2)/25))/(LN(2)/25)*Calculateur!DW203*Calculateur!DY203*VLOOKUP('Données projet'!$B$14,Paramètres!$A$1:$I$89,3,0)*0.475*44/12</f>
        <v>0.14612754753725982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0.53315578953123843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1.1944741542570652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1.2074023054862157</v>
      </c>
      <c r="BA205" s="88">
        <f>EXP(LN('Données projet'!B88)/'Données projet'!A88)</f>
        <v>1.1955858601032578</v>
      </c>
      <c r="BV205" s="88">
        <f>EXP(LN('Données projet'!B114)/'Données projet'!A114)</f>
        <v>1.2108216370354488</v>
      </c>
      <c r="CQ205" s="88">
        <f>EXP(LN('Données projet'!B140)/'Données projet'!A140)</f>
        <v>1.2366790426834051</v>
      </c>
      <c r="DL205" s="88">
        <f>EXP(LN('Données projet'!B166)/'Données projet'!A166)</f>
        <v>1.2366790426834051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6" thickBot="1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6" thickBot="1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6" thickBot="1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6" thickBot="1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6" thickBot="1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>
      <c r="A93" s="131" t="s">
        <v>208</v>
      </c>
    </row>
    <row r="94" spans="1:14">
      <c r="A94" s="131" t="s">
        <v>209</v>
      </c>
    </row>
    <row r="95" spans="1:14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B1" zoomScale="90" zoomScaleNormal="90" workbookViewId="0">
      <selection activeCell="I8" sqref="I8"/>
    </sheetView>
  </sheetViews>
  <sheetFormatPr baseColWidth="10" defaultColWidth="11.5" defaultRowHeight="15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>
      <c r="A6" s="154" t="str">
        <f>IF('Données projet'!$B$9="","",'Données projet'!$B$9)</f>
        <v>Chêne sessile</v>
      </c>
      <c r="B6" s="155">
        <f>'Données projet'!D9</f>
        <v>2.2959999999999998</v>
      </c>
      <c r="C6" s="156">
        <f ca="1">IF(OR('Données projet'!B9="",'Données projet'!C9="",'Données projet'!C9=0%),0,Calculateur!S3)</f>
        <v>299.17641394512162</v>
      </c>
      <c r="D6" s="156">
        <f>IF(OR('Données projet'!B9="",'Données projet'!C9="",'Données projet'!C9=0%),0,Calculateur!T3)</f>
        <v>180.73046320039873</v>
      </c>
      <c r="E6" s="156">
        <f ca="1">MIN(C6,D6)</f>
        <v>180.73046320039873</v>
      </c>
      <c r="F6" s="156">
        <f ca="1">E6*B6</f>
        <v>414.95714350811545</v>
      </c>
      <c r="G6" s="156">
        <f ca="1">F6*(100%-'Données projet'!$C$24)*(100%-'Données projet'!$C$25)*(100%-'Données projet'!$C$26)*(100%-'Données projet'!$C$27)</f>
        <v>373.46142915730394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4.8789999999999996</v>
      </c>
      <c r="K6" s="160">
        <f>J6*(100%-'Données projet'!$C$24)*(100%-'Données projet'!$C$25)*(100%-'Données projet'!$C$26)*(100%-'Données projet'!$C$27)</f>
        <v>4.3910999999999998</v>
      </c>
      <c r="L6" s="161">
        <f ca="1">G6+I6+K6</f>
        <v>377.85252915730393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>
      <c r="A7" s="162" t="str">
        <f>IF('Données projet'!$B$10="","",'Données projet'!$B$10)</f>
        <v>Chêne pubescent</v>
      </c>
      <c r="B7" s="163">
        <f>'Données projet'!D10</f>
        <v>2.2959999999999998</v>
      </c>
      <c r="C7" s="156">
        <f ca="1">IF(OR('Données projet'!B10="",'Données projet'!C10="",'Données projet'!C10=0%),0,Calculateur!AN3)</f>
        <v>384.66322295929552</v>
      </c>
      <c r="D7" s="156">
        <f>IF(OR('Données projet'!B10="",'Données projet'!C10="",'Données projet'!C10=0%),0,Calculateur!AO3)</f>
        <v>248.53970183513286</v>
      </c>
      <c r="E7" s="156">
        <f t="shared" ref="E7:E15" ca="1" si="0">MIN(C7,D7)</f>
        <v>248.53970183513286</v>
      </c>
      <c r="F7" s="156">
        <f t="shared" ref="F7:F15" ca="1" si="1">E7*B7</f>
        <v>570.64715541346504</v>
      </c>
      <c r="G7" s="156">
        <f ca="1">F7*(100%-'Données projet'!$C$24)*(100%-'Données projet'!$C$25)*(100%-'Données projet'!$C$26)*(100%-'Données projet'!$C$27)</f>
        <v>513.58243987211858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6.3886199999999995</v>
      </c>
      <c r="K7" s="160">
        <f>J7*(100%-'Données projet'!$C$24)*(100%-'Données projet'!$C$25)*(100%-'Données projet'!$C$26)*(100%-'Données projet'!$C$27)</f>
        <v>5.7497579999999999</v>
      </c>
      <c r="L7" s="161">
        <f t="shared" ref="L7:L15" ca="1" si="2">G7+I7+K7</f>
        <v>519.33219787211863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>
      <c r="A8" s="162" t="str">
        <f>IF('Données projet'!$B$11="","",'Données projet'!$B$11)</f>
        <v>Pin noir d'Autriche</v>
      </c>
      <c r="B8" s="163">
        <f>'Données projet'!D11</f>
        <v>1.3939999999999999</v>
      </c>
      <c r="C8" s="156">
        <f ca="1">IF(OR('Données projet'!B11="",'Données projet'!C11="",'Données projet'!C11=0%),0,Calculateur!BI3)</f>
        <v>146.25807703055079</v>
      </c>
      <c r="D8" s="156">
        <f>IF(OR('Données projet'!B11="",'Données projet'!C11="",'Données projet'!C11=0%),0,Calculateur!BJ3)</f>
        <v>177.40137940534413</v>
      </c>
      <c r="E8" s="156">
        <f t="shared" ca="1" si="0"/>
        <v>146.25807703055079</v>
      </c>
      <c r="F8" s="156">
        <f t="shared" ca="1" si="1"/>
        <v>203.8837593805878</v>
      </c>
      <c r="G8" s="156">
        <f ca="1">F8*(100%-'Données projet'!$C$24)*(100%-'Données projet'!$C$25)*(100%-'Données projet'!$C$26)*(100%-'Données projet'!$C$27)</f>
        <v>183.49538344252903</v>
      </c>
      <c r="H8" s="164">
        <f>IF(OR('Données projet'!B11="",'Données projet'!C11="",'Données projet'!C11=0%),0,AVERAGE(Calculateur!$BS$3:$BS$33)*B8)</f>
        <v>0.10135084764693285</v>
      </c>
      <c r="I8" s="158">
        <f>H8*(100%-'Données projet'!$C$24)*(100%-'Données projet'!$C$25)*(100%-'Données projet'!$C$26)*(100%-'Données projet'!$C$27)</f>
        <v>9.1215762882239565E-2</v>
      </c>
      <c r="J8" s="159">
        <f>IF(OR('Données projet'!B11="",'Données projet'!C11="",'Données projet'!C11=0%),0,SUM(Calculateur!$BL$3:$BL$33)*VLOOKUP('Données projet'!$B$11,Paramètres!$A$1:$I$89,9,0)*B8)</f>
        <v>5.2149539999999988</v>
      </c>
      <c r="K8" s="160">
        <f>J8*(100%-'Données projet'!$C$24)*(100%-'Données projet'!$C$25)*(100%-'Données projet'!$C$26)*(100%-'Données projet'!$C$27)</f>
        <v>4.6934585999999987</v>
      </c>
      <c r="L8" s="161">
        <f t="shared" ca="1" si="2"/>
        <v>188.28005780541125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>
      <c r="A9" s="162" t="str">
        <f>IF('Données projet'!$B$12="","",'Données projet'!$B$12)</f>
        <v>Cèdre de l'Atlas</v>
      </c>
      <c r="B9" s="163">
        <f>'Données projet'!D12</f>
        <v>1.3119999999999998</v>
      </c>
      <c r="C9" s="156">
        <f ca="1">IF(OR('Données projet'!B12="",'Données projet'!C12="",'Données projet'!C12=0%),0,Calculateur!CD3)</f>
        <v>287.12723448949828</v>
      </c>
      <c r="D9" s="156">
        <f>IF(OR('Données projet'!B12="",'Données projet'!C12="",'Données projet'!C12=0%),0,Calculateur!CE3)</f>
        <v>170.5203352323382</v>
      </c>
      <c r="E9" s="156">
        <f t="shared" ca="1" si="0"/>
        <v>170.5203352323382</v>
      </c>
      <c r="F9" s="156">
        <f t="shared" ca="1" si="1"/>
        <v>223.72267982482768</v>
      </c>
      <c r="G9" s="156">
        <f ca="1">F9*(100%-'Données projet'!$C$24)*(100%-'Données projet'!$C$25)*(100%-'Données projet'!$C$26)*(100%-'Données projet'!$C$27)</f>
        <v>201.35041184234493</v>
      </c>
      <c r="H9" s="164">
        <f>IF(OR('Données projet'!B12="",'Données projet'!C12="",'Données projet'!C12=0%),0,AVERAGE(Calculateur!$CN$3:$CN$33)*B9)</f>
        <v>0.24081027956516138</v>
      </c>
      <c r="I9" s="158">
        <f>H9*(100%-'Données projet'!$C$24)*(100%-'Données projet'!$C$25)*(100%-'Données projet'!$C$26)*(100%-'Données projet'!$C$27)</f>
        <v>0.21672925160864526</v>
      </c>
      <c r="J9" s="159">
        <f>IF(OR('Données projet'!B12="",'Données projet'!C12="",'Données projet'!C12=0%),0,SUM(Calculateur!$CG$3:$CG$33)*VLOOKUP('Données projet'!$B$12,Paramètres!$A$1:$I$89,9,0)*B9)</f>
        <v>6.7360703999999991</v>
      </c>
      <c r="K9" s="160">
        <f>J9*(100%-'Données projet'!$C$24)*(100%-'Données projet'!$C$25)*(100%-'Données projet'!$C$26)*(100%-'Données projet'!$C$27)</f>
        <v>6.0624633599999997</v>
      </c>
      <c r="L9" s="161">
        <f t="shared" ca="1" si="2"/>
        <v>207.62960445395359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>
      <c r="A10" s="162" t="str">
        <f>IF('Données projet'!$B$13="","",'Données projet'!$B$13)</f>
        <v>Alisier torminal</v>
      </c>
      <c r="B10" s="163">
        <f>'Données projet'!D13</f>
        <v>0.45099999999999996</v>
      </c>
      <c r="C10" s="156">
        <f ca="1">IF(OR('Données projet'!B13="",'Données projet'!C13="",'Données projet'!C13=0%),0,Calculateur!CY3)</f>
        <v>467.37715054082025</v>
      </c>
      <c r="D10" s="156">
        <f>IF(OR('Données projet'!B13="",'Données projet'!C13="",'Données projet'!C13=0%),0,Calculateur!CZ3)</f>
        <v>443.35096563136415</v>
      </c>
      <c r="E10" s="156">
        <f t="shared" ca="1" si="0"/>
        <v>443.35096563136415</v>
      </c>
      <c r="F10" s="156">
        <f t="shared" ca="1" si="1"/>
        <v>199.95128549974521</v>
      </c>
      <c r="G10" s="156">
        <f ca="1">F10*(100%-'Données projet'!$C$24)*(100%-'Données projet'!$C$25)*(100%-'Données projet'!$C$26)*(100%-'Données projet'!$C$27)</f>
        <v>179.9561569497707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2.2831874999999999</v>
      </c>
      <c r="K10" s="160">
        <f>J10*(100%-'Données projet'!$C$24)*(100%-'Données projet'!$C$25)*(100%-'Données projet'!$C$26)*(100%-'Données projet'!$C$27)</f>
        <v>2.0548687499999998</v>
      </c>
      <c r="L10" s="161">
        <f t="shared" ca="1" si="2"/>
        <v>182.0110256997707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>
      <c r="A11" s="162" t="str">
        <f>IF('Données projet'!$B$14="","",'Données projet'!$B$14)</f>
        <v>Cormier</v>
      </c>
      <c r="B11" s="163">
        <f>'Données projet'!D14</f>
        <v>0.45099999999999996</v>
      </c>
      <c r="C11" s="156">
        <f ca="1">IF(OR('Données projet'!B14="",'Données projet'!C14="",'Données projet'!C14=0%),0,Calculateur!DT3)</f>
        <v>524.51242549438939</v>
      </c>
      <c r="D11" s="156">
        <f>IF(OR('Données projet'!B14="",'Données projet'!C14="",'Données projet'!C14=0%),0,Calculateur!DU3)</f>
        <v>494.88778446576327</v>
      </c>
      <c r="E11" s="156">
        <f t="shared" ca="1" si="0"/>
        <v>494.88778446576327</v>
      </c>
      <c r="F11" s="156">
        <f t="shared" ca="1" si="1"/>
        <v>223.19439079405922</v>
      </c>
      <c r="G11" s="156">
        <f ca="1">F11*(100%-'Données projet'!$C$24)*(100%-'Données projet'!$C$25)*(100%-'Données projet'!$C$26)*(100%-'Données projet'!$C$27)</f>
        <v>200.87495171465329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2.2831874999999999</v>
      </c>
      <c r="K11" s="160">
        <f>J11*(100%-'Données projet'!$C$24)*(100%-'Données projet'!$C$25)*(100%-'Données projet'!$C$26)*(100%-'Données projet'!$C$27)</f>
        <v>2.0548687499999998</v>
      </c>
      <c r="L11" s="161">
        <f t="shared" ca="1" si="2"/>
        <v>202.92982046465329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>
      <c r="A16" s="226"/>
      <c r="B16" s="233"/>
      <c r="C16" s="234"/>
      <c r="D16" s="25"/>
      <c r="E16" s="25"/>
      <c r="F16" s="174">
        <f t="shared" ref="F16:L16" ca="1" si="3">SUM(F6:F15)</f>
        <v>1836.3564144208005</v>
      </c>
      <c r="G16" s="175">
        <f t="shared" ca="1" si="3"/>
        <v>1652.7207729787203</v>
      </c>
      <c r="H16" s="176">
        <f t="shared" si="3"/>
        <v>0.34216112721209424</v>
      </c>
      <c r="I16" s="176">
        <f t="shared" si="3"/>
        <v>0.30794501449088485</v>
      </c>
      <c r="J16" s="177">
        <f t="shared" si="3"/>
        <v>27.785019399999999</v>
      </c>
      <c r="K16" s="177">
        <f t="shared" si="3"/>
        <v>25.006517459999998</v>
      </c>
      <c r="L16" s="178">
        <f t="shared" ca="1" si="3"/>
        <v>1678.0352354532115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>
      <c r="A57" s="179" t="str">
        <f>A8</f>
        <v>Pin noir d'Autriche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>
      <c r="A76" s="179" t="str">
        <f>A9</f>
        <v>Cèdre de l'Atlas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>
      <c r="A94" s="179" t="str">
        <f>A10</f>
        <v>Alisier torminal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>
      <c r="A112" s="179" t="str">
        <f>A11</f>
        <v>Cormier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M1" zoomScale="80" zoomScaleNormal="80" workbookViewId="0">
      <selection activeCell="P18" sqref="P18"/>
    </sheetView>
  </sheetViews>
  <sheetFormatPr baseColWidth="10" defaultColWidth="11.5" defaultRowHeight="15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69.72814125455352</v>
      </c>
      <c r="U10" s="190">
        <f>'Données projet'!D9</f>
        <v>2.2959999999999998</v>
      </c>
      <c r="V10" s="189">
        <f>U10*T10</f>
        <v>160.09581232045488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230.15465379388664</v>
      </c>
      <c r="U11" s="190">
        <f>'Données projet'!D10</f>
        <v>2.2959999999999998</v>
      </c>
      <c r="V11" s="189">
        <f t="shared" ref="V11" si="0">U11*T11</f>
        <v>528.43508511076368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noir d'Autriche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157.00531369910641</v>
      </c>
      <c r="U12" s="190">
        <f>'Données projet'!D11</f>
        <v>1.3939999999999999</v>
      </c>
      <c r="V12" s="189">
        <f t="shared" ref="V12:V19" si="1">U12*T12</f>
        <v>218.86540729655431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Cèdre de l'Atlas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346.34418136483532</v>
      </c>
      <c r="U13" s="190">
        <f>'Données projet'!D12</f>
        <v>1.3119999999999998</v>
      </c>
      <c r="V13" s="189">
        <f t="shared" si="1"/>
        <v>454.4035659506639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Alisier torminal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463.35590438715849</v>
      </c>
      <c r="U14" s="190">
        <f>'Données projet'!D13</f>
        <v>0.45099999999999996</v>
      </c>
      <c r="V14" s="189">
        <f t="shared" si="1"/>
        <v>208.97351287860846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Cormier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463.35590438715849</v>
      </c>
      <c r="U15" s="190">
        <f>'Données projet'!D14</f>
        <v>0.45099999999999996</v>
      </c>
      <c r="V15" s="189">
        <f t="shared" si="1"/>
        <v>208.97351287860846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30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29.999999999999993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10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299.99999999999994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v>5000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>
      <c r="A23" s="192">
        <f>'Données projet'!A36</f>
        <v>25</v>
      </c>
      <c r="B23" s="193">
        <f>'Données projet'!D36</f>
        <v>8.5</v>
      </c>
      <c r="C23" s="206">
        <v>10</v>
      </c>
      <c r="D23" s="194">
        <f>B23*C23</f>
        <v>85</v>
      </c>
      <c r="E23" s="206">
        <f>80</f>
        <v>80</v>
      </c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-37454.702864329898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>
      <c r="A24" s="192">
        <f>'Données projet'!A37</f>
        <v>37</v>
      </c>
      <c r="B24" s="193">
        <f>'Données projet'!D37</f>
        <v>13.85</v>
      </c>
      <c r="C24" s="206">
        <v>10</v>
      </c>
      <c r="D24" s="194">
        <f t="shared" ref="D24:D42" si="2">B24*C24</f>
        <v>138.5</v>
      </c>
      <c r="E24" s="206">
        <f>80</f>
        <v>80</v>
      </c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656.82003814722725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>
      <c r="A25" s="192">
        <f>'Données projet'!A38</f>
        <v>49</v>
      </c>
      <c r="B25" s="193">
        <f>'Données projet'!D38</f>
        <v>19.16</v>
      </c>
      <c r="C25" s="206">
        <v>28</v>
      </c>
      <c r="D25" s="194">
        <f t="shared" si="2"/>
        <v>536.48</v>
      </c>
      <c r="E25" s="206">
        <f>80</f>
        <v>80</v>
      </c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-38111.522902477125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>
      <c r="A26" s="192">
        <f>'Données projet'!A39</f>
        <v>61</v>
      </c>
      <c r="B26" s="193">
        <f>'Données projet'!D39</f>
        <v>23.82</v>
      </c>
      <c r="C26" s="206">
        <v>34</v>
      </c>
      <c r="D26" s="194">
        <f t="shared" si="2"/>
        <v>809.88</v>
      </c>
      <c r="E26" s="206">
        <f>80</f>
        <v>80</v>
      </c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>
      <c r="A27" s="192">
        <f>'Données projet'!A40</f>
        <v>73</v>
      </c>
      <c r="B27" s="193">
        <f>'Données projet'!D40</f>
        <v>27.46</v>
      </c>
      <c r="C27" s="206">
        <v>39</v>
      </c>
      <c r="D27" s="194">
        <f t="shared" si="2"/>
        <v>1070.94</v>
      </c>
      <c r="E27" s="206">
        <f>80</f>
        <v>80</v>
      </c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>
      <c r="A28" s="192">
        <f>'Données projet'!A41</f>
        <v>85</v>
      </c>
      <c r="B28" s="193">
        <f>'Données projet'!D41</f>
        <v>30.07</v>
      </c>
      <c r="C28" s="206">
        <v>42</v>
      </c>
      <c r="D28" s="194">
        <f t="shared" si="2"/>
        <v>1262.94</v>
      </c>
      <c r="E28" s="206">
        <f>80</f>
        <v>80</v>
      </c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>
      <c r="A29" s="192">
        <f>'Données projet'!A42</f>
        <v>97</v>
      </c>
      <c r="B29" s="193">
        <f>'Données projet'!D42</f>
        <v>31.66</v>
      </c>
      <c r="C29" s="206">
        <v>45</v>
      </c>
      <c r="D29" s="194">
        <f t="shared" si="2"/>
        <v>1424.7</v>
      </c>
      <c r="E29" s="206">
        <f>80</f>
        <v>80</v>
      </c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>
      <c r="A30" s="192">
        <f>'Données projet'!A43</f>
        <v>109</v>
      </c>
      <c r="B30" s="193">
        <f>'Données projet'!D43</f>
        <v>32.31</v>
      </c>
      <c r="C30" s="206">
        <v>47</v>
      </c>
      <c r="D30" s="194">
        <f t="shared" si="2"/>
        <v>1518.5700000000002</v>
      </c>
      <c r="E30" s="206">
        <f>80</f>
        <v>80</v>
      </c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>
      <c r="A31" s="192">
        <f>'Données projet'!A44</f>
        <v>121</v>
      </c>
      <c r="B31" s="193">
        <f>'Données projet'!D44</f>
        <v>32.14</v>
      </c>
      <c r="C31" s="206">
        <v>49</v>
      </c>
      <c r="D31" s="194">
        <f t="shared" si="2"/>
        <v>1574.8600000000001</v>
      </c>
      <c r="E31" s="206">
        <f>80</f>
        <v>80</v>
      </c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>
      <c r="A32" s="192">
        <f>'Données projet'!A45</f>
        <v>133</v>
      </c>
      <c r="B32" s="193">
        <f>'Données projet'!D45</f>
        <v>31.34</v>
      </c>
      <c r="C32" s="206">
        <v>50</v>
      </c>
      <c r="D32" s="194">
        <f t="shared" si="2"/>
        <v>1567</v>
      </c>
      <c r="E32" s="206">
        <f>80</f>
        <v>80</v>
      </c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>
      <c r="A33" s="192">
        <f>'Données projet'!A46</f>
        <v>145</v>
      </c>
      <c r="B33" s="193">
        <f>'Données projet'!D46</f>
        <v>30.07</v>
      </c>
      <c r="C33" s="206">
        <v>51</v>
      </c>
      <c r="D33" s="194">
        <f t="shared" si="2"/>
        <v>1533.57</v>
      </c>
      <c r="E33" s="206">
        <f>80</f>
        <v>80</v>
      </c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>
      <c r="A34" s="192">
        <f>'Données projet'!A47</f>
        <v>157</v>
      </c>
      <c r="B34" s="193">
        <f>'Données projet'!D47</f>
        <v>28.5</v>
      </c>
      <c r="C34" s="206">
        <v>52</v>
      </c>
      <c r="D34" s="194">
        <f t="shared" si="2"/>
        <v>1482</v>
      </c>
      <c r="E34" s="206">
        <f>80</f>
        <v>80</v>
      </c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>
      <c r="A35" s="192">
        <f>'Données projet'!A48</f>
        <v>0</v>
      </c>
      <c r="B35" s="193">
        <f>'Données projet'!D48</f>
        <v>0</v>
      </c>
      <c r="C35" s="206">
        <v>53</v>
      </c>
      <c r="D35" s="194">
        <f t="shared" si="2"/>
        <v>0</v>
      </c>
      <c r="E35" s="206">
        <f>80</f>
        <v>80</v>
      </c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>
      <c r="A36" s="192">
        <f>'Données projet'!A49</f>
        <v>0</v>
      </c>
      <c r="B36" s="193">
        <f>'Données projet'!D49</f>
        <v>0</v>
      </c>
      <c r="C36" s="206">
        <v>53</v>
      </c>
      <c r="D36" s="194">
        <f t="shared" si="2"/>
        <v>0</v>
      </c>
      <c r="E36" s="206">
        <f>80</f>
        <v>80</v>
      </c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>
      <c r="A54" s="192">
        <f>'Données projet'!A62</f>
        <v>25</v>
      </c>
      <c r="B54" s="193">
        <f>'Données projet'!D62</f>
        <v>11.13</v>
      </c>
      <c r="C54" s="204">
        <v>21</v>
      </c>
      <c r="D54" s="191">
        <f>B54*C54</f>
        <v>233.73000000000002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>
      <c r="A55" s="192">
        <f>'Données projet'!A63</f>
        <v>37</v>
      </c>
      <c r="B55" s="193">
        <f>'Données projet'!D63</f>
        <v>15.35</v>
      </c>
      <c r="C55" s="204">
        <v>17</v>
      </c>
      <c r="D55" s="191">
        <f t="shared" ref="D55:D73" si="4">B55*C55</f>
        <v>260.95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>
      <c r="A56" s="192">
        <f>'Données projet'!A64</f>
        <v>49</v>
      </c>
      <c r="B56" s="193">
        <f>'Données projet'!D64</f>
        <v>19.16</v>
      </c>
      <c r="C56" s="204">
        <v>20</v>
      </c>
      <c r="D56" s="191">
        <f t="shared" si="4"/>
        <v>383.2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>
      <c r="A57" s="192">
        <f>'Données projet'!A65</f>
        <v>61</v>
      </c>
      <c r="B57" s="193">
        <f>'Données projet'!D65</f>
        <v>22.58</v>
      </c>
      <c r="C57" s="204">
        <v>23</v>
      </c>
      <c r="D57" s="191">
        <f t="shared" si="4"/>
        <v>519.33999999999992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>
      <c r="A58" s="192">
        <f>'Données projet'!A66</f>
        <v>73</v>
      </c>
      <c r="B58" s="193">
        <f>'Données projet'!D66</f>
        <v>25.66</v>
      </c>
      <c r="C58" s="204">
        <v>24</v>
      </c>
      <c r="D58" s="191">
        <f t="shared" si="4"/>
        <v>615.84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>
      <c r="A59" s="192">
        <f>'Données projet'!A67</f>
        <v>85</v>
      </c>
      <c r="B59" s="193">
        <f>'Données projet'!D67</f>
        <v>28.44</v>
      </c>
      <c r="C59" s="204">
        <v>26</v>
      </c>
      <c r="D59" s="191">
        <f t="shared" si="4"/>
        <v>739.44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>
      <c r="A60" s="192">
        <f>'Données projet'!A68</f>
        <v>97</v>
      </c>
      <c r="B60" s="193">
        <f>'Données projet'!D68</f>
        <v>30.93</v>
      </c>
      <c r="C60" s="204">
        <v>27</v>
      </c>
      <c r="D60" s="191">
        <f t="shared" si="4"/>
        <v>835.11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>
      <c r="A61" s="192">
        <f>'Données projet'!A69</f>
        <v>109</v>
      </c>
      <c r="B61" s="193">
        <f>'Données projet'!D69</f>
        <v>33.18</v>
      </c>
      <c r="C61" s="204">
        <v>28</v>
      </c>
      <c r="D61" s="191">
        <f t="shared" si="4"/>
        <v>929.04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>
      <c r="A62" s="192">
        <f>'Données projet'!A70</f>
        <v>121</v>
      </c>
      <c r="B62" s="193">
        <f>'Données projet'!D70</f>
        <v>35.200000000000003</v>
      </c>
      <c r="C62" s="204">
        <v>28</v>
      </c>
      <c r="D62" s="191">
        <f t="shared" si="4"/>
        <v>985.60000000000014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>
      <c r="A63" s="192">
        <f>'Données projet'!A71</f>
        <v>133</v>
      </c>
      <c r="B63" s="193">
        <f>'Données projet'!D71</f>
        <v>37.020000000000003</v>
      </c>
      <c r="C63" s="204">
        <v>29</v>
      </c>
      <c r="D63" s="191">
        <f t="shared" si="4"/>
        <v>1073.5800000000002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>
      <c r="A64" s="192">
        <f>'Données projet'!A72</f>
        <v>145</v>
      </c>
      <c r="B64" s="193">
        <f>'Données projet'!D72</f>
        <v>38.659999999999997</v>
      </c>
      <c r="C64" s="204">
        <v>29</v>
      </c>
      <c r="D64" s="191">
        <f t="shared" si="4"/>
        <v>1121.1399999999999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>
      <c r="A65" s="192">
        <f>'Données projet'!A73</f>
        <v>157</v>
      </c>
      <c r="B65" s="193">
        <f>'Données projet'!D73</f>
        <v>40.130000000000003</v>
      </c>
      <c r="C65" s="204">
        <v>30</v>
      </c>
      <c r="D65" s="191">
        <f t="shared" si="4"/>
        <v>1203.9000000000001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>
      <c r="A66" s="192">
        <f>'Données projet'!A74</f>
        <v>0</v>
      </c>
      <c r="B66" s="193">
        <f>'Données projet'!D74</f>
        <v>0</v>
      </c>
      <c r="C66" s="204">
        <v>30</v>
      </c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>
      <c r="A67" s="192">
        <f>'Données projet'!A75</f>
        <v>0</v>
      </c>
      <c r="B67" s="193">
        <f>'Données projet'!D75</f>
        <v>0</v>
      </c>
      <c r="C67" s="204">
        <v>30</v>
      </c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>
      <c r="A76" s="49" t="s">
        <v>167</v>
      </c>
      <c r="B76" s="186" t="str">
        <f>IF('Données projet'!B11="","",'Données projet'!B11)</f>
        <v>Pin noir d'Autriche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>
      <c r="A85" s="192">
        <f>'Données projet'!A88</f>
        <v>25</v>
      </c>
      <c r="B85" s="193">
        <f>'Données projet'!D88</f>
        <v>8.6999999999999993</v>
      </c>
      <c r="C85" s="204">
        <v>11</v>
      </c>
      <c r="D85" s="191">
        <f>B85*C85</f>
        <v>95.699999999999989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>
      <c r="A86" s="192">
        <f>'Données projet'!A89</f>
        <v>37</v>
      </c>
      <c r="B86" s="193">
        <f>'Données projet'!D89</f>
        <v>25.58</v>
      </c>
      <c r="C86" s="204">
        <v>12</v>
      </c>
      <c r="D86" s="191">
        <f t="shared" ref="D86:D104" si="6">B86*C86</f>
        <v>306.95999999999998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>
      <c r="A87" s="192">
        <f>'Données projet'!A90</f>
        <v>49</v>
      </c>
      <c r="B87" s="193">
        <f>'Données projet'!D90</f>
        <v>37.42</v>
      </c>
      <c r="C87" s="204">
        <v>15</v>
      </c>
      <c r="D87" s="191">
        <f t="shared" si="6"/>
        <v>561.30000000000007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>
      <c r="A88" s="192">
        <f>'Données projet'!A91</f>
        <v>50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>
      <c r="A107" s="49" t="s">
        <v>168</v>
      </c>
      <c r="B107" s="186" t="str">
        <f>IF('Données projet'!B12="","",'Données projet'!B12)</f>
        <v>Cèdre de l'Atlas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>
      <c r="A116" s="192">
        <f>'Données projet'!A114</f>
        <v>25</v>
      </c>
      <c r="B116" s="193">
        <f>'Données projet'!D114</f>
        <v>11.94</v>
      </c>
      <c r="C116" s="204">
        <v>11</v>
      </c>
      <c r="D116" s="191">
        <f>B116*C116</f>
        <v>131.34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>
      <c r="A117" s="192">
        <f>'Données projet'!A115</f>
        <v>37</v>
      </c>
      <c r="B117" s="193">
        <f>'Données projet'!D115</f>
        <v>30.02</v>
      </c>
      <c r="C117" s="204">
        <v>12</v>
      </c>
      <c r="D117" s="191">
        <f t="shared" ref="D117:D135" si="8">B117*C117</f>
        <v>360.24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>
      <c r="A118" s="192">
        <f>'Données projet'!A116</f>
        <v>49</v>
      </c>
      <c r="B118" s="193">
        <f>'Données projet'!D116</f>
        <v>48.13</v>
      </c>
      <c r="C118" s="204">
        <v>13</v>
      </c>
      <c r="D118" s="191">
        <f t="shared" si="8"/>
        <v>625.69000000000005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>
      <c r="A119" s="192">
        <f>'Données projet'!A117</f>
        <v>61</v>
      </c>
      <c r="B119" s="193">
        <f>'Données projet'!D117</f>
        <v>61.1</v>
      </c>
      <c r="C119" s="204">
        <v>20</v>
      </c>
      <c r="D119" s="191">
        <f t="shared" si="8"/>
        <v>1222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>
      <c r="A120" s="192">
        <f>'Données projet'!A118</f>
        <v>73</v>
      </c>
      <c r="B120" s="193">
        <f>'Données projet'!D118</f>
        <v>72.87</v>
      </c>
      <c r="C120" s="204">
        <v>26</v>
      </c>
      <c r="D120" s="191">
        <f t="shared" si="8"/>
        <v>1894.6200000000001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>
      <c r="A121" s="192">
        <f>'Données projet'!A119</f>
        <v>80</v>
      </c>
      <c r="B121" s="193">
        <f>'Données projet'!D119</f>
        <v>0</v>
      </c>
      <c r="C121" s="204">
        <v>30</v>
      </c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>
      <c r="A138" s="49" t="s">
        <v>169</v>
      </c>
      <c r="B138" s="186" t="str">
        <f>IF('Données projet'!B13="","",'Données projet'!B13)</f>
        <v>Alisier torminal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>
      <c r="A147" s="45">
        <f>'Données projet'!A140</f>
        <v>25</v>
      </c>
      <c r="B147" s="187">
        <f>'Données projet'!D140</f>
        <v>20.25</v>
      </c>
      <c r="C147" s="204">
        <v>10</v>
      </c>
      <c r="D147" s="194">
        <f>B147*C147</f>
        <v>202.5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>
      <c r="A148" s="45">
        <f>'Données projet'!A141</f>
        <v>37</v>
      </c>
      <c r="B148" s="187">
        <f>'Données projet'!D141</f>
        <v>27.95</v>
      </c>
      <c r="C148" s="204">
        <v>10</v>
      </c>
      <c r="D148" s="194">
        <f t="shared" ref="D148:D166" si="10">B148*C148</f>
        <v>279.5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>
      <c r="A149" s="45">
        <f>'Données projet'!A142</f>
        <v>49</v>
      </c>
      <c r="B149" s="187">
        <f>'Données projet'!D142</f>
        <v>34.869999999999997</v>
      </c>
      <c r="C149" s="204">
        <v>10</v>
      </c>
      <c r="D149" s="194">
        <f t="shared" si="10"/>
        <v>348.7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>
      <c r="A150" s="45">
        <f>'Données projet'!A143</f>
        <v>61</v>
      </c>
      <c r="B150" s="187">
        <f>'Données projet'!D143</f>
        <v>41.1</v>
      </c>
      <c r="C150" s="204">
        <v>53</v>
      </c>
      <c r="D150" s="194">
        <f t="shared" si="10"/>
        <v>2178.3000000000002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>
      <c r="A151" s="45">
        <f>'Données projet'!A144</f>
        <v>73</v>
      </c>
      <c r="B151" s="187">
        <f>'Données projet'!D144</f>
        <v>46.71</v>
      </c>
      <c r="C151" s="204">
        <v>81</v>
      </c>
      <c r="D151" s="194">
        <f t="shared" si="10"/>
        <v>3783.51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>
      <c r="A152" s="45">
        <f>'Données projet'!A145</f>
        <v>80</v>
      </c>
      <c r="B152" s="187">
        <f>'Données projet'!D145</f>
        <v>0</v>
      </c>
      <c r="C152" s="204">
        <v>103</v>
      </c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>
      <c r="A169" s="49" t="s">
        <v>170</v>
      </c>
      <c r="B169" s="186" t="str">
        <f>IF('Données projet'!B14="","",'Données projet'!B14)</f>
        <v>Cormier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>
      <c r="A178" s="192">
        <f>'Données projet'!A166</f>
        <v>25</v>
      </c>
      <c r="B178" s="193">
        <f>'Données projet'!D166</f>
        <v>20.25</v>
      </c>
      <c r="C178" s="204">
        <v>10</v>
      </c>
      <c r="D178" s="191">
        <f>B178*C178</f>
        <v>202.5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>
      <c r="A179" s="192">
        <f>'Données projet'!A167</f>
        <v>37</v>
      </c>
      <c r="B179" s="193">
        <f>'Données projet'!D167</f>
        <v>27.95</v>
      </c>
      <c r="C179" s="204">
        <v>10</v>
      </c>
      <c r="D179" s="191">
        <f t="shared" ref="D179:D197" si="11">B179*C179</f>
        <v>279.5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>
      <c r="A180" s="192">
        <f>'Données projet'!A168</f>
        <v>49</v>
      </c>
      <c r="B180" s="193">
        <f>'Données projet'!D168</f>
        <v>34.869999999999997</v>
      </c>
      <c r="C180" s="204">
        <v>10</v>
      </c>
      <c r="D180" s="191">
        <f t="shared" si="11"/>
        <v>348.7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>
      <c r="A181" s="192">
        <f>'Données projet'!A169</f>
        <v>61</v>
      </c>
      <c r="B181" s="193">
        <f>'Données projet'!D169</f>
        <v>41.1</v>
      </c>
      <c r="C181" s="204">
        <v>53</v>
      </c>
      <c r="D181" s="191">
        <f t="shared" si="11"/>
        <v>2178.3000000000002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>
      <c r="A182" s="192">
        <f>'Données projet'!A170</f>
        <v>73</v>
      </c>
      <c r="B182" s="193">
        <f>'Données projet'!D170</f>
        <v>46.71</v>
      </c>
      <c r="C182" s="204">
        <v>81</v>
      </c>
      <c r="D182" s="191">
        <f t="shared" si="11"/>
        <v>3783.51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>
      <c r="A183" s="192">
        <f>'Données projet'!A171</f>
        <v>80</v>
      </c>
      <c r="B183" s="193">
        <f>'Données projet'!D171</f>
        <v>0</v>
      </c>
      <c r="C183" s="204">
        <v>103</v>
      </c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Victor</cp:lastModifiedBy>
  <dcterms:created xsi:type="dcterms:W3CDTF">2021-02-01T08:22:39Z</dcterms:created>
  <dcterms:modified xsi:type="dcterms:W3CDTF">2023-04-06T13:54:16Z</dcterms:modified>
</cp:coreProperties>
</file>