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Forestarn\SALVAGNAC (81) - DIJOU FABRE\doc fin\"/>
    </mc:Choice>
  </mc:AlternateContent>
  <xr:revisionPtr revIDLastSave="0" documentId="13_ncr:1_{D6A7C511-345C-4913-810E-8D1A090D9C0F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3" i="2" l="1" a="1"/>
  <c r="AH163" i="2" s="1"/>
  <c r="AH199" i="2" a="1"/>
  <c r="AH199" i="2" s="1"/>
  <c r="AH19" i="2" a="1"/>
  <c r="AH19" i="2" s="1"/>
  <c r="AH166" i="2" a="1"/>
  <c r="AH166" i="2" s="1"/>
  <c r="AH90" i="2" a="1"/>
  <c r="AH90" i="2" s="1"/>
  <c r="AH151" i="2" a="1"/>
  <c r="AH151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<sst xmlns="http://schemas.openxmlformats.org/spreadsheetml/2006/main" count="1171" uniqueCount="324">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</sst>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127.54994966375402</c:v>
                </c:pt>
                <c:pt idx="22">
                  <c:v>134.19192451868898</c:v>
                </c:pt>
                <c:pt idx="23">
                  <c:v>140.82597594357114</c:v>
                </c:pt>
                <c:pt idx="24">
                  <c:v>147.45253056632168</c:v>
                </c:pt>
                <c:pt idx="25">
                  <c:v>154.0719734572057</c:v>
                </c:pt>
                <c:pt idx="26">
                  <c:v>160.68465382913149</c:v>
                </c:pt>
                <c:pt idx="27">
                  <c:v>167.2908897484331</c:v>
                </c:pt>
                <c:pt idx="28">
                  <c:v>173.89097206104813</c:v>
                </c:pt>
                <c:pt idx="29">
                  <c:v>180.48516769023783</c:v>
                </c:pt>
                <c:pt idx="30">
                  <c:v>187.07372242622981</c:v>
                </c:pt>
                <c:pt idx="31">
                  <c:v>194.16304064471555</c:v>
                </c:pt>
                <c:pt idx="32">
                  <c:v>201.24634176616689</c:v>
                </c:pt>
                <c:pt idx="33">
                  <c:v>208.32386777264207</c:v>
                </c:pt>
                <c:pt idx="34">
                  <c:v>215.39584283593408</c:v>
                </c:pt>
                <c:pt idx="35">
                  <c:v>222.46247518327695</c:v>
                </c:pt>
                <c:pt idx="36">
                  <c:v>229.52395871325157</c:v>
                </c:pt>
                <c:pt idx="37">
                  <c:v>236.58047440215805</c:v>
                </c:pt>
                <c:pt idx="38">
                  <c:v>243.63219153359822</c:v>
                </c:pt>
                <c:pt idx="39">
                  <c:v>250.67926877807722</c:v>
                </c:pt>
                <c:pt idx="40">
                  <c:v>257.72185514470988</c:v>
                </c:pt>
                <c:pt idx="41">
                  <c:v>201.24634176616689</c:v>
                </c:pt>
                <c:pt idx="42">
                  <c:v>208.32386777264207</c:v>
                </c:pt>
                <c:pt idx="43">
                  <c:v>215.39584283593408</c:v>
                </c:pt>
                <c:pt idx="44">
                  <c:v>222.46247518327695</c:v>
                </c:pt>
                <c:pt idx="45">
                  <c:v>229.52395871325157</c:v>
                </c:pt>
                <c:pt idx="46">
                  <c:v>236.58047440215805</c:v>
                </c:pt>
                <c:pt idx="47">
                  <c:v>243.63219153359822</c:v>
                </c:pt>
                <c:pt idx="48">
                  <c:v>250.67926877807722</c:v>
                </c:pt>
                <c:pt idx="49">
                  <c:v>257.72185514470988</c:v>
                </c:pt>
                <c:pt idx="50">
                  <c:v>264.76009082333889</c:v>
                </c:pt>
                <c:pt idx="51">
                  <c:v>272.79863050588671</c:v>
                </c:pt>
                <c:pt idx="52">
                  <c:v>280.83184541341694</c:v>
                </c:pt>
                <c:pt idx="53">
                  <c:v>288.85990949975201</c:v>
                </c:pt>
                <c:pt idx="54">
                  <c:v>296.88298625047742</c:v>
                </c:pt>
                <c:pt idx="55">
                  <c:v>304.90122958502047</c:v>
                </c:pt>
                <c:pt idx="56">
                  <c:v>312.91478465880101</c:v>
                </c:pt>
                <c:pt idx="57">
                  <c:v>320.9237885788545</c:v>
                </c:pt>
                <c:pt idx="58">
                  <c:v>328.92837104423444</c:v>
                </c:pt>
                <c:pt idx="59">
                  <c:v>336.92865492077652</c:v>
                </c:pt>
                <c:pt idx="60">
                  <c:v>344.92475675838381</c:v>
                </c:pt>
                <c:pt idx="61">
                  <c:v>285.34825454721067</c:v>
                </c:pt>
                <c:pt idx="62">
                  <c:v>292.8720614577478</c:v>
                </c:pt>
                <c:pt idx="63">
                  <c:v>300.39155369431421</c:v>
                </c:pt>
                <c:pt idx="64">
                  <c:v>307.90685461043864</c:v>
                </c:pt>
                <c:pt idx="65">
                  <c:v>315.41808104045475</c:v>
                </c:pt>
                <c:pt idx="66">
                  <c:v>322.92534379451826</c:v>
                </c:pt>
                <c:pt idx="67">
                  <c:v>330.4287481051519</c:v>
                </c:pt>
                <c:pt idx="68">
                  <c:v>337.92839403108081</c:v>
                </c:pt>
                <c:pt idx="69">
                  <c:v>345.42437682332138</c:v>
                </c:pt>
                <c:pt idx="70">
                  <c:v>352.9167872578102</c:v>
                </c:pt>
                <c:pt idx="71">
                  <c:v>291.56824760988326</c:v>
                </c:pt>
                <c:pt idx="72">
                  <c:v>299.28895999218292</c:v>
                </c:pt>
                <c:pt idx="73">
                  <c:v>307.00523587874881</c:v>
                </c:pt>
                <c:pt idx="74">
                  <c:v>314.71720261424775</c:v>
                </c:pt>
                <c:pt idx="75">
                  <c:v>322.42498078691864</c:v>
                </c:pt>
                <c:pt idx="76">
                  <c:v>330.12868474355952</c:v>
                </c:pt>
                <c:pt idx="77">
                  <c:v>337.82842305389983</c:v>
                </c:pt>
                <c:pt idx="78">
                  <c:v>345.52429893039567</c:v>
                </c:pt>
                <c:pt idx="79">
                  <c:v>353.21641060864749</c:v>
                </c:pt>
                <c:pt idx="80">
                  <c:v>360.90485169292765</c:v>
                </c:pt>
                <c:pt idx="81">
                  <c:v>298.18627576151783</c:v>
                </c:pt>
                <c:pt idx="82">
                  <c:v>306.50431116158171</c:v>
                </c:pt>
                <c:pt idx="83">
                  <c:v>314.81733022074974</c:v>
                </c:pt>
                <c:pt idx="84">
                  <c:v>323.12548419477213</c:v>
                </c:pt>
                <c:pt idx="85">
                  <c:v>331.42891591987274</c:v>
                </c:pt>
                <c:pt idx="86">
                  <c:v>339.72776048524321</c:v>
                </c:pt>
                <c:pt idx="87">
                  <c:v>348.02214583635424</c:v>
                </c:pt>
                <c:pt idx="88">
                  <c:v>356.31219331771285</c:v>
                </c:pt>
                <c:pt idx="89">
                  <c:v>364.59801816244266</c:v>
                </c:pt>
                <c:pt idx="90">
                  <c:v>372.87972993501268</c:v>
                </c:pt>
                <c:pt idx="91">
                  <c:v>308.20738114119689</c:v>
                </c:pt>
                <c:pt idx="92">
                  <c:v>316.51939170560036</c:v>
                </c:pt>
                <c:pt idx="93">
                  <c:v>324.82656710302007</c:v>
                </c:pt>
                <c:pt idx="94">
                  <c:v>333.1290485305754</c:v>
                </c:pt>
                <c:pt idx="95">
                  <c:v>341.42696956725422</c:v>
                </c:pt>
                <c:pt idx="96">
                  <c:v>349.7204567641636</c:v>
                </c:pt>
                <c:pt idx="97">
                  <c:v>358.00963017583189</c:v>
                </c:pt>
                <c:pt idx="98">
                  <c:v>366.29460383970871</c:v>
                </c:pt>
                <c:pt idx="99">
                  <c:v>374.57548620999506</c:v>
                </c:pt>
                <c:pt idx="100">
                  <c:v>382.85238055108965</c:v>
                </c:pt>
                <c:pt idx="101">
                  <c:v>1.590873277977066E-12</c:v>
                </c:pt>
                <c:pt idx="102">
                  <c:v>1.590873277977066E-12</c:v>
                </c:pt>
                <c:pt idx="103">
                  <c:v>1.590873277977066E-12</c:v>
                </c:pt>
                <c:pt idx="104">
                  <c:v>1.590873277977066E-12</c:v>
                </c:pt>
                <c:pt idx="105">
                  <c:v>1.590873277977066E-12</c:v>
                </c:pt>
                <c:pt idx="106">
                  <c:v>1.590873277977066E-12</c:v>
                </c:pt>
                <c:pt idx="107">
                  <c:v>1.590873277977066E-12</c:v>
                </c:pt>
                <c:pt idx="108">
                  <c:v>1.590873277977066E-12</c:v>
                </c:pt>
                <c:pt idx="109">
                  <c:v>1.590873277977066E-12</c:v>
                </c:pt>
                <c:pt idx="110">
                  <c:v>1.590873277977066E-12</c:v>
                </c:pt>
                <c:pt idx="111">
                  <c:v>1.590873277977066E-12</c:v>
                </c:pt>
                <c:pt idx="112">
                  <c:v>1.590873277977066E-12</c:v>
                </c:pt>
                <c:pt idx="113">
                  <c:v>1.590873277977066E-12</c:v>
                </c:pt>
                <c:pt idx="114">
                  <c:v>1.590873277977066E-12</c:v>
                </c:pt>
                <c:pt idx="115">
                  <c:v>1.590873277977066E-12</c:v>
                </c:pt>
                <c:pt idx="116">
                  <c:v>1.590873277977066E-12</c:v>
                </c:pt>
                <c:pt idx="117">
                  <c:v>1.590873277977066E-12</c:v>
                </c:pt>
                <c:pt idx="118">
                  <c:v>1.590873277977066E-12</c:v>
                </c:pt>
                <c:pt idx="119">
                  <c:v>1.590873277977066E-12</c:v>
                </c:pt>
                <c:pt idx="120">
                  <c:v>1.590873277977066E-12</c:v>
                </c:pt>
                <c:pt idx="121">
                  <c:v>1.590873277977066E-12</c:v>
                </c:pt>
                <c:pt idx="122">
                  <c:v>1.590873277977066E-12</c:v>
                </c:pt>
                <c:pt idx="123">
                  <c:v>1.590873277977066E-12</c:v>
                </c:pt>
                <c:pt idx="124">
                  <c:v>1.590873277977066E-12</c:v>
                </c:pt>
                <c:pt idx="125">
                  <c:v>1.590873277977066E-12</c:v>
                </c:pt>
                <c:pt idx="126">
                  <c:v>1.590873277977066E-12</c:v>
                </c:pt>
                <c:pt idx="127">
                  <c:v>1.590873277977066E-12</c:v>
                </c:pt>
                <c:pt idx="128">
                  <c:v>1.590873277977066E-12</c:v>
                </c:pt>
                <c:pt idx="129">
                  <c:v>1.590873277977066E-12</c:v>
                </c:pt>
                <c:pt idx="130">
                  <c:v>1.590873277977066E-12</c:v>
                </c:pt>
                <c:pt idx="131">
                  <c:v>1.590873277977066E-12</c:v>
                </c:pt>
                <c:pt idx="132">
                  <c:v>1.590873277977066E-12</c:v>
                </c:pt>
                <c:pt idx="133">
                  <c:v>1.590873277977066E-12</c:v>
                </c:pt>
                <c:pt idx="134">
                  <c:v>1.590873277977066E-12</c:v>
                </c:pt>
                <c:pt idx="135">
                  <c:v>1.590873277977066E-12</c:v>
                </c:pt>
                <c:pt idx="136">
                  <c:v>1.590873277977066E-12</c:v>
                </c:pt>
                <c:pt idx="137">
                  <c:v>1.590873277977066E-12</c:v>
                </c:pt>
                <c:pt idx="138">
                  <c:v>1.590873277977066E-12</c:v>
                </c:pt>
                <c:pt idx="139">
                  <c:v>1.590873277977066E-12</c:v>
                </c:pt>
                <c:pt idx="140">
                  <c:v>1.590873277977066E-12</c:v>
                </c:pt>
                <c:pt idx="141">
                  <c:v>1.590873277977066E-12</c:v>
                </c:pt>
                <c:pt idx="142">
                  <c:v>1.590873277977066E-12</c:v>
                </c:pt>
                <c:pt idx="143">
                  <c:v>1.590873277977066E-12</c:v>
                </c:pt>
                <c:pt idx="144">
                  <c:v>1.590873277977066E-12</c:v>
                </c:pt>
                <c:pt idx="145">
                  <c:v>1.590873277977066E-12</c:v>
                </c:pt>
                <c:pt idx="146">
                  <c:v>1.590873277977066E-12</c:v>
                </c:pt>
                <c:pt idx="147">
                  <c:v>1.590873277977066E-12</c:v>
                </c:pt>
                <c:pt idx="148">
                  <c:v>1.590873277977066E-12</c:v>
                </c:pt>
                <c:pt idx="149">
                  <c:v>1.590873277977066E-12</c:v>
                </c:pt>
                <c:pt idx="150">
                  <c:v>1.590873277977066E-12</c:v>
                </c:pt>
                <c:pt idx="151">
                  <c:v>1.590873277977066E-12</c:v>
                </c:pt>
                <c:pt idx="152">
                  <c:v>1.590873277977066E-12</c:v>
                </c:pt>
                <c:pt idx="153">
                  <c:v>1.590873277977066E-12</c:v>
                </c:pt>
                <c:pt idx="154">
                  <c:v>1.590873277977066E-12</c:v>
                </c:pt>
                <c:pt idx="155">
                  <c:v>1.590873277977066E-12</c:v>
                </c:pt>
                <c:pt idx="156">
                  <c:v>1.590873277977066E-12</c:v>
                </c:pt>
                <c:pt idx="157">
                  <c:v>1.590873277977066E-12</c:v>
                </c:pt>
                <c:pt idx="158">
                  <c:v>1.590873277977066E-12</c:v>
                </c:pt>
                <c:pt idx="159">
                  <c:v>1.590873277977066E-12</c:v>
                </c:pt>
                <c:pt idx="160">
                  <c:v>1.590873277977066E-12</c:v>
                </c:pt>
                <c:pt idx="161">
                  <c:v>1.590873277977066E-12</c:v>
                </c:pt>
                <c:pt idx="162">
                  <c:v>1.590873277977066E-12</c:v>
                </c:pt>
                <c:pt idx="163">
                  <c:v>1.590873277977066E-12</c:v>
                </c:pt>
                <c:pt idx="164">
                  <c:v>1.590873277977066E-12</c:v>
                </c:pt>
                <c:pt idx="165">
                  <c:v>1.590873277977066E-12</c:v>
                </c:pt>
                <c:pt idx="166">
                  <c:v>1.590873277977066E-12</c:v>
                </c:pt>
                <c:pt idx="167">
                  <c:v>1.590873277977066E-12</c:v>
                </c:pt>
                <c:pt idx="168">
                  <c:v>1.590873277977066E-12</c:v>
                </c:pt>
                <c:pt idx="169">
                  <c:v>1.590873277977066E-12</c:v>
                </c:pt>
                <c:pt idx="170">
                  <c:v>1.590873277977066E-12</c:v>
                </c:pt>
                <c:pt idx="171">
                  <c:v>1.590873277977066E-12</c:v>
                </c:pt>
                <c:pt idx="172">
                  <c:v>1.590873277977066E-12</c:v>
                </c:pt>
                <c:pt idx="173">
                  <c:v>1.590873277977066E-12</c:v>
                </c:pt>
                <c:pt idx="174">
                  <c:v>1.590873277977066E-12</c:v>
                </c:pt>
                <c:pt idx="175">
                  <c:v>1.590873277977066E-12</c:v>
                </c:pt>
                <c:pt idx="176">
                  <c:v>1.590873277977066E-12</c:v>
                </c:pt>
                <c:pt idx="177">
                  <c:v>1.590873277977066E-12</c:v>
                </c:pt>
                <c:pt idx="178">
                  <c:v>1.590873277977066E-12</c:v>
                </c:pt>
                <c:pt idx="179">
                  <c:v>1.590873277977066E-12</c:v>
                </c:pt>
                <c:pt idx="180">
                  <c:v>1.590873277977066E-12</c:v>
                </c:pt>
                <c:pt idx="181">
                  <c:v>1.590873277977066E-12</c:v>
                </c:pt>
                <c:pt idx="182">
                  <c:v>1.590873277977066E-12</c:v>
                </c:pt>
                <c:pt idx="183">
                  <c:v>1.590873277977066E-12</c:v>
                </c:pt>
                <c:pt idx="184">
                  <c:v>1.590873277977066E-12</c:v>
                </c:pt>
                <c:pt idx="185">
                  <c:v>1.590873277977066E-12</c:v>
                </c:pt>
                <c:pt idx="186">
                  <c:v>1.590873277977066E-12</c:v>
                </c:pt>
                <c:pt idx="187">
                  <c:v>1.590873277977066E-12</c:v>
                </c:pt>
                <c:pt idx="188">
                  <c:v>1.590873277977066E-12</c:v>
                </c:pt>
                <c:pt idx="189">
                  <c:v>1.590873277977066E-12</c:v>
                </c:pt>
                <c:pt idx="190">
                  <c:v>1.590873277977066E-12</c:v>
                </c:pt>
                <c:pt idx="191">
                  <c:v>1.590873277977066E-12</c:v>
                </c:pt>
                <c:pt idx="192">
                  <c:v>1.590873277977066E-12</c:v>
                </c:pt>
                <c:pt idx="193">
                  <c:v>1.590873277977066E-12</c:v>
                </c:pt>
                <c:pt idx="194">
                  <c:v>1.590873277977066E-12</c:v>
                </c:pt>
                <c:pt idx="195">
                  <c:v>1.590873277977066E-12</c:v>
                </c:pt>
                <c:pt idx="196">
                  <c:v>1.590873277977066E-12</c:v>
                </c:pt>
                <c:pt idx="197">
                  <c:v>1.590873277977066E-12</c:v>
                </c:pt>
                <c:pt idx="198">
                  <c:v>1.590873277977066E-12</c:v>
                </c:pt>
                <c:pt idx="199">
                  <c:v>1.590873277977066E-12</c:v>
                </c:pt>
                <c:pt idx="200">
                  <c:v>1.590873277977066E-12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182.85768498984825</c:v>
                </c:pt>
                <c:pt idx="22">
                  <c:v>205.9114029973158</c:v>
                </c:pt>
                <c:pt idx="23">
                  <c:v>228.90543935922889</c:v>
                </c:pt>
                <c:pt idx="24">
                  <c:v>251.84663251620748</c:v>
                </c:pt>
                <c:pt idx="25">
                  <c:v>274.74047191396772</c:v>
                </c:pt>
                <c:pt idx="26">
                  <c:v>226.64617327952342</c:v>
                </c:pt>
                <c:pt idx="27">
                  <c:v>248.08915865906408</c:v>
                </c:pt>
                <c:pt idx="28">
                  <c:v>269.49008678800777</c:v>
                </c:pt>
                <c:pt idx="29">
                  <c:v>290.85276623666175</c:v>
                </c:pt>
                <c:pt idx="30">
                  <c:v>312.18040027213078</c:v>
                </c:pt>
                <c:pt idx="31">
                  <c:v>262.7361980255701</c:v>
                </c:pt>
                <c:pt idx="32">
                  <c:v>282.61183805625041</c:v>
                </c:pt>
                <c:pt idx="33">
                  <c:v>302.45616879398887</c:v>
                </c:pt>
                <c:pt idx="34">
                  <c:v>322.27153269112591</c:v>
                </c:pt>
                <c:pt idx="35">
                  <c:v>342.05996063814399</c:v>
                </c:pt>
                <c:pt idx="36">
                  <c:v>292.72497100977256</c:v>
                </c:pt>
                <c:pt idx="37">
                  <c:v>310.68480797043964</c:v>
                </c:pt>
                <c:pt idx="38">
                  <c:v>328.62160871118186</c:v>
                </c:pt>
                <c:pt idx="39">
                  <c:v>346.53680717558655</c:v>
                </c:pt>
                <c:pt idx="40">
                  <c:v>364.43167696167421</c:v>
                </c:pt>
                <c:pt idx="41">
                  <c:v>318.90861058050911</c:v>
                </c:pt>
                <c:pt idx="42">
                  <c:v>334.96897652893739</c:v>
                </c:pt>
                <c:pt idx="43">
                  <c:v>351.01238382795628</c:v>
                </c:pt>
                <c:pt idx="44">
                  <c:v>367.03971658708974</c:v>
                </c:pt>
                <c:pt idx="45">
                  <c:v>383.05177541071203</c:v>
                </c:pt>
                <c:pt idx="46">
                  <c:v>339.82105523856922</c:v>
                </c:pt>
                <c:pt idx="47">
                  <c:v>354.36824410252279</c:v>
                </c:pt>
                <c:pt idx="48">
                  <c:v>368.90235411823818</c:v>
                </c:pt>
                <c:pt idx="49">
                  <c:v>383.42397311131032</c:v>
                </c:pt>
                <c:pt idx="50">
                  <c:v>397.93364074958498</c:v>
                </c:pt>
                <c:pt idx="51">
                  <c:v>358.46890629665108</c:v>
                </c:pt>
                <c:pt idx="52">
                  <c:v>371.1372483365563</c:v>
                </c:pt>
                <c:pt idx="53">
                  <c:v>383.79616295666915</c:v>
                </c:pt>
                <c:pt idx="54">
                  <c:v>396.44600495131112</c:v>
                </c:pt>
                <c:pt idx="55">
                  <c:v>409.08710462349336</c:v>
                </c:pt>
                <c:pt idx="56">
                  <c:v>373.74425409046017</c:v>
                </c:pt>
                <c:pt idx="57">
                  <c:v>384.91268544829819</c:v>
                </c:pt>
                <c:pt idx="58">
                  <c:v>396.07407711953482</c:v>
                </c:pt>
                <c:pt idx="59">
                  <c:v>407.22865549260922</c:v>
                </c:pt>
                <c:pt idx="60">
                  <c:v>418.37663353903241</c:v>
                </c:pt>
                <c:pt idx="61">
                  <c:v>387.145519509954</c:v>
                </c:pt>
                <c:pt idx="62">
                  <c:v>396.81792522211191</c:v>
                </c:pt>
                <c:pt idx="63">
                  <c:v>406.48522456571504</c:v>
                </c:pt>
                <c:pt idx="64">
                  <c:v>416.14755615430454</c:v>
                </c:pt>
                <c:pt idx="65">
                  <c:v>425.80505163704908</c:v>
                </c:pt>
                <c:pt idx="66">
                  <c:v>397.18983794003793</c:v>
                </c:pt>
                <c:pt idx="67">
                  <c:v>405.74176424723129</c:v>
                </c:pt>
                <c:pt idx="68">
                  <c:v>414.28979501974965</c:v>
                </c:pt>
                <c:pt idx="69">
                  <c:v>422.83402201018413</c:v>
                </c:pt>
                <c:pt idx="70">
                  <c:v>431.37453295867726</c:v>
                </c:pt>
                <c:pt idx="71">
                  <c:v>407.22865549260905</c:v>
                </c:pt>
                <c:pt idx="72">
                  <c:v>414.66136159701688</c:v>
                </c:pt>
                <c:pt idx="73">
                  <c:v>422.091194503304</c:v>
                </c:pt>
                <c:pt idx="74">
                  <c:v>429.51821195249204</c:v>
                </c:pt>
                <c:pt idx="75">
                  <c:v>436.94246952460418</c:v>
                </c:pt>
                <c:pt idx="76">
                  <c:v>415.40447321133934</c:v>
                </c:pt>
                <c:pt idx="77">
                  <c:v>421.71977019610921</c:v>
                </c:pt>
                <c:pt idx="78">
                  <c:v>428.03303100123208</c:v>
                </c:pt>
                <c:pt idx="79">
                  <c:v>434.34428991912688</c:v>
                </c:pt>
                <c:pt idx="80">
                  <c:v>440.65358016358783</c:v>
                </c:pt>
                <c:pt idx="81">
                  <c:v>422.09119450330417</c:v>
                </c:pt>
                <c:pt idx="82">
                  <c:v>427.66171846396475</c:v>
                </c:pt>
                <c:pt idx="83">
                  <c:v>433.23068233058711</c:v>
                </c:pt>
                <c:pt idx="84">
                  <c:v>438.7981090039205</c:v>
                </c:pt>
                <c:pt idx="85">
                  <c:v>444.36402075569328</c:v>
                </c:pt>
                <c:pt idx="86">
                  <c:v>427.29039899318792</c:v>
                </c:pt>
                <c:pt idx="87">
                  <c:v>432.4882431239887</c:v>
                </c:pt>
                <c:pt idx="88">
                  <c:v>437.68474556682276</c:v>
                </c:pt>
                <c:pt idx="89">
                  <c:v>442.87992451288659</c:v>
                </c:pt>
                <c:pt idx="90">
                  <c:v>448.07379769140448</c:v>
                </c:pt>
                <c:pt idx="91">
                  <c:v>8.0726688341261168E-13</c:v>
                </c:pt>
                <c:pt idx="92">
                  <c:v>8.0726688341261168E-13</c:v>
                </c:pt>
                <c:pt idx="93">
                  <c:v>8.0726688341261168E-13</c:v>
                </c:pt>
                <c:pt idx="94">
                  <c:v>8.0726688341261168E-13</c:v>
                </c:pt>
                <c:pt idx="95">
                  <c:v>8.0726688341261168E-13</c:v>
                </c:pt>
                <c:pt idx="96">
                  <c:v>8.0726688341261168E-13</c:v>
                </c:pt>
                <c:pt idx="97">
                  <c:v>8.0726688341261168E-13</c:v>
                </c:pt>
                <c:pt idx="98">
                  <c:v>8.0726688341261168E-13</c:v>
                </c:pt>
                <c:pt idx="99">
                  <c:v>8.0726688341261168E-13</c:v>
                </c:pt>
                <c:pt idx="100">
                  <c:v>8.0726688341261168E-13</c:v>
                </c:pt>
                <c:pt idx="101">
                  <c:v>8.0726688341261168E-13</c:v>
                </c:pt>
                <c:pt idx="102">
                  <c:v>8.0726688341261168E-13</c:v>
                </c:pt>
                <c:pt idx="103">
                  <c:v>8.0726688341261168E-13</c:v>
                </c:pt>
                <c:pt idx="104">
                  <c:v>8.0726688341261168E-13</c:v>
                </c:pt>
                <c:pt idx="105">
                  <c:v>8.0726688341261168E-13</c:v>
                </c:pt>
                <c:pt idx="106">
                  <c:v>8.0726688341261168E-13</c:v>
                </c:pt>
                <c:pt idx="107">
                  <c:v>8.0726688341261168E-13</c:v>
                </c:pt>
                <c:pt idx="108">
                  <c:v>8.0726688341261168E-13</c:v>
                </c:pt>
                <c:pt idx="109">
                  <c:v>8.0726688341261168E-13</c:v>
                </c:pt>
                <c:pt idx="110">
                  <c:v>8.0726688341261168E-13</c:v>
                </c:pt>
                <c:pt idx="111">
                  <c:v>8.0726688341261168E-13</c:v>
                </c:pt>
                <c:pt idx="112">
                  <c:v>8.0726688341261168E-13</c:v>
                </c:pt>
                <c:pt idx="113">
                  <c:v>8.0726688341261168E-13</c:v>
                </c:pt>
                <c:pt idx="114">
                  <c:v>8.0726688341261168E-13</c:v>
                </c:pt>
                <c:pt idx="115">
                  <c:v>8.0726688341261168E-13</c:v>
                </c:pt>
                <c:pt idx="116">
                  <c:v>8.0726688341261168E-13</c:v>
                </c:pt>
                <c:pt idx="117">
                  <c:v>8.0726688341261168E-13</c:v>
                </c:pt>
                <c:pt idx="118">
                  <c:v>8.0726688341261168E-13</c:v>
                </c:pt>
                <c:pt idx="119">
                  <c:v>8.0726688341261168E-13</c:v>
                </c:pt>
                <c:pt idx="120">
                  <c:v>8.0726688341261168E-13</c:v>
                </c:pt>
                <c:pt idx="121">
                  <c:v>8.0726688341261168E-13</c:v>
                </c:pt>
                <c:pt idx="122">
                  <c:v>8.0726688341261168E-13</c:v>
                </c:pt>
                <c:pt idx="123">
                  <c:v>8.0726688341261168E-13</c:v>
                </c:pt>
                <c:pt idx="124">
                  <c:v>8.0726688341261168E-13</c:v>
                </c:pt>
                <c:pt idx="125">
                  <c:v>8.0726688341261168E-13</c:v>
                </c:pt>
                <c:pt idx="126">
                  <c:v>8.0726688341261168E-13</c:v>
                </c:pt>
                <c:pt idx="127">
                  <c:v>8.0726688341261168E-13</c:v>
                </c:pt>
                <c:pt idx="128">
                  <c:v>8.0726688341261168E-13</c:v>
                </c:pt>
                <c:pt idx="129">
                  <c:v>8.0726688341261168E-13</c:v>
                </c:pt>
                <c:pt idx="130">
                  <c:v>8.0726688341261168E-13</c:v>
                </c:pt>
                <c:pt idx="131">
                  <c:v>8.0726688341261168E-13</c:v>
                </c:pt>
                <c:pt idx="132">
                  <c:v>8.0726688341261168E-13</c:v>
                </c:pt>
                <c:pt idx="133">
                  <c:v>8.0726688341261168E-13</c:v>
                </c:pt>
                <c:pt idx="134">
                  <c:v>8.0726688341261168E-13</c:v>
                </c:pt>
                <c:pt idx="135">
                  <c:v>8.0726688341261168E-13</c:v>
                </c:pt>
                <c:pt idx="136">
                  <c:v>8.0726688341261168E-13</c:v>
                </c:pt>
                <c:pt idx="137">
                  <c:v>8.0726688341261168E-13</c:v>
                </c:pt>
                <c:pt idx="138">
                  <c:v>8.0726688341261168E-13</c:v>
                </c:pt>
                <c:pt idx="139">
                  <c:v>8.0726688341261168E-13</c:v>
                </c:pt>
                <c:pt idx="140">
                  <c:v>8.0726688341261168E-13</c:v>
                </c:pt>
                <c:pt idx="141">
                  <c:v>8.0726688341261168E-13</c:v>
                </c:pt>
                <c:pt idx="142">
                  <c:v>8.0726688341261168E-13</c:v>
                </c:pt>
                <c:pt idx="143">
                  <c:v>8.0726688341261168E-13</c:v>
                </c:pt>
                <c:pt idx="144">
                  <c:v>8.0726688341261168E-13</c:v>
                </c:pt>
                <c:pt idx="145">
                  <c:v>8.0726688341261168E-13</c:v>
                </c:pt>
                <c:pt idx="146">
                  <c:v>8.0726688341261168E-13</c:v>
                </c:pt>
                <c:pt idx="147">
                  <c:v>8.0726688341261168E-13</c:v>
                </c:pt>
                <c:pt idx="148">
                  <c:v>8.0726688341261168E-13</c:v>
                </c:pt>
                <c:pt idx="149">
                  <c:v>8.0726688341261168E-13</c:v>
                </c:pt>
                <c:pt idx="150">
                  <c:v>8.0726688341261168E-13</c:v>
                </c:pt>
                <c:pt idx="151">
                  <c:v>8.0726688341261168E-13</c:v>
                </c:pt>
                <c:pt idx="152">
                  <c:v>8.0726688341261168E-13</c:v>
                </c:pt>
                <c:pt idx="153">
                  <c:v>8.0726688341261168E-13</c:v>
                </c:pt>
                <c:pt idx="154">
                  <c:v>8.0726688341261168E-13</c:v>
                </c:pt>
                <c:pt idx="155">
                  <c:v>8.0726688341261168E-13</c:v>
                </c:pt>
                <c:pt idx="156">
                  <c:v>8.0726688341261168E-13</c:v>
                </c:pt>
                <c:pt idx="157">
                  <c:v>8.0726688341261168E-13</c:v>
                </c:pt>
                <c:pt idx="158">
                  <c:v>8.0726688341261168E-13</c:v>
                </c:pt>
                <c:pt idx="159">
                  <c:v>8.0726688341261168E-13</c:v>
                </c:pt>
                <c:pt idx="160">
                  <c:v>8.0726688341261168E-13</c:v>
                </c:pt>
                <c:pt idx="161">
                  <c:v>8.0726688341261168E-13</c:v>
                </c:pt>
                <c:pt idx="162">
                  <c:v>8.0726688341261168E-13</c:v>
                </c:pt>
                <c:pt idx="163">
                  <c:v>8.0726688341261168E-13</c:v>
                </c:pt>
                <c:pt idx="164">
                  <c:v>8.0726688341261168E-13</c:v>
                </c:pt>
                <c:pt idx="165">
                  <c:v>8.0726688341261168E-13</c:v>
                </c:pt>
                <c:pt idx="166">
                  <c:v>8.0726688341261168E-13</c:v>
                </c:pt>
                <c:pt idx="167">
                  <c:v>8.0726688341261168E-13</c:v>
                </c:pt>
                <c:pt idx="168">
                  <c:v>8.0726688341261168E-13</c:v>
                </c:pt>
                <c:pt idx="169">
                  <c:v>8.0726688341261168E-13</c:v>
                </c:pt>
                <c:pt idx="170">
                  <c:v>8.0726688341261168E-13</c:v>
                </c:pt>
                <c:pt idx="171">
                  <c:v>8.0726688341261168E-13</c:v>
                </c:pt>
                <c:pt idx="172">
                  <c:v>8.0726688341261168E-13</c:v>
                </c:pt>
                <c:pt idx="173">
                  <c:v>8.0726688341261168E-13</c:v>
                </c:pt>
                <c:pt idx="174">
                  <c:v>8.0726688341261168E-13</c:v>
                </c:pt>
                <c:pt idx="175">
                  <c:v>8.0726688341261168E-13</c:v>
                </c:pt>
                <c:pt idx="176">
                  <c:v>8.0726688341261168E-13</c:v>
                </c:pt>
                <c:pt idx="177">
                  <c:v>8.0726688341261168E-13</c:v>
                </c:pt>
                <c:pt idx="178">
                  <c:v>8.0726688341261168E-13</c:v>
                </c:pt>
                <c:pt idx="179">
                  <c:v>8.0726688341261168E-13</c:v>
                </c:pt>
                <c:pt idx="180">
                  <c:v>8.0726688341261168E-13</c:v>
                </c:pt>
                <c:pt idx="181">
                  <c:v>8.0726688341261168E-13</c:v>
                </c:pt>
                <c:pt idx="182">
                  <c:v>8.0726688341261168E-13</c:v>
                </c:pt>
                <c:pt idx="183">
                  <c:v>8.0726688341261168E-13</c:v>
                </c:pt>
                <c:pt idx="184">
                  <c:v>8.0726688341261168E-13</c:v>
                </c:pt>
                <c:pt idx="185">
                  <c:v>8.0726688341261168E-13</c:v>
                </c:pt>
                <c:pt idx="186">
                  <c:v>8.0726688341261168E-13</c:v>
                </c:pt>
                <c:pt idx="187">
                  <c:v>8.0726688341261168E-13</c:v>
                </c:pt>
                <c:pt idx="188">
                  <c:v>8.0726688341261168E-13</c:v>
                </c:pt>
                <c:pt idx="189">
                  <c:v>8.0726688341261168E-13</c:v>
                </c:pt>
                <c:pt idx="190">
                  <c:v>8.0726688341261168E-13</c:v>
                </c:pt>
                <c:pt idx="191">
                  <c:v>8.0726688341261168E-13</c:v>
                </c:pt>
                <c:pt idx="192">
                  <c:v>8.0726688341261168E-13</c:v>
                </c:pt>
                <c:pt idx="193">
                  <c:v>8.0726688341261168E-13</c:v>
                </c:pt>
                <c:pt idx="194">
                  <c:v>8.0726688341261168E-13</c:v>
                </c:pt>
                <c:pt idx="195">
                  <c:v>8.0726688341261168E-13</c:v>
                </c:pt>
                <c:pt idx="196">
                  <c:v>8.0726688341261168E-13</c:v>
                </c:pt>
                <c:pt idx="197">
                  <c:v>8.0726688341261168E-13</c:v>
                </c:pt>
                <c:pt idx="198">
                  <c:v>8.0726688341261168E-13</c:v>
                </c:pt>
                <c:pt idx="199">
                  <c:v>8.0726688341261168E-13</c:v>
                </c:pt>
                <c:pt idx="200">
                  <c:v>8.0726688341261168E-13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I28" sqref="I2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0.72</v>
      </c>
      <c r="D9" s="36">
        <f t="shared" ref="D9:D18" si="0">C9*$C$5</f>
        <v>5.04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13</v>
      </c>
      <c r="C10" s="35">
        <v>0.28000000000000003</v>
      </c>
      <c r="D10" s="36">
        <f t="shared" si="0"/>
        <v>1.9600000000000002</v>
      </c>
      <c r="E10" s="37">
        <v>90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115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5.75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180</v>
      </c>
      <c r="C37" s="63">
        <v>2</v>
      </c>
      <c r="D37" s="63">
        <v>0</v>
      </c>
      <c r="E37" s="54"/>
      <c r="F37" s="54"/>
      <c r="G37" s="54"/>
      <c r="H37" s="54"/>
      <c r="I37" s="56">
        <f t="shared" ref="I37:I55" si="1">IF(A37&lt;&gt;0,(B37-(B36-D36))/(A37-A36),"")</f>
        <v>6.5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40</v>
      </c>
      <c r="B38" s="63">
        <v>250</v>
      </c>
      <c r="C38" s="63">
        <v>3</v>
      </c>
      <c r="D38" s="63">
        <v>63</v>
      </c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50</v>
      </c>
      <c r="B39" s="63">
        <v>257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60</v>
      </c>
      <c r="B40" s="63">
        <v>337</v>
      </c>
      <c r="C40" s="63">
        <v>5</v>
      </c>
      <c r="D40" s="63">
        <v>67</v>
      </c>
      <c r="E40" s="54"/>
      <c r="F40" s="54"/>
      <c r="G40" s="54"/>
      <c r="H40" s="54"/>
      <c r="I40" s="52">
        <f t="shared" si="1"/>
        <v>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70</v>
      </c>
      <c r="B41" s="63">
        <v>345</v>
      </c>
      <c r="C41" s="63">
        <v>6</v>
      </c>
      <c r="D41" s="63">
        <v>69</v>
      </c>
      <c r="E41" s="54"/>
      <c r="F41" s="54"/>
      <c r="G41" s="54"/>
      <c r="H41" s="54"/>
      <c r="I41" s="56">
        <f t="shared" si="1"/>
        <v>7.5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80</v>
      </c>
      <c r="B42" s="63">
        <v>353</v>
      </c>
      <c r="C42" s="63">
        <v>7</v>
      </c>
      <c r="D42" s="63">
        <v>71</v>
      </c>
      <c r="E42" s="54"/>
      <c r="F42" s="54"/>
      <c r="G42" s="54"/>
      <c r="H42" s="54"/>
      <c r="I42" s="56">
        <f t="shared" si="1"/>
        <v>7.7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90</v>
      </c>
      <c r="B43" s="63">
        <v>365</v>
      </c>
      <c r="C43" s="63">
        <v>8</v>
      </c>
      <c r="D43" s="63">
        <v>73</v>
      </c>
      <c r="E43" s="54"/>
      <c r="F43" s="54"/>
      <c r="G43" s="54"/>
      <c r="H43" s="54"/>
      <c r="I43" s="52">
        <f t="shared" si="1"/>
        <v>8.3000000000000007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100</v>
      </c>
      <c r="B44" s="63">
        <v>375</v>
      </c>
      <c r="C44" s="63">
        <v>9</v>
      </c>
      <c r="D44" s="63">
        <v>375</v>
      </c>
      <c r="E44" s="54"/>
      <c r="F44" s="54"/>
      <c r="G44" s="54"/>
      <c r="H44" s="54"/>
      <c r="I44" s="52">
        <f t="shared" si="1"/>
        <v>8.3000000000000007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rouge d'Amérique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132</v>
      </c>
      <c r="C62" s="63">
        <v>1</v>
      </c>
      <c r="D62" s="63">
        <v>50</v>
      </c>
      <c r="E62" s="54">
        <v>0.3</v>
      </c>
      <c r="F62" s="54">
        <v>0.35</v>
      </c>
      <c r="G62" s="54">
        <v>0.35</v>
      </c>
      <c r="H62" s="54"/>
      <c r="I62" s="56">
        <f>IFERROR(B62/A62,"")</f>
        <v>6.6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143</v>
      </c>
      <c r="C63" s="63">
        <v>2</v>
      </c>
      <c r="D63" s="63">
        <v>37</v>
      </c>
      <c r="E63" s="54">
        <v>0.7</v>
      </c>
      <c r="F63" s="54">
        <v>0.15</v>
      </c>
      <c r="G63" s="54">
        <v>0.15</v>
      </c>
      <c r="H63" s="54"/>
      <c r="I63" s="52">
        <f>IF(A63&lt;&gt;0,(B63-(B62-D62))/(A63-A62),"")</f>
        <v>12.2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163</v>
      </c>
      <c r="C64" s="63">
        <v>3</v>
      </c>
      <c r="D64" s="63">
        <v>37</v>
      </c>
      <c r="E64" s="54">
        <v>0.7</v>
      </c>
      <c r="F64" s="54">
        <v>0.15</v>
      </c>
      <c r="G64" s="54">
        <v>0.15</v>
      </c>
      <c r="H64" s="54"/>
      <c r="I64" s="52">
        <f>IF(A64&lt;&gt;0,(B64-(B63-D63))/(A64-A63),"")</f>
        <v>11.4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179</v>
      </c>
      <c r="C65" s="63">
        <v>4</v>
      </c>
      <c r="D65" s="63">
        <v>36</v>
      </c>
      <c r="E65" s="54"/>
      <c r="F65" s="54"/>
      <c r="G65" s="54"/>
      <c r="H65" s="54"/>
      <c r="I65" s="52">
        <f>IF(A65&lt;&gt;0,(B65-(B64-D64))/(A65-A64),"")</f>
        <v>10.6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191</v>
      </c>
      <c r="C66" s="63">
        <v>5</v>
      </c>
      <c r="D66" s="63">
        <v>33</v>
      </c>
      <c r="E66" s="54"/>
      <c r="F66" s="54"/>
      <c r="G66" s="54"/>
      <c r="H66" s="54"/>
      <c r="I66" s="52">
        <f t="shared" ref="I66:I81" si="2">IF(A66&lt;&gt;0,(B66-(B65-D65))/(A66-A65),"")</f>
        <v>9.6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201</v>
      </c>
      <c r="C67" s="63">
        <v>6</v>
      </c>
      <c r="D67" s="63">
        <v>31</v>
      </c>
      <c r="E67" s="54"/>
      <c r="F67" s="54"/>
      <c r="G67" s="54"/>
      <c r="H67" s="54"/>
      <c r="I67" s="52">
        <f t="shared" si="2"/>
        <v>8.6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209</v>
      </c>
      <c r="C68" s="63">
        <v>7</v>
      </c>
      <c r="D68" s="63">
        <v>28</v>
      </c>
      <c r="E68" s="54"/>
      <c r="F68" s="54"/>
      <c r="G68" s="54"/>
      <c r="H68" s="54"/>
      <c r="I68" s="52">
        <f t="shared" si="2"/>
        <v>7.8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215</v>
      </c>
      <c r="C69" s="53">
        <v>8</v>
      </c>
      <c r="D69" s="53">
        <v>25</v>
      </c>
      <c r="E69" s="54"/>
      <c r="F69" s="54"/>
      <c r="G69" s="54"/>
      <c r="H69" s="54"/>
      <c r="I69" s="52">
        <f t="shared" si="2"/>
        <v>6.8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220</v>
      </c>
      <c r="C70" s="53">
        <v>9</v>
      </c>
      <c r="D70" s="53">
        <v>22</v>
      </c>
      <c r="E70" s="54"/>
      <c r="F70" s="54"/>
      <c r="G70" s="54"/>
      <c r="H70" s="54"/>
      <c r="I70" s="52">
        <f t="shared" si="2"/>
        <v>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224</v>
      </c>
      <c r="C71" s="53">
        <v>10</v>
      </c>
      <c r="D71" s="53">
        <v>20</v>
      </c>
      <c r="E71" s="54"/>
      <c r="F71" s="54"/>
      <c r="G71" s="54"/>
      <c r="H71" s="54"/>
      <c r="I71" s="52">
        <f t="shared" si="2"/>
        <v>5.2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227</v>
      </c>
      <c r="C72" s="53">
        <v>11</v>
      </c>
      <c r="D72" s="53">
        <v>17</v>
      </c>
      <c r="E72" s="54"/>
      <c r="F72" s="54"/>
      <c r="G72" s="54"/>
      <c r="H72" s="54"/>
      <c r="I72" s="52">
        <f t="shared" si="2"/>
        <v>4.5999999999999996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230</v>
      </c>
      <c r="C73" s="53">
        <v>12</v>
      </c>
      <c r="D73" s="53">
        <v>15</v>
      </c>
      <c r="E73" s="54"/>
      <c r="F73" s="54"/>
      <c r="G73" s="54"/>
      <c r="H73" s="54"/>
      <c r="I73" s="52">
        <f t="shared" si="2"/>
        <v>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232</v>
      </c>
      <c r="C74" s="53">
        <v>13</v>
      </c>
      <c r="D74" s="53">
        <v>13</v>
      </c>
      <c r="E74" s="54"/>
      <c r="F74" s="54"/>
      <c r="G74" s="54"/>
      <c r="H74" s="54"/>
      <c r="I74" s="52">
        <f t="shared" si="2"/>
        <v>3.4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234</v>
      </c>
      <c r="C75" s="53">
        <v>14</v>
      </c>
      <c r="D75" s="53">
        <v>12</v>
      </c>
      <c r="E75" s="54"/>
      <c r="F75" s="54"/>
      <c r="G75" s="54"/>
      <c r="H75" s="54"/>
      <c r="I75" s="52">
        <f t="shared" si="2"/>
        <v>3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53">
        <v>236</v>
      </c>
      <c r="C76" s="53">
        <v>15</v>
      </c>
      <c r="D76" s="53">
        <v>236</v>
      </c>
      <c r="E76" s="54"/>
      <c r="F76" s="54"/>
      <c r="G76" s="54"/>
      <c r="H76" s="54"/>
      <c r="I76" s="52">
        <f t="shared" si="2"/>
        <v>2.8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2" sqref="C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rouge d'Amérique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145.91567711893987</v>
      </c>
      <c r="T3" s="62">
        <f>IF('Données projet'!E9&gt;30,$R$33-$H$33,LOOKUP('Données projet'!$E$9,$A$3:$A$203,R3:R203)-LOOKUP('Données projet'!$E$9,$A$3:$A$203,$H$3:$H$203))</f>
        <v>136.44398554363522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222.48114295382305</v>
      </c>
      <c r="AO3" s="62">
        <f>IF('Données projet'!E10&gt;30,$AM$33-$H$33,LOOKUP('Données projet'!$E$10,$A$3:$A$203,AM3:AM203)-LOOKUP('Données projet'!$E$10,$A$3:$A$203,$H$3:$H$203))</f>
        <v>261.55066338953611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0.73319999999999996</v>
      </c>
      <c r="D4" s="12">
        <f>IFERROR(EXP(-1.0587+0.8836*LN(C4)+0.284),0)</f>
        <v>0.35031814074723205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8.3639996829610901</v>
      </c>
      <c r="H4" s="70">
        <f t="shared" ref="H4:H67" si="1">(B4+E4+F4)*44/12+(C4+D4)*0.475*44/12</f>
        <v>295.22046076180141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5.75</v>
      </c>
      <c r="N4" s="14">
        <f>IF('Données projet'!$A$36&gt;35,N3+M4-V3,IF(A4&lt;'Données projet'!$A$36,$K$205^A4,IF(A4='Données projet'!$A$36,'Données projet'!$B$36,N3+M4-V3)))</f>
        <v>1.2677537154322802</v>
      </c>
      <c r="O4" s="14">
        <f>N4*VLOOKUP('Données projet'!$B$9,Paramètres!$A$1:$I$89,3,0)*VLOOKUP('Données projet'!$B$9,Paramètres!$A$1:$I$89,5,0)</f>
        <v>0.59330873882230706</v>
      </c>
      <c r="P4" s="14">
        <f>EXP(-1.0587+0.8836*LN(O4)+0.284)</f>
        <v>0.29055137246158741</v>
      </c>
      <c r="Q4" s="22">
        <f t="shared" ref="Q4:Q34" si="2">(O4+P4)*0.475*44/12</f>
        <v>1.5393896938194491</v>
      </c>
      <c r="R4" s="62">
        <f t="shared" si="0"/>
        <v>294.87272302715274</v>
      </c>
      <c r="S4" s="62">
        <f ca="1">AVERAGE(OFFSET($R$3,0,0,'Données projet'!$E$9+1,1))-AVERAGE(OFFSET($H$3,0,0,'Données projet'!$E$9+1,1))</f>
        <v>145.91567711893987</v>
      </c>
      <c r="T4" s="62">
        <f>$T$3</f>
        <v>136.44398554363522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6.6</v>
      </c>
      <c r="AI4" s="14">
        <f>IF('Données projet'!$A$62&gt;35,AI3+AH4-AQ3,IF(A4&lt;'Données projet'!$A$62,$AF$205^A4,IF(A4='Données projet'!$A$62,'Données projet'!$B$62,AI3+AH4-AQ3)))</f>
        <v>1.2765231539157764</v>
      </c>
      <c r="AJ4" s="14">
        <f>AI4*VLOOKUP('Données projet'!$B$10,Paramètres!$A$1:$I$89,3,0)*VLOOKUP('Données projet'!$B$10,Paramètres!$A$1:$I$89,5,0)</f>
        <v>1.1151706272608224</v>
      </c>
      <c r="AK4" s="14">
        <f>EXP(-1.0587+0.8836*LN(AJ4)+0.284)</f>
        <v>0.50743784838663863</v>
      </c>
      <c r="AL4" s="22">
        <f t="shared" ref="AL4:AL67" si="4">(AJ4+AK4)*0.475*44/12</f>
        <v>2.8260430950859945</v>
      </c>
      <c r="AM4" s="62">
        <f t="shared" ref="AM4:AM67" si="5">AL4+(AD4+AE4)*44/12</f>
        <v>296.15937642841931</v>
      </c>
      <c r="AN4" s="62">
        <f ca="1">AVERAGE(OFFSET($AM$3,0,0,'Données projet'!$E$10+1,1))-AVERAGE(OFFSET($H$3,0,0,'Données projet'!$E$10+1,1))</f>
        <v>222.48114295382305</v>
      </c>
      <c r="AO4" s="62">
        <f>$AO$3</f>
        <v>261.55066338953611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1.4663999999999999</v>
      </c>
      <c r="D5" s="12">
        <f t="shared" ref="D5:D68" si="32">IFERROR(EXP(-1.0587+0.8836*LN(C5)+0.284),0)</f>
        <v>0.64632764391155073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16.308774795106711</v>
      </c>
      <c r="H5" s="70">
        <f t="shared" si="1"/>
        <v>297.01300064647927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5.75</v>
      </c>
      <c r="N5" s="14">
        <f>IF('Données projet'!$A$36&gt;35,N4+M5-V4,IF(A5&lt;'Données projet'!$A$36,$K$205^A5,IF(A5='Données projet'!$A$36,'Données projet'!$B$36,N4+M5-V4)))</f>
        <v>1.6071994829923508</v>
      </c>
      <c r="O5" s="14">
        <f>N5*VLOOKUP('Données projet'!$B$9,Paramètres!$A$1:$I$89,3,0)*VLOOKUP('Données projet'!$B$9,Paramètres!$A$1:$I$89,5,0)</f>
        <v>0.75216935804042018</v>
      </c>
      <c r="P5" s="14">
        <f t="shared" ref="P5:P68" si="33">EXP(-1.0587+0.8836*LN(O5)+0.284)</f>
        <v>0.35831464735172275</v>
      </c>
      <c r="Q5" s="22">
        <f t="shared" si="2"/>
        <v>1.9340929760579824</v>
      </c>
      <c r="R5" s="62">
        <f t="shared" si="0"/>
        <v>295.26742630939128</v>
      </c>
      <c r="S5" s="62">
        <f ca="1">AVERAGE(OFFSET($R$3,0,0,'Données projet'!$E$9+1,1))-AVERAGE(OFFSET($H$3,0,0,'Données projet'!$E$9+1,1))</f>
        <v>145.91567711893987</v>
      </c>
      <c r="T5" s="62">
        <f t="shared" ref="T5:T68" si="34">$T$3</f>
        <v>136.44398554363522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6.6</v>
      </c>
      <c r="AI5" s="14">
        <f>IF('Données projet'!$A$62&gt;35,AI4+AH5-AQ4,IF(A5&lt;'Données projet'!$A$62,$AF$205^A5,IF(A5='Données projet'!$A$62,'Données projet'!$B$62,AI4+AH5-AQ4)))</f>
        <v>1.629511362483081</v>
      </c>
      <c r="AJ5" s="14">
        <f>AI5*VLOOKUP('Données projet'!$B$10,Paramètres!$A$1:$I$89,3,0)*VLOOKUP('Données projet'!$B$10,Paramètres!$A$1:$I$89,5,0)</f>
        <v>1.4235411262652198</v>
      </c>
      <c r="AK5" s="14">
        <f t="shared" ref="AK5:AK68" si="35">EXP(-1.0587+0.8836*LN(AJ5)+0.284)</f>
        <v>0.62960738463416654</v>
      </c>
      <c r="AL5" s="22">
        <f t="shared" si="4"/>
        <v>3.5759003231497637</v>
      </c>
      <c r="AM5" s="62">
        <f t="shared" si="5"/>
        <v>296.90923365648308</v>
      </c>
      <c r="AN5" s="62">
        <f ca="1">AVERAGE(OFFSET($AM$3,0,0,'Données projet'!$E$10+1,1))-AVERAGE(OFFSET($H$3,0,0,'Données projet'!$E$10+1,1))</f>
        <v>222.48114295382305</v>
      </c>
      <c r="AO5" s="62">
        <f t="shared" ref="AO5:AO68" si="36">$AO$3</f>
        <v>261.55066338953611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2.1995999999999998</v>
      </c>
      <c r="D6" s="12">
        <f t="shared" si="32"/>
        <v>0.92479818325965968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24.118161414635967</v>
      </c>
      <c r="H6" s="70">
        <f t="shared" si="1"/>
        <v>298.77499350251054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5.75</v>
      </c>
      <c r="N6" s="14">
        <f>IF('Données projet'!$A$36&gt;35,N5+M6-V5,IF(A6&lt;'Données projet'!$A$36,$K$205^A6,IF(A6='Données projet'!$A$36,'Données projet'!$B$36,N5+M6-V5)))</f>
        <v>2.0375331160043926</v>
      </c>
      <c r="O6" s="14">
        <f>N6*VLOOKUP('Données projet'!$B$9,Paramètres!$A$1:$I$89,3,0)*VLOOKUP('Données projet'!$B$9,Paramètres!$A$1:$I$89,5,0)</f>
        <v>0.95356549829005577</v>
      </c>
      <c r="P6" s="14">
        <f t="shared" si="33"/>
        <v>0.44188187933534279</v>
      </c>
      <c r="Q6" s="22">
        <f t="shared" si="2"/>
        <v>2.4304041826975693</v>
      </c>
      <c r="R6" s="62">
        <f t="shared" si="0"/>
        <v>295.76373751603086</v>
      </c>
      <c r="S6" s="62">
        <f ca="1">AVERAGE(OFFSET($R$3,0,0,'Données projet'!$E$9+1,1))-AVERAGE(OFFSET($H$3,0,0,'Données projet'!$E$9+1,1))</f>
        <v>145.91567711893987</v>
      </c>
      <c r="T6" s="62">
        <f t="shared" si="34"/>
        <v>136.44398554363522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6.6</v>
      </c>
      <c r="AI6" s="14">
        <f>IF('Données projet'!$A$62&gt;35,AI5+AH6-AQ5,IF(A6&lt;'Données projet'!$A$62,$AF$205^A6,IF(A6='Données projet'!$A$62,'Données projet'!$B$62,AI5+AH6-AQ5)))</f>
        <v>2.0801089837784965</v>
      </c>
      <c r="AJ6" s="14">
        <f>AI6*VLOOKUP('Données projet'!$B$10,Paramètres!$A$1:$I$89,3,0)*VLOOKUP('Données projet'!$B$10,Paramètres!$A$1:$I$89,5,0)</f>
        <v>1.8171832082288948</v>
      </c>
      <c r="AK6" s="14">
        <f t="shared" si="35"/>
        <v>0.7811901694881791</v>
      </c>
      <c r="AL6" s="22">
        <f t="shared" si="4"/>
        <v>4.5255002995239044</v>
      </c>
      <c r="AM6" s="62">
        <f t="shared" si="5"/>
        <v>297.85883363285723</v>
      </c>
      <c r="AN6" s="62">
        <f ca="1">AVERAGE(OFFSET($AM$3,0,0,'Données projet'!$E$10+1,1))-AVERAGE(OFFSET($H$3,0,0,'Données projet'!$E$10+1,1))</f>
        <v>222.48114295382305</v>
      </c>
      <c r="AO6" s="62">
        <f t="shared" si="36"/>
        <v>261.55066338953611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2.9327999999999999</v>
      </c>
      <c r="D7" s="12">
        <f t="shared" si="32"/>
        <v>1.1924572972247856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31.844091417173786</v>
      </c>
      <c r="H7" s="70">
        <f t="shared" si="1"/>
        <v>300.51815645933317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5.75</v>
      </c>
      <c r="N7" s="14">
        <f>IF('Données projet'!$A$36&gt;35,N6+M7-V6,IF(A7&lt;'Données projet'!$A$36,$K$205^A7,IF(A7='Données projet'!$A$36,'Données projet'!$B$36,N6+M7-V6)))</f>
        <v>2.5830901781308797</v>
      </c>
      <c r="O7" s="14">
        <f>N7*VLOOKUP('Données projet'!$B$9,Paramètres!$A$1:$I$89,3,0)*VLOOKUP('Données projet'!$B$9,Paramètres!$A$1:$I$89,5,0)</f>
        <v>1.2088862033652517</v>
      </c>
      <c r="P7" s="14">
        <f t="shared" si="33"/>
        <v>0.54493891535856476</v>
      </c>
      <c r="Q7" s="22">
        <f t="shared" si="2"/>
        <v>3.0545787484439804</v>
      </c>
      <c r="R7" s="62">
        <f t="shared" si="0"/>
        <v>296.3879120817773</v>
      </c>
      <c r="S7" s="62">
        <f ca="1">AVERAGE(OFFSET($R$3,0,0,'Données projet'!$E$9+1,1))-AVERAGE(OFFSET($H$3,0,0,'Données projet'!$E$9+1,1))</f>
        <v>145.91567711893987</v>
      </c>
      <c r="T7" s="62">
        <f t="shared" si="34"/>
        <v>136.44398554363522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6.6</v>
      </c>
      <c r="AI7" s="14">
        <f>IF('Données projet'!$A$62&gt;35,AI6+AH7-AQ6,IF(A7&lt;'Données projet'!$A$62,$AF$205^A7,IF(A7='Données projet'!$A$62,'Données projet'!$B$62,AI6+AH7-AQ6)))</f>
        <v>2.655307280461467</v>
      </c>
      <c r="AJ7" s="14">
        <f>AI7*VLOOKUP('Données projet'!$B$10,Paramètres!$A$1:$I$89,3,0)*VLOOKUP('Données projet'!$B$10,Paramètres!$A$1:$I$89,5,0)</f>
        <v>2.3196764402111376</v>
      </c>
      <c r="AK7" s="14">
        <f t="shared" si="35"/>
        <v>0.96926766711854973</v>
      </c>
      <c r="AL7" s="22">
        <f t="shared" si="4"/>
        <v>5.7282443202658717</v>
      </c>
      <c r="AM7" s="62">
        <f t="shared" si="5"/>
        <v>299.06157765359916</v>
      </c>
      <c r="AN7" s="62">
        <f ca="1">AVERAGE(OFFSET($AM$3,0,0,'Données projet'!$E$10+1,1))-AVERAGE(OFFSET($H$3,0,0,'Données projet'!$E$10+1,1))</f>
        <v>222.48114295382305</v>
      </c>
      <c r="AO7" s="62">
        <f t="shared" si="36"/>
        <v>261.55066338953611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3.6659999999999999</v>
      </c>
      <c r="D8" s="12">
        <f t="shared" si="32"/>
        <v>1.4523541267681601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39.510102031192822</v>
      </c>
      <c r="H8" s="70">
        <f t="shared" si="1"/>
        <v>302.24780010412121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5.75</v>
      </c>
      <c r="N8" s="14">
        <f>IF('Données projet'!$A$36&gt;35,N7+M8-V7,IF(A8&lt;'Données projet'!$A$36,$K$205^A8,IF(A8='Données projet'!$A$36,'Données projet'!$B$36,N7+M8-V7)))</f>
        <v>3.2747221706220535</v>
      </c>
      <c r="O8" s="14">
        <f>N8*VLOOKUP('Données projet'!$B$9,Paramètres!$A$1:$I$89,3,0)*VLOOKUP('Données projet'!$B$9,Paramètres!$A$1:$I$89,5,0)</f>
        <v>1.5325699758511209</v>
      </c>
      <c r="P8" s="14">
        <f t="shared" si="33"/>
        <v>0.67203122680395833</v>
      </c>
      <c r="Q8" s="22">
        <f t="shared" si="2"/>
        <v>3.839680427957596</v>
      </c>
      <c r="R8" s="62">
        <f t="shared" si="0"/>
        <v>297.17301376129092</v>
      </c>
      <c r="S8" s="62">
        <f ca="1">AVERAGE(OFFSET($R$3,0,0,'Données projet'!$E$9+1,1))-AVERAGE(OFFSET($H$3,0,0,'Données projet'!$E$9+1,1))</f>
        <v>145.91567711893987</v>
      </c>
      <c r="T8" s="62">
        <f t="shared" si="34"/>
        <v>136.44398554363522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6.6</v>
      </c>
      <c r="AI8" s="14">
        <f>IF('Données projet'!$A$62&gt;35,AI7+AH8-AQ7,IF(A8&lt;'Données projet'!$A$62,$AF$205^A8,IF(A8='Données projet'!$A$62,'Données projet'!$B$62,AI7+AH8-AQ7)))</f>
        <v>3.3895612242701949</v>
      </c>
      <c r="AJ8" s="14">
        <f>AI8*VLOOKUP('Données projet'!$B$10,Paramètres!$A$1:$I$89,3,0)*VLOOKUP('Données projet'!$B$10,Paramètres!$A$1:$I$89,5,0)</f>
        <v>2.9611206855224426</v>
      </c>
      <c r="AK8" s="14">
        <f t="shared" si="35"/>
        <v>1.2026262582604759</v>
      </c>
      <c r="AL8" s="22">
        <f t="shared" si="4"/>
        <v>7.2518592604219156</v>
      </c>
      <c r="AM8" s="62">
        <f t="shared" si="5"/>
        <v>300.58519259375521</v>
      </c>
      <c r="AN8" s="62">
        <f ca="1">AVERAGE(OFFSET($AM$3,0,0,'Données projet'!$E$10+1,1))-AVERAGE(OFFSET($H$3,0,0,'Données projet'!$E$10+1,1))</f>
        <v>222.48114295382305</v>
      </c>
      <c r="AO8" s="62">
        <f t="shared" si="36"/>
        <v>261.55066338953611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4.3991999999999996</v>
      </c>
      <c r="D9" s="12">
        <f t="shared" si="32"/>
        <v>1.7062280291992591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47.129619874520593</v>
      </c>
      <c r="H9" s="70">
        <f t="shared" si="1"/>
        <v>303.96695381752204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5.75</v>
      </c>
      <c r="N9" s="14">
        <f>IF('Données projet'!$A$36&gt;35,N8+M9-V8,IF(A9&lt;'Données projet'!$A$36,$K$205^A9,IF(A9='Données projet'!$A$36,'Données projet'!$B$36,N8+M9-V8)))</f>
        <v>4.1515411988145692</v>
      </c>
      <c r="O9" s="14">
        <f>N9*VLOOKUP('Données projet'!$B$9,Paramètres!$A$1:$I$89,3,0)*VLOOKUP('Données projet'!$B$9,Paramètres!$A$1:$I$89,5,0)</f>
        <v>1.9429212810452183</v>
      </c>
      <c r="P9" s="14">
        <f t="shared" si="33"/>
        <v>0.82876439371643607</v>
      </c>
      <c r="Q9" s="22">
        <f t="shared" si="2"/>
        <v>4.8273525502098815</v>
      </c>
      <c r="R9" s="62">
        <f t="shared" si="0"/>
        <v>298.16068588354318</v>
      </c>
      <c r="S9" s="62">
        <f ca="1">AVERAGE(OFFSET($R$3,0,0,'Données projet'!$E$9+1,1))-AVERAGE(OFFSET($H$3,0,0,'Données projet'!$E$9+1,1))</f>
        <v>145.91567711893987</v>
      </c>
      <c r="T9" s="62">
        <f t="shared" si="34"/>
        <v>136.44398554363522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6.6</v>
      </c>
      <c r="AI9" s="14">
        <f>IF('Données projet'!$A$62&gt;35,AI8+AH9-AQ8,IF(A9&lt;'Données projet'!$A$62,$AF$205^A9,IF(A9='Données projet'!$A$62,'Données projet'!$B$62,AI8+AH9-AQ8)))</f>
        <v>4.32685338439601</v>
      </c>
      <c r="AJ9" s="14">
        <f>AI9*VLOOKUP('Données projet'!$B$10,Paramètres!$A$1:$I$89,3,0)*VLOOKUP('Données projet'!$B$10,Paramètres!$A$1:$I$89,5,0)</f>
        <v>3.7799391166083551</v>
      </c>
      <c r="AK9" s="14">
        <f t="shared" si="35"/>
        <v>1.4921677118944865</v>
      </c>
      <c r="AL9" s="22">
        <f t="shared" si="4"/>
        <v>9.1822527263091143</v>
      </c>
      <c r="AM9" s="62">
        <f t="shared" si="5"/>
        <v>302.51558605964243</v>
      </c>
      <c r="AN9" s="62">
        <f ca="1">AVERAGE(OFFSET($AM$3,0,0,'Données projet'!$E$10+1,1))-AVERAGE(OFFSET($H$3,0,0,'Données projet'!$E$10+1,1))</f>
        <v>222.48114295382305</v>
      </c>
      <c r="AO9" s="62">
        <f t="shared" si="36"/>
        <v>261.55066338953611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5.1323999999999996</v>
      </c>
      <c r="D10" s="12">
        <f t="shared" si="32"/>
        <v>1.9552003009222731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54.711300568522809</v>
      </c>
      <c r="H10" s="70">
        <f t="shared" si="1"/>
        <v>305.67757052410627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5.75</v>
      </c>
      <c r="N10" s="14">
        <f>IF('Données projet'!$A$36&gt;35,N9+M10-V9,IF(A10&lt;'Données projet'!$A$36,$K$205^A10,IF(A10='Données projet'!$A$36,'Données projet'!$B$36,N9+M10-V9)))</f>
        <v>5.2631317795673525</v>
      </c>
      <c r="O10" s="14">
        <f>N10*VLOOKUP('Données projet'!$B$9,Paramètres!$A$1:$I$89,3,0)*VLOOKUP('Données projet'!$B$9,Paramètres!$A$1:$I$89,5,0)</f>
        <v>2.4631456728375212</v>
      </c>
      <c r="P10" s="14">
        <f t="shared" si="33"/>
        <v>1.0220513465701448</v>
      </c>
      <c r="Q10" s="22">
        <f t="shared" si="2"/>
        <v>6.0700514754683512</v>
      </c>
      <c r="R10" s="62">
        <f t="shared" si="0"/>
        <v>299.40338480880166</v>
      </c>
      <c r="S10" s="62">
        <f ca="1">AVERAGE(OFFSET($R$3,0,0,'Données projet'!$E$9+1,1))-AVERAGE(OFFSET($H$3,0,0,'Données projet'!$E$9+1,1))</f>
        <v>145.91567711893987</v>
      </c>
      <c r="T10" s="62">
        <f t="shared" si="34"/>
        <v>136.44398554363522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6.6</v>
      </c>
      <c r="AI10" s="14">
        <f>IF('Données projet'!$A$62&gt;35,AI9+AH10-AQ9,IF(A10&lt;'Données projet'!$A$62,$AF$205^A10,IF(A10='Données projet'!$A$62,'Données projet'!$B$62,AI9+AH10-AQ9)))</f>
        <v>5.5233285287803451</v>
      </c>
      <c r="AJ10" s="14">
        <f>AI10*VLOOKUP('Données projet'!$B$10,Paramètres!$A$1:$I$89,3,0)*VLOOKUP('Données projet'!$B$10,Paramètres!$A$1:$I$89,5,0)</f>
        <v>4.8251798027425101</v>
      </c>
      <c r="AK10" s="14">
        <f t="shared" si="35"/>
        <v>1.8514184811173284</v>
      </c>
      <c r="AL10" s="22">
        <f t="shared" si="4"/>
        <v>11.628408677722552</v>
      </c>
      <c r="AM10" s="62">
        <f t="shared" si="5"/>
        <v>304.96174201105589</v>
      </c>
      <c r="AN10" s="62">
        <f ca="1">AVERAGE(OFFSET($AM$3,0,0,'Données projet'!$E$10+1,1))-AVERAGE(OFFSET($H$3,0,0,'Données projet'!$E$10+1,1))</f>
        <v>222.48114295382305</v>
      </c>
      <c r="AO10" s="62">
        <f t="shared" si="36"/>
        <v>261.55066338953611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5.8655999999999997</v>
      </c>
      <c r="D11" s="12">
        <f t="shared" si="32"/>
        <v>2.2000519691514757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62.261173095204363</v>
      </c>
      <c r="H11" s="70">
        <f t="shared" si="1"/>
        <v>307.38101051293881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5.75</v>
      </c>
      <c r="N11" s="14">
        <f>IF('Données projet'!$A$36&gt;35,N10+M11-V10,IF(A11&lt;'Données projet'!$A$36,$K$205^A11,IF(A11='Données projet'!$A$36,'Données projet'!$B$36,N10+M11-V10)))</f>
        <v>6.6723548683562202</v>
      </c>
      <c r="O11" s="14">
        <f>N11*VLOOKUP('Données projet'!$B$9,Paramètres!$A$1:$I$89,3,0)*VLOOKUP('Données projet'!$B$9,Paramètres!$A$1:$I$89,5,0)</f>
        <v>3.1226620783907113</v>
      </c>
      <c r="P11" s="14">
        <f t="shared" si="33"/>
        <v>1.2604172705122936</v>
      </c>
      <c r="Q11" s="22">
        <f t="shared" si="2"/>
        <v>7.6338631993393991</v>
      </c>
      <c r="R11" s="62">
        <f t="shared" si="0"/>
        <v>300.96719653267269</v>
      </c>
      <c r="S11" s="62">
        <f ca="1">AVERAGE(OFFSET($R$3,0,0,'Données projet'!$E$9+1,1))-AVERAGE(OFFSET($H$3,0,0,'Données projet'!$E$9+1,1))</f>
        <v>145.91567711893987</v>
      </c>
      <c r="T11" s="62">
        <f t="shared" si="34"/>
        <v>136.44398554363522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6.6</v>
      </c>
      <c r="AI11" s="14">
        <f>IF('Données projet'!$A$62&gt;35,AI10+AH11-AQ10,IF(A11&lt;'Données projet'!$A$62,$AF$205^A11,IF(A11='Données projet'!$A$62,'Données projet'!$B$62,AI10+AH11-AQ10)))</f>
        <v>7.0506567536716718</v>
      </c>
      <c r="AJ11" s="14">
        <f>AI11*VLOOKUP('Données projet'!$B$10,Paramètres!$A$1:$I$89,3,0)*VLOOKUP('Données projet'!$B$10,Paramètres!$A$1:$I$89,5,0)</f>
        <v>6.1594537400075735</v>
      </c>
      <c r="AK11" s="14">
        <f t="shared" si="35"/>
        <v>2.2971616158822084</v>
      </c>
      <c r="AL11" s="22">
        <f t="shared" si="4"/>
        <v>14.728605078174702</v>
      </c>
      <c r="AM11" s="62">
        <f t="shared" si="5"/>
        <v>308.06193841150804</v>
      </c>
      <c r="AN11" s="62">
        <f ca="1">AVERAGE(OFFSET($AM$3,0,0,'Données projet'!$E$10+1,1))-AVERAGE(OFFSET($H$3,0,0,'Données projet'!$E$10+1,1))</f>
        <v>222.48114295382305</v>
      </c>
      <c r="AO11" s="62">
        <f t="shared" si="36"/>
        <v>261.55066338953611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6.5987999999999998</v>
      </c>
      <c r="D12" s="12">
        <f t="shared" si="32"/>
        <v>2.4413570988248194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69.783668833033701</v>
      </c>
      <c r="H12" s="70">
        <f t="shared" si="1"/>
        <v>309.07827361378656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5.75</v>
      </c>
      <c r="N12" s="14">
        <f>IF('Données projet'!$A$36&gt;35,N11+M12-V11,IF(A12&lt;'Données projet'!$A$36,$K$205^A12,IF(A12='Données projet'!$A$36,'Données projet'!$B$36,N11+M12-V11)))</f>
        <v>8.4589026750412604</v>
      </c>
      <c r="O12" s="14">
        <f>N12*VLOOKUP('Données projet'!$B$9,Paramètres!$A$1:$I$89,3,0)*VLOOKUP('Données projet'!$B$9,Paramètres!$A$1:$I$89,5,0)</f>
        <v>3.9587664519193098</v>
      </c>
      <c r="P12" s="14">
        <f t="shared" si="33"/>
        <v>1.5543756203021926</v>
      </c>
      <c r="Q12" s="22">
        <f t="shared" si="2"/>
        <v>9.6020557757857823</v>
      </c>
      <c r="R12" s="62">
        <f t="shared" si="0"/>
        <v>302.93538910911911</v>
      </c>
      <c r="S12" s="62">
        <f ca="1">AVERAGE(OFFSET($R$3,0,0,'Données projet'!$E$9+1,1))-AVERAGE(OFFSET($H$3,0,0,'Données projet'!$E$9+1,1))</f>
        <v>145.91567711893987</v>
      </c>
      <c r="T12" s="62">
        <f t="shared" si="34"/>
        <v>136.44398554363522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6.6</v>
      </c>
      <c r="AI12" s="14">
        <f>IF('Données projet'!$A$62&gt;35,AI11+AH12-AQ11,IF(A12&lt;'Données projet'!$A$62,$AF$205^A12,IF(A12='Données projet'!$A$62,'Données projet'!$B$62,AI11+AH12-AQ11)))</f>
        <v>9.0003265963745314</v>
      </c>
      <c r="AJ12" s="14">
        <f>AI12*VLOOKUP('Données projet'!$B$10,Paramètres!$A$1:$I$89,3,0)*VLOOKUP('Données projet'!$B$10,Paramètres!$A$1:$I$89,5,0)</f>
        <v>7.8626853145927917</v>
      </c>
      <c r="AK12" s="14">
        <f t="shared" si="35"/>
        <v>2.8502208135558442</v>
      </c>
      <c r="AL12" s="22">
        <f t="shared" si="4"/>
        <v>18.658311506525539</v>
      </c>
      <c r="AM12" s="62">
        <f t="shared" si="5"/>
        <v>311.99164483985885</v>
      </c>
      <c r="AN12" s="62">
        <f ca="1">AVERAGE(OFFSET($AM$3,0,0,'Données projet'!$E$10+1,1))-AVERAGE(OFFSET($H$3,0,0,'Données projet'!$E$10+1,1))</f>
        <v>222.48114295382305</v>
      </c>
      <c r="AO12" s="62">
        <f t="shared" si="36"/>
        <v>261.55066338953611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7.3319999999999999</v>
      </c>
      <c r="D13" s="12">
        <f t="shared" si="32"/>
        <v>2.6795547009841778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77.282176639176114</v>
      </c>
      <c r="H13" s="70">
        <f t="shared" si="1"/>
        <v>310.77012443754745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5.75</v>
      </c>
      <c r="N13" s="14">
        <f>IF('Données projet'!$A$36&gt;35,N12+M13-V12,IF(A13&lt;'Données projet'!$A$36,$K$205^A13,IF(A13='Données projet'!$A$36,'Données projet'!$B$36,N12+M13-V12)))</f>
        <v>10.723805294763611</v>
      </c>
      <c r="O13" s="14">
        <f>N13*VLOOKUP('Données projet'!$B$9,Paramètres!$A$1:$I$89,3,0)*VLOOKUP('Données projet'!$B$9,Paramètres!$A$1:$I$89,5,0)</f>
        <v>5.0187408779493703</v>
      </c>
      <c r="P13" s="14">
        <f t="shared" si="33"/>
        <v>1.9168918305981435</v>
      </c>
      <c r="Q13" s="22">
        <f t="shared" si="2"/>
        <v>12.079560300720253</v>
      </c>
      <c r="R13" s="62">
        <f t="shared" si="0"/>
        <v>305.41289363405355</v>
      </c>
      <c r="S13" s="62">
        <f ca="1">AVERAGE(OFFSET($R$3,0,0,'Données projet'!$E$9+1,1))-AVERAGE(OFFSET($H$3,0,0,'Données projet'!$E$9+1,1))</f>
        <v>145.91567711893987</v>
      </c>
      <c r="T13" s="62">
        <f t="shared" si="34"/>
        <v>136.44398554363522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6.6</v>
      </c>
      <c r="AI13" s="14">
        <f>IF('Données projet'!$A$62&gt;35,AI12+AH13-AQ12,IF(A13&lt;'Données projet'!$A$62,$AF$205^A13,IF(A13='Données projet'!$A$62,'Données projet'!$B$62,AI12+AH13-AQ12)))</f>
        <v>11.489125293076063</v>
      </c>
      <c r="AJ13" s="14">
        <f>AI13*VLOOKUP('Données projet'!$B$10,Paramètres!$A$1:$I$89,3,0)*VLOOKUP('Données projet'!$B$10,Paramètres!$A$1:$I$89,5,0)</f>
        <v>10.036899856031249</v>
      </c>
      <c r="AK13" s="14">
        <f t="shared" si="35"/>
        <v>3.5364332356333024</v>
      </c>
      <c r="AL13" s="22">
        <f t="shared" si="4"/>
        <v>23.640221801315761</v>
      </c>
      <c r="AM13" s="62">
        <f t="shared" si="5"/>
        <v>316.97355513464908</v>
      </c>
      <c r="AN13" s="62">
        <f ca="1">AVERAGE(OFFSET($AM$3,0,0,'Données projet'!$E$10+1,1))-AVERAGE(OFFSET($H$3,0,0,'Données projet'!$E$10+1,1))</f>
        <v>222.48114295382305</v>
      </c>
      <c r="AO13" s="62">
        <f t="shared" si="36"/>
        <v>261.55066338953611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8.065199999999999</v>
      </c>
      <c r="D14" s="12">
        <f t="shared" si="32"/>
        <v>2.9149909035839161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84.759368378542504</v>
      </c>
      <c r="H14" s="70">
        <f t="shared" si="1"/>
        <v>312.45716582374195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5.75</v>
      </c>
      <c r="N14" s="14">
        <f>IF('Données projet'!$A$36&gt;35,N13+M14-V13,IF(A14&lt;'Données projet'!$A$36,$K$205^A14,IF(A14='Données projet'!$A$36,'Données projet'!$B$36,N13+M14-V13)))</f>
        <v>13.595144006008928</v>
      </c>
      <c r="O14" s="14">
        <f>N14*VLOOKUP('Données projet'!$B$9,Paramètres!$A$1:$I$89,3,0)*VLOOKUP('Données projet'!$B$9,Paramètres!$A$1:$I$89,5,0)</f>
        <v>6.3625273948121777</v>
      </c>
      <c r="P14" s="14">
        <f t="shared" si="33"/>
        <v>2.3639551741679612</v>
      </c>
      <c r="Q14" s="22">
        <f t="shared" si="2"/>
        <v>15.198623807640407</v>
      </c>
      <c r="R14" s="62">
        <f t="shared" si="0"/>
        <v>308.5319571409737</v>
      </c>
      <c r="S14" s="62">
        <f ca="1">AVERAGE(OFFSET($R$3,0,0,'Données projet'!$E$9+1,1))-AVERAGE(OFFSET($H$3,0,0,'Données projet'!$E$9+1,1))</f>
        <v>145.91567711893987</v>
      </c>
      <c r="T14" s="62">
        <f t="shared" si="34"/>
        <v>136.44398554363522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6.6</v>
      </c>
      <c r="AI14" s="14">
        <f>IF('Données projet'!$A$62&gt;35,AI13+AH14-AQ13,IF(A14&lt;'Données projet'!$A$62,$AF$205^A14,IF(A14='Données projet'!$A$62,'Données projet'!$B$62,AI13+AH14-AQ13)))</f>
        <v>14.666134454850974</v>
      </c>
      <c r="AJ14" s="14">
        <f>AI14*VLOOKUP('Données projet'!$B$10,Paramètres!$A$1:$I$89,3,0)*VLOOKUP('Données projet'!$B$10,Paramètres!$A$1:$I$89,5,0)</f>
        <v>12.812335059757812</v>
      </c>
      <c r="AK14" s="14">
        <f t="shared" si="35"/>
        <v>4.3878565375042955</v>
      </c>
      <c r="AL14" s="22">
        <f t="shared" si="4"/>
        <v>29.957000365231504</v>
      </c>
      <c r="AM14" s="62">
        <f t="shared" si="5"/>
        <v>323.29033369856484</v>
      </c>
      <c r="AN14" s="62">
        <f ca="1">AVERAGE(OFFSET($AM$3,0,0,'Données projet'!$E$10+1,1))-AVERAGE(OFFSET($H$3,0,0,'Données projet'!$E$10+1,1))</f>
        <v>222.48114295382305</v>
      </c>
      <c r="AO14" s="62">
        <f t="shared" si="36"/>
        <v>261.55066338953611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8.7983999999999991</v>
      </c>
      <c r="D15" s="12">
        <f t="shared" si="32"/>
        <v>3.1479452926301796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92.217402258899639</v>
      </c>
      <c r="H15" s="70">
        <f t="shared" si="1"/>
        <v>314.13988471799752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5.75</v>
      </c>
      <c r="N15" s="14">
        <f>IF('Données projet'!$A$36&gt;35,N14+M15-V14,IF(A15&lt;'Données projet'!$A$36,$K$205^A15,IF(A15='Données projet'!$A$36,'Données projet'!$B$36,N14+M15-V14)))</f>
        <v>17.23529432545471</v>
      </c>
      <c r="O15" s="14">
        <f>N15*VLOOKUP('Données projet'!$B$9,Paramètres!$A$1:$I$89,3,0)*VLOOKUP('Données projet'!$B$9,Paramètres!$A$1:$I$89,5,0)</f>
        <v>8.0661177443128054</v>
      </c>
      <c r="P15" s="14">
        <f t="shared" si="33"/>
        <v>2.915283990610841</v>
      </c>
      <c r="Q15" s="22">
        <f t="shared" si="2"/>
        <v>19.125941354992019</v>
      </c>
      <c r="R15" s="62">
        <f t="shared" si="0"/>
        <v>312.45927468832531</v>
      </c>
      <c r="S15" s="62">
        <f ca="1">AVERAGE(OFFSET($R$3,0,0,'Données projet'!$E$9+1,1))-AVERAGE(OFFSET($H$3,0,0,'Données projet'!$E$9+1,1))</f>
        <v>145.91567711893987</v>
      </c>
      <c r="T15" s="62">
        <f t="shared" si="34"/>
        <v>136.44398554363522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6.6</v>
      </c>
      <c r="AI15" s="14">
        <f>IF('Données projet'!$A$62&gt;35,AI14+AH15-AQ14,IF(A15&lt;'Données projet'!$A$62,$AF$205^A15,IF(A15='Données projet'!$A$62,'Données projet'!$B$62,AI14+AH15-AQ14)))</f>
        <v>18.721660210059202</v>
      </c>
      <c r="AJ15" s="14">
        <f>AI15*VLOOKUP('Données projet'!$B$10,Paramètres!$A$1:$I$89,3,0)*VLOOKUP('Données projet'!$B$10,Paramètres!$A$1:$I$89,5,0)</f>
        <v>16.35524235950772</v>
      </c>
      <c r="AK15" s="14">
        <f t="shared" si="35"/>
        <v>5.4442664998513175</v>
      </c>
      <c r="AL15" s="22">
        <f t="shared" si="4"/>
        <v>37.967477930050322</v>
      </c>
      <c r="AM15" s="62">
        <f t="shared" si="5"/>
        <v>331.30081126338365</v>
      </c>
      <c r="AN15" s="62">
        <f ca="1">AVERAGE(OFFSET($AM$3,0,0,'Données projet'!$E$10+1,1))-AVERAGE(OFFSET($H$3,0,0,'Données projet'!$E$10+1,1))</f>
        <v>222.48114295382305</v>
      </c>
      <c r="AO15" s="62">
        <f t="shared" si="36"/>
        <v>261.55066338953611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9.5315999999999992</v>
      </c>
      <c r="D16" s="12">
        <f t="shared" si="32"/>
        <v>3.3786481992658062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99.658056275034298</v>
      </c>
      <c r="H16" s="70">
        <f t="shared" si="1"/>
        <v>315.81868228038792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5.75</v>
      </c>
      <c r="N16" s="14">
        <f>IF('Données projet'!$A$36&gt;35,N15+M16-V15,IF(A16&lt;'Données projet'!$A$36,$K$205^A16,IF(A16='Données projet'!$A$36,'Données projet'!$B$36,N15+M16-V15)))</f>
        <v>21.850108417664106</v>
      </c>
      <c r="O16" s="14">
        <f>N16*VLOOKUP('Données projet'!$B$9,Paramètres!$A$1:$I$89,3,0)*VLOOKUP('Données projet'!$B$9,Paramètres!$A$1:$I$89,5,0)</f>
        <v>10.225850739466802</v>
      </c>
      <c r="P16" s="14">
        <f t="shared" si="33"/>
        <v>3.5951953906669201</v>
      </c>
      <c r="Q16" s="22">
        <f t="shared" si="2"/>
        <v>24.071655343316234</v>
      </c>
      <c r="R16" s="62">
        <f t="shared" si="0"/>
        <v>317.40498867664957</v>
      </c>
      <c r="S16" s="62">
        <f ca="1">AVERAGE(OFFSET($R$3,0,0,'Données projet'!$E$9+1,1))-AVERAGE(OFFSET($H$3,0,0,'Données projet'!$E$9+1,1))</f>
        <v>145.91567711893987</v>
      </c>
      <c r="T16" s="62">
        <f t="shared" si="34"/>
        <v>136.44398554363522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6.6</v>
      </c>
      <c r="AI16" s="14">
        <f>IF('Données projet'!$A$62&gt;35,AI15+AH16-AQ15,IF(A16&lt;'Données projet'!$A$62,$AF$205^A16,IF(A16='Données projet'!$A$62,'Données projet'!$B$62,AI15+AH16-AQ15)))</f>
        <v>23.89863273788427</v>
      </c>
      <c r="AJ16" s="14">
        <f>AI16*VLOOKUP('Données projet'!$B$10,Paramètres!$A$1:$I$89,3,0)*VLOOKUP('Données projet'!$B$10,Paramètres!$A$1:$I$89,5,0)</f>
        <v>20.8778455598157</v>
      </c>
      <c r="AK16" s="14">
        <f t="shared" si="35"/>
        <v>6.7550152262411558</v>
      </c>
      <c r="AL16" s="22">
        <f t="shared" si="4"/>
        <v>48.127232535715684</v>
      </c>
      <c r="AM16" s="62">
        <f t="shared" si="5"/>
        <v>341.46056586904899</v>
      </c>
      <c r="AN16" s="62">
        <f ca="1">AVERAGE(OFFSET($AM$3,0,0,'Données projet'!$E$10+1,1))-AVERAGE(OFFSET($H$3,0,0,'Données projet'!$E$10+1,1))</f>
        <v>222.48114295382305</v>
      </c>
      <c r="AO16" s="62">
        <f t="shared" si="36"/>
        <v>261.55066338953611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10.264799999999999</v>
      </c>
      <c r="D17" s="12">
        <f t="shared" si="32"/>
        <v>3.6072925061053467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107.08281934537462</v>
      </c>
      <c r="H17" s="70">
        <f t="shared" si="1"/>
        <v>317.49389444813346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5.75</v>
      </c>
      <c r="N17" s="14">
        <f>IF('Données projet'!$A$36&gt;35,N16+M17-V16,IF(A17&lt;'Données projet'!$A$36,$K$205^A17,IF(A17='Données projet'!$A$36,'Données projet'!$B$36,N16+M17-V16)))</f>
        <v>27.700556129091808</v>
      </c>
      <c r="O17" s="14">
        <f>N17*VLOOKUP('Données projet'!$B$9,Paramètres!$A$1:$I$89,3,0)*VLOOKUP('Données projet'!$B$9,Paramètres!$A$1:$I$89,5,0)</f>
        <v>12.963860268414967</v>
      </c>
      <c r="P17" s="14">
        <f t="shared" si="33"/>
        <v>4.4336777956113931</v>
      </c>
      <c r="Q17" s="22">
        <f t="shared" si="2"/>
        <v>30.300712128179242</v>
      </c>
      <c r="R17" s="62">
        <f t="shared" si="0"/>
        <v>323.63404546151253</v>
      </c>
      <c r="S17" s="62">
        <f ca="1">AVERAGE(OFFSET($R$3,0,0,'Données projet'!$E$9+1,1))-AVERAGE(OFFSET($H$3,0,0,'Données projet'!$E$9+1,1))</f>
        <v>145.91567711893987</v>
      </c>
      <c r="T17" s="62">
        <f t="shared" si="34"/>
        <v>136.44398554363522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6.6</v>
      </c>
      <c r="AI17" s="14">
        <f>IF('Données projet'!$A$62&gt;35,AI16+AH17-AQ16,IF(A17&lt;'Données projet'!$A$62,$AF$205^A17,IF(A17='Données projet'!$A$62,'Données projet'!$B$62,AI16+AH17-AQ16)))</f>
        <v>30.50715803683886</v>
      </c>
      <c r="AJ17" s="14">
        <f>AI17*VLOOKUP('Données projet'!$B$10,Paramètres!$A$1:$I$89,3,0)*VLOOKUP('Données projet'!$B$10,Paramètres!$A$1:$I$89,5,0)</f>
        <v>26.651053260982433</v>
      </c>
      <c r="AK17" s="14">
        <f t="shared" si="35"/>
        <v>8.3813367159737684</v>
      </c>
      <c r="AL17" s="22">
        <f t="shared" si="4"/>
        <v>61.014745876532061</v>
      </c>
      <c r="AM17" s="62">
        <f t="shared" si="5"/>
        <v>354.34807920986538</v>
      </c>
      <c r="AN17" s="62">
        <f ca="1">AVERAGE(OFFSET($AM$3,0,0,'Données projet'!$E$10+1,1))-AVERAGE(OFFSET($H$3,0,0,'Données projet'!$E$10+1,1))</f>
        <v>222.48114295382305</v>
      </c>
      <c r="AO17" s="62">
        <f t="shared" si="36"/>
        <v>261.55066338953611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10.997999999999999</v>
      </c>
      <c r="D18" s="12">
        <f t="shared" si="32"/>
        <v>3.8340419797271834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114.49295563298176</v>
      </c>
      <c r="H18" s="70">
        <f t="shared" si="1"/>
        <v>319.1658064480248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5.75</v>
      </c>
      <c r="N18" s="14">
        <f>IF('Données projet'!$A$36&gt;35,N17+M18-V17,IF(A18&lt;'Données projet'!$A$36,$K$205^A18,IF(A18='Données projet'!$A$36,'Données projet'!$B$36,N17+M18-V17)))</f>
        <v>35.117482952196561</v>
      </c>
      <c r="O18" s="14">
        <f>N18*VLOOKUP('Données projet'!$B$9,Paramètres!$A$1:$I$89,3,0)*VLOOKUP('Données projet'!$B$9,Paramètres!$A$1:$I$89,5,0)</f>
        <v>16.434982021627992</v>
      </c>
      <c r="P18" s="14">
        <f t="shared" si="33"/>
        <v>5.4677136175486121</v>
      </c>
      <c r="Q18" s="22">
        <f t="shared" si="2"/>
        <v>38.147194904899251</v>
      </c>
      <c r="R18" s="62">
        <f t="shared" si="0"/>
        <v>331.48052823823258</v>
      </c>
      <c r="S18" s="62">
        <f ca="1">AVERAGE(OFFSET($R$3,0,0,'Données projet'!$E$9+1,1))-AVERAGE(OFFSET($H$3,0,0,'Données projet'!$E$9+1,1))</f>
        <v>145.91567711893987</v>
      </c>
      <c r="T18" s="62">
        <f t="shared" si="34"/>
        <v>136.44398554363522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6.6</v>
      </c>
      <c r="AI18" s="14">
        <f>IF('Données projet'!$A$62&gt;35,AI17+AH18-AQ17,IF(A18&lt;'Données projet'!$A$62,$AF$205^A18,IF(A18='Données projet'!$A$62,'Données projet'!$B$62,AI17+AH18-AQ17)))</f>
        <v>38.943093594192561</v>
      </c>
      <c r="AJ18" s="14">
        <f>AI18*VLOOKUP('Données projet'!$B$10,Paramètres!$A$1:$I$89,3,0)*VLOOKUP('Données projet'!$B$10,Paramètres!$A$1:$I$89,5,0)</f>
        <v>34.02068656388662</v>
      </c>
      <c r="AK18" s="14">
        <f t="shared" si="35"/>
        <v>10.399207521197393</v>
      </c>
      <c r="AL18" s="22">
        <f t="shared" si="4"/>
        <v>77.364648864854644</v>
      </c>
      <c r="AM18" s="62">
        <f t="shared" si="5"/>
        <v>370.69798219818796</v>
      </c>
      <c r="AN18" s="62">
        <f ca="1">AVERAGE(OFFSET($AM$3,0,0,'Données projet'!$E$10+1,1))-AVERAGE(OFFSET($H$3,0,0,'Données projet'!$E$10+1,1))</f>
        <v>222.48114295382305</v>
      </c>
      <c r="AO18" s="62">
        <f t="shared" si="36"/>
        <v>261.55066338953611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11.731199999999999</v>
      </c>
      <c r="D19" s="12">
        <f t="shared" si="32"/>
        <v>4.0590373158284008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121.88955120990344</v>
      </c>
      <c r="H19" s="70">
        <f t="shared" si="1"/>
        <v>320.83466332506777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5.75</v>
      </c>
      <c r="N19" s="14">
        <f>IF('Données projet'!$A$36&gt;35,N18+M19-V18,IF(A19&lt;'Données projet'!$A$36,$K$205^A19,IF(A19='Données projet'!$A$36,'Données projet'!$B$36,N18+M19-V18)))</f>
        <v>44.52031948927695</v>
      </c>
      <c r="O19" s="14">
        <f>N19*VLOOKUP('Données projet'!$B$9,Paramètres!$A$1:$I$89,3,0)*VLOOKUP('Données projet'!$B$9,Paramètres!$A$1:$I$89,5,0)</f>
        <v>20.835509520981613</v>
      </c>
      <c r="P19" s="14">
        <f t="shared" si="33"/>
        <v>6.7429104192276883</v>
      </c>
      <c r="Q19" s="22">
        <f t="shared" si="2"/>
        <v>48.03241472919786</v>
      </c>
      <c r="R19" s="62">
        <f t="shared" si="0"/>
        <v>341.36574806253117</v>
      </c>
      <c r="S19" s="62">
        <f ca="1">AVERAGE(OFFSET($R$3,0,0,'Données projet'!$E$9+1,1))-AVERAGE(OFFSET($H$3,0,0,'Données projet'!$E$9+1,1))</f>
        <v>145.91567711893987</v>
      </c>
      <c r="T19" s="62">
        <f t="shared" si="34"/>
        <v>136.44398554363522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6.6</v>
      </c>
      <c r="AI19" s="14">
        <f>IF('Données projet'!$A$62&gt;35,AI18+AH19-AQ18,IF(A19&lt;'Données projet'!$A$62,$AF$205^A19,IF(A19='Données projet'!$A$62,'Données projet'!$B$62,AI18+AH19-AQ18)))</f>
        <v>49.711760658095955</v>
      </c>
      <c r="AJ19" s="14">
        <f>AI19*VLOOKUP('Données projet'!$B$10,Paramètres!$A$1:$I$89,3,0)*VLOOKUP('Données projet'!$B$10,Paramètres!$A$1:$I$89,5,0)</f>
        <v>43.428194110912635</v>
      </c>
      <c r="AK19" s="14">
        <f t="shared" si="35"/>
        <v>12.902896129065022</v>
      </c>
      <c r="AL19" s="22">
        <f t="shared" si="4"/>
        <v>98.109982167961064</v>
      </c>
      <c r="AM19" s="62">
        <f t="shared" si="5"/>
        <v>391.44331550129436</v>
      </c>
      <c r="AN19" s="62">
        <f ca="1">AVERAGE(OFFSET($AM$3,0,0,'Données projet'!$E$10+1,1))-AVERAGE(OFFSET($H$3,0,0,'Données projet'!$E$10+1,1))</f>
        <v>222.48114295382305</v>
      </c>
      <c r="AO19" s="62">
        <f t="shared" si="36"/>
        <v>261.55066338953611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12.464399999999999</v>
      </c>
      <c r="D20" s="12">
        <f t="shared" si="32"/>
        <v>4.2824006291256396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129.27354871605758</v>
      </c>
      <c r="H20" s="70">
        <f t="shared" si="1"/>
        <v>322.50067776239382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5.75</v>
      </c>
      <c r="N20" s="14">
        <f>IF('Données projet'!$A$36&gt;35,N19+M20-V19,IF(A20&lt;'Données projet'!$A$36,$K$205^A20,IF(A20='Données projet'!$A$36,'Données projet'!$B$36,N19+M20-V19)))</f>
        <v>56.440800444763006</v>
      </c>
      <c r="O20" s="14">
        <f>N20*VLOOKUP('Données projet'!$B$9,Paramètres!$A$1:$I$89,3,0)*VLOOKUP('Données projet'!$B$9,Paramètres!$A$1:$I$89,5,0)</f>
        <v>26.414294608149088</v>
      </c>
      <c r="P20" s="14">
        <f t="shared" si="33"/>
        <v>8.3155124979120405</v>
      </c>
      <c r="Q20" s="22">
        <f t="shared" si="2"/>
        <v>60.487747376389791</v>
      </c>
      <c r="R20" s="62">
        <f t="shared" si="0"/>
        <v>353.82108070972311</v>
      </c>
      <c r="S20" s="62">
        <f ca="1">AVERAGE(OFFSET($R$3,0,0,'Données projet'!$E$9+1,1))-AVERAGE(OFFSET($H$3,0,0,'Données projet'!$E$9+1,1))</f>
        <v>145.91567711893987</v>
      </c>
      <c r="T20" s="62">
        <f t="shared" si="34"/>
        <v>136.44398554363522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6.6</v>
      </c>
      <c r="AI20" s="14">
        <f>IF('Données projet'!$A$62&gt;35,AI19+AH20-AQ19,IF(A20&lt;'Données projet'!$A$62,$AF$205^A20,IF(A20='Données projet'!$A$62,'Données projet'!$B$62,AI19+AH20-AQ19)))</f>
        <v>63.458213501978861</v>
      </c>
      <c r="AJ20" s="14">
        <f>AI20*VLOOKUP('Données projet'!$B$10,Paramètres!$A$1:$I$89,3,0)*VLOOKUP('Données projet'!$B$10,Paramètres!$A$1:$I$89,5,0)</f>
        <v>55.437095315328747</v>
      </c>
      <c r="AK20" s="14">
        <f t="shared" si="35"/>
        <v>16.009366884744278</v>
      </c>
      <c r="AL20" s="22">
        <f t="shared" si="4"/>
        <v>124.4359216651272</v>
      </c>
      <c r="AM20" s="62">
        <f t="shared" si="5"/>
        <v>417.7692549984605</v>
      </c>
      <c r="AN20" s="62">
        <f ca="1">AVERAGE(OFFSET($AM$3,0,0,'Données projet'!$E$10+1,1))-AVERAGE(OFFSET($H$3,0,0,'Données projet'!$E$10+1,1))</f>
        <v>222.48114295382305</v>
      </c>
      <c r="AO20" s="62">
        <f t="shared" si="36"/>
        <v>261.55066338953611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13.1976</v>
      </c>
      <c r="D21" s="12">
        <f t="shared" si="32"/>
        <v>4.504238856327774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136.64577362779337</v>
      </c>
      <c r="H21" s="70">
        <f t="shared" si="1"/>
        <v>324.16403600810418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5.75</v>
      </c>
      <c r="N21" s="14">
        <f>IF('Données projet'!$A$36&gt;35,N20+M21-V20,IF(A21&lt;'Données projet'!$A$36,$K$205^A21,IF(A21='Données projet'!$A$36,'Données projet'!$B$36,N20+M21-V20)))</f>
        <v>71.55303446582019</v>
      </c>
      <c r="O21" s="14">
        <f>N21*VLOOKUP('Données projet'!$B$9,Paramètres!$A$1:$I$89,3,0)*VLOOKUP('Données projet'!$B$9,Paramètres!$A$1:$I$89,5,0)</f>
        <v>33.486820130003849</v>
      </c>
      <c r="P21" s="14">
        <f t="shared" si="33"/>
        <v>10.254881616957807</v>
      </c>
      <c r="Q21" s="22">
        <f t="shared" si="2"/>
        <v>76.183463875958196</v>
      </c>
      <c r="R21" s="62">
        <f t="shared" si="0"/>
        <v>369.5167972092915</v>
      </c>
      <c r="S21" s="62">
        <f ca="1">AVERAGE(OFFSET($R$3,0,0,'Données projet'!$E$9+1,1))-AVERAGE(OFFSET($H$3,0,0,'Données projet'!$E$9+1,1))</f>
        <v>145.91567711893987</v>
      </c>
      <c r="T21" s="62">
        <f t="shared" si="34"/>
        <v>136.44398554363522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6.6</v>
      </c>
      <c r="AI21" s="14">
        <f>IF('Données projet'!$A$62&gt;35,AI20+AH21-AQ20,IF(A21&lt;'Données projet'!$A$62,$AF$205^A21,IF(A21='Données projet'!$A$62,'Données projet'!$B$62,AI20+AH21-AQ20)))</f>
        <v>81.005878841406769</v>
      </c>
      <c r="AJ21" s="14">
        <f>AI21*VLOOKUP('Données projet'!$B$10,Paramètres!$A$1:$I$89,3,0)*VLOOKUP('Données projet'!$B$10,Paramètres!$A$1:$I$89,5,0)</f>
        <v>70.766735755852963</v>
      </c>
      <c r="AK21" s="14">
        <f t="shared" si="35"/>
        <v>19.863744192515547</v>
      </c>
      <c r="AL21" s="22">
        <f t="shared" si="4"/>
        <v>157.84808591007513</v>
      </c>
      <c r="AM21" s="62">
        <f t="shared" si="5"/>
        <v>451.18141924340841</v>
      </c>
      <c r="AN21" s="62">
        <f ca="1">AVERAGE(OFFSET($AM$3,0,0,'Données projet'!$E$10+1,1))-AVERAGE(OFFSET($H$3,0,0,'Données projet'!$E$10+1,1))</f>
        <v>222.48114295382305</v>
      </c>
      <c r="AO21" s="62">
        <f t="shared" si="36"/>
        <v>261.55066338953611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13.9308</v>
      </c>
      <c r="D22" s="12">
        <f t="shared" si="32"/>
        <v>4.7246463812124082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144.00695452163964</v>
      </c>
      <c r="H22" s="70">
        <f t="shared" si="1"/>
        <v>325.82490244727825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5.75</v>
      </c>
      <c r="N22" s="14">
        <f>IF('Données projet'!$A$36&gt;35,N21+M22-V21,IF(A22&lt;'Données projet'!$A$36,$K$205^A22,IF(A22='Données projet'!$A$36,'Données projet'!$B$36,N21+M22-V21)))</f>
        <v>90.711625294497551</v>
      </c>
      <c r="O22" s="14">
        <f>N22*VLOOKUP('Données projet'!$B$9,Paramètres!$A$1:$I$89,3,0)*VLOOKUP('Données projet'!$B$9,Paramètres!$A$1:$I$89,5,0)</f>
        <v>42.453040637824856</v>
      </c>
      <c r="P22" s="14">
        <f t="shared" si="33"/>
        <v>12.646556301156998</v>
      </c>
      <c r="Q22" s="22">
        <f t="shared" si="2"/>
        <v>95.96513133539338</v>
      </c>
      <c r="R22" s="62">
        <f t="shared" si="0"/>
        <v>389.29846466872669</v>
      </c>
      <c r="S22" s="62">
        <f ca="1">AVERAGE(OFFSET($R$3,0,0,'Données projet'!$E$9+1,1))-AVERAGE(OFFSET($H$3,0,0,'Données projet'!$E$9+1,1))</f>
        <v>145.91567711893987</v>
      </c>
      <c r="T22" s="62">
        <f t="shared" si="34"/>
        <v>136.44398554363522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6.6</v>
      </c>
      <c r="AI22" s="14">
        <f>IF('Données projet'!$A$62&gt;35,AI21+AH22-AQ21,IF(A22&lt;'Données projet'!$A$62,$AF$205^A22,IF(A22='Données projet'!$A$62,'Données projet'!$B$62,AI21+AH22-AQ21)))</f>
        <v>103.40587994435182</v>
      </c>
      <c r="AJ22" s="14">
        <f>AI22*VLOOKUP('Données projet'!$B$10,Paramètres!$A$1:$I$89,3,0)*VLOOKUP('Données projet'!$B$10,Paramètres!$A$1:$I$89,5,0)</f>
        <v>90.335376719385764</v>
      </c>
      <c r="AK22" s="14">
        <f t="shared" si="35"/>
        <v>24.646092265003244</v>
      </c>
      <c r="AL22" s="22">
        <f t="shared" si="4"/>
        <v>200.25939181447754</v>
      </c>
      <c r="AM22" s="62">
        <f t="shared" si="5"/>
        <v>493.59272514781082</v>
      </c>
      <c r="AN22" s="62">
        <f ca="1">AVERAGE(OFFSET($AM$3,0,0,'Données projet'!$E$10+1,1))-AVERAGE(OFFSET($H$3,0,0,'Données projet'!$E$10+1,1))</f>
        <v>222.48114295382305</v>
      </c>
      <c r="AO22" s="62">
        <f t="shared" si="36"/>
        <v>261.55066338953611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14.664</v>
      </c>
      <c r="D23" s="12">
        <f t="shared" si="32"/>
        <v>4.9437070912888705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151.35773895030005</v>
      </c>
      <c r="H23" s="70">
        <f t="shared" si="1"/>
        <v>327.48342318399477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115</v>
      </c>
      <c r="L23" s="13">
        <f>VLOOKUP(A23,'Données projet'!$A$35:$I$55,9,0)</f>
        <v>5.75</v>
      </c>
      <c r="M23" s="13">
        <f t="array" ref="M23">INDEX(L:L,MIN(IF(ISNUMBER(L23:L219),ROW(L23:L219),"")))</f>
        <v>5.75</v>
      </c>
      <c r="N23" s="14">
        <f>IF('Données projet'!$A$36&gt;35,N22+M23-V22,IF(A23&lt;'Données projet'!$A$36,$K$205^A23,IF(A23='Données projet'!$A$36,'Données projet'!$B$36,N22+M23-V22)))</f>
        <v>115</v>
      </c>
      <c r="O23" s="14">
        <f>N23*VLOOKUP('Données projet'!$B$9,Paramètres!$A$1:$I$89,3,0)*VLOOKUP('Données projet'!$B$9,Paramètres!$A$1:$I$89,5,0)</f>
        <v>53.82</v>
      </c>
      <c r="P23" s="14">
        <f t="shared" si="33"/>
        <v>15.596024630246266</v>
      </c>
      <c r="Q23" s="22">
        <f t="shared" si="2"/>
        <v>120.89957623101225</v>
      </c>
      <c r="R23" s="62">
        <f t="shared" si="0"/>
        <v>414.23290956434556</v>
      </c>
      <c r="S23" s="62">
        <f ca="1">AVERAGE(OFFSET($R$3,0,0,'Données projet'!$E$9+1,1))-AVERAGE(OFFSET($H$3,0,0,'Données projet'!$E$9+1,1))</f>
        <v>145.91567711893987</v>
      </c>
      <c r="T23" s="62">
        <f t="shared" si="34"/>
        <v>136.44398554363522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132</v>
      </c>
      <c r="AG23" s="13">
        <f>VLOOKUP(A23,'Données projet'!$A$61:$I$81,9,0)</f>
        <v>6.6</v>
      </c>
      <c r="AH23" s="13">
        <f t="array" ref="AH23">INDEX(AG:AG,MIN(IF(ISNUMBER(AG23:AG219),ROW(AG23:AG219),"")))</f>
        <v>6.6</v>
      </c>
      <c r="AI23" s="14">
        <f>IF('Données projet'!$A$62&gt;35,AI22+AH23-AQ22,IF(A23&lt;'Données projet'!$A$62,$AF$205^A23,IF(A23='Données projet'!$A$62,'Données projet'!$B$62,AI22+AH23-AQ22)))</f>
        <v>132</v>
      </c>
      <c r="AJ23" s="14">
        <f>AI23*VLOOKUP('Données projet'!$B$10,Paramètres!$A$1:$I$89,3,0)*VLOOKUP('Données projet'!$B$10,Paramètres!$A$1:$I$89,5,0)</f>
        <v>115.3152</v>
      </c>
      <c r="AK23" s="14">
        <f t="shared" si="35"/>
        <v>30.579827148797317</v>
      </c>
      <c r="AL23" s="22">
        <f t="shared" si="4"/>
        <v>254.10050561748861</v>
      </c>
      <c r="AM23" s="62">
        <f t="shared" si="5"/>
        <v>547.43383895082195</v>
      </c>
      <c r="AN23" s="62">
        <f ca="1">AVERAGE(OFFSET($AM$3,0,0,'Données projet'!$E$10+1,1))-AVERAGE(OFFSET($H$3,0,0,'Données projet'!$E$10+1,1))</f>
        <v>222.48114295382305</v>
      </c>
      <c r="AO23" s="62">
        <f t="shared" si="36"/>
        <v>261.55066338953611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50</v>
      </c>
      <c r="AR23" s="17">
        <f>IF(ISNA(VLOOKUP(A23,'Données projet'!$A$61:$I$81,5,0)),0%,VLOOKUP(A23,'Données projet'!$A$61:$I$81,5,0)*VLOOKUP('Données projet'!$B$10,Paramètres!$A$1:$I$89,7,0))</f>
        <v>0.129</v>
      </c>
      <c r="AS23" s="17">
        <f>IF(ISNA(VLOOKUP(A23,'Données projet'!$A$61:$I$81,6,0)),0%,VLOOKUP(A23,'Données projet'!$A$61:$I$81,6,0)*VLOOKUP('Données projet'!$B$10,Paramètres!$A$1:$I$89,7,0))</f>
        <v>0.15049999999999999</v>
      </c>
      <c r="AT23" s="17">
        <f>IF(ISNA(VLOOKUP(A23,'Données projet'!$A$61:$I$81,7,0)),0%,VLOOKUP(A23,'Données projet'!$A$61:$I$81,7,0))</f>
        <v>0.35</v>
      </c>
      <c r="AU23" s="23">
        <f>EXP(-LN(2)/35)*AU22+(1-EXP(-LN(2)/35))/(LN(2)/35)*AQ23*AR23*VLOOKUP('Données projet'!$B$10,Paramètres!$A$1:$I$89,3,0)*0.475*44/12</f>
        <v>6.2290160569619069</v>
      </c>
      <c r="AV23" s="23">
        <f>EXP(-LN(2)/25)*AV22+(1-EXP(-LN(2)/25))/(LN(2)/25)*Calculateur!AQ23*Calculateur!AS23*VLOOKUP('Données projet'!$B$10,Paramètres!$A$1:$I$89,3,0)*0.475*44/12</f>
        <v>7.2385717218551955</v>
      </c>
      <c r="AW23" s="23">
        <f>EXP(-LN(2)/2)*AW22+(1-EXP(-LN(2)/2))/(LN(2)/2)*AQ23*AT23*VLOOKUP('Données projet'!$B$10,Paramètres!$A$1:$I$89,3,0)*0.475*44/12</f>
        <v>14.424639470487174</v>
      </c>
      <c r="AX23" s="23">
        <f t="shared" si="6"/>
        <v>27.892227249304277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15.3972</v>
      </c>
      <c r="D24" s="12">
        <f t="shared" si="32"/>
        <v>5.1614960114392687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158.6987060532154</v>
      </c>
      <c r="H24" s="70">
        <f t="shared" si="1"/>
        <v>329.13972888659004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6.5</v>
      </c>
      <c r="N24" s="14">
        <f>IF('Données projet'!$A$36&gt;35,N23+M24-V23,IF(A24&lt;'Données projet'!$A$36,$K$205^A24,IF(A24='Données projet'!$A$36,'Données projet'!$B$36,N23+M24-V23)))</f>
        <v>121.5</v>
      </c>
      <c r="O24" s="14">
        <f>N24*VLOOKUP('Données projet'!$B$9,Paramètres!$A$1:$I$89,3,0)*VLOOKUP('Données projet'!$B$9,Paramètres!$A$1:$I$89,5,0)</f>
        <v>56.861999999999995</v>
      </c>
      <c r="P24" s="14">
        <f t="shared" si="33"/>
        <v>16.372420859571687</v>
      </c>
      <c r="Q24" s="22">
        <f t="shared" si="2"/>
        <v>127.54994966375402</v>
      </c>
      <c r="R24" s="62">
        <f t="shared" si="0"/>
        <v>420.88328299708735</v>
      </c>
      <c r="S24" s="62">
        <f ca="1">AVERAGE(OFFSET($R$3,0,0,'Données projet'!$E$9+1,1))-AVERAGE(OFFSET($H$3,0,0,'Données projet'!$E$9+1,1))</f>
        <v>145.91567711893987</v>
      </c>
      <c r="T24" s="62">
        <f t="shared" si="34"/>
        <v>136.44398554363522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12.2</v>
      </c>
      <c r="AI24" s="14">
        <f>IF('Données projet'!$A$62&gt;35,AI23+AH24-AQ23,IF(A24&lt;'Données projet'!$A$62,$AF$205^A24,IF(A24='Données projet'!$A$62,'Données projet'!$B$62,AI23+AH24-AQ23)))</f>
        <v>94.199999999999989</v>
      </c>
      <c r="AJ24" s="14">
        <f>AI24*VLOOKUP('Données projet'!$B$10,Paramètres!$A$1:$I$89,3,0)*VLOOKUP('Données projet'!$B$10,Paramètres!$A$1:$I$89,5,0)</f>
        <v>82.293120000000002</v>
      </c>
      <c r="AK24" s="14">
        <f t="shared" si="35"/>
        <v>22.696938367376966</v>
      </c>
      <c r="AL24" s="22">
        <f t="shared" si="4"/>
        <v>182.85768498984825</v>
      </c>
      <c r="AM24" s="62">
        <f t="shared" si="5"/>
        <v>476.19101832318154</v>
      </c>
      <c r="AN24" s="62">
        <f ca="1">AVERAGE(OFFSET($AM$3,0,0,'Données projet'!$E$10+1,1))-AVERAGE(OFFSET($H$3,0,0,'Données projet'!$E$10+1,1))</f>
        <v>222.48114295382305</v>
      </c>
      <c r="AO24" s="62">
        <f t="shared" si="36"/>
        <v>261.55066338953611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6.1068688514095264</v>
      </c>
      <c r="AV24" s="23">
        <f>EXP(-LN(2)/25)*AV23+(1-EXP(-LN(2)/25))/(LN(2)/25)*Calculateur!AQ24*Calculateur!AS24*VLOOKUP('Données projet'!$B$10,Paramètres!$A$1:$I$89,3,0)*0.475*44/12</f>
        <v>7.0406325974611219</v>
      </c>
      <c r="AW24" s="23">
        <f>EXP(-LN(2)/2)*AW23+(1-EXP(-LN(2)/2))/(LN(2)/2)*AQ24*AT24*VLOOKUP('Données projet'!$B$10,Paramètres!$A$1:$I$89,3,0)*0.475*44/12</f>
        <v>10.199760385752612</v>
      </c>
      <c r="AX24" s="23">
        <f t="shared" si="6"/>
        <v>23.347261834623261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16.130399999999998</v>
      </c>
      <c r="D25" s="12">
        <f t="shared" si="32"/>
        <v>5.3780806175732732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166.03037669705682</v>
      </c>
      <c r="H25" s="70">
        <f t="shared" si="1"/>
        <v>330.79393707560678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6.5</v>
      </c>
      <c r="N25" s="14">
        <f>IF('Données projet'!$A$36&gt;35,N24+M25-V24,IF(A25&lt;'Données projet'!$A$36,$K$205^A25,IF(A25='Données projet'!$A$36,'Données projet'!$B$36,N24+M25-V24)))</f>
        <v>128</v>
      </c>
      <c r="O25" s="14">
        <f>N25*VLOOKUP('Données projet'!$B$9,Paramètres!$A$1:$I$89,3,0)*VLOOKUP('Données projet'!$B$9,Paramètres!$A$1:$I$89,5,0)</f>
        <v>59.903999999999996</v>
      </c>
      <c r="P25" s="14">
        <f t="shared" si="33"/>
        <v>17.143994938960184</v>
      </c>
      <c r="Q25" s="22">
        <f t="shared" si="2"/>
        <v>134.19192451868898</v>
      </c>
      <c r="R25" s="62">
        <f t="shared" si="0"/>
        <v>427.52525785202226</v>
      </c>
      <c r="S25" s="62">
        <f ca="1">AVERAGE(OFFSET($R$3,0,0,'Données projet'!$E$9+1,1))-AVERAGE(OFFSET($H$3,0,0,'Données projet'!$E$9+1,1))</f>
        <v>145.91567711893987</v>
      </c>
      <c r="T25" s="62">
        <f t="shared" si="34"/>
        <v>136.44398554363522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12.2</v>
      </c>
      <c r="AI25" s="14">
        <f>IF('Données projet'!$A$62&gt;35,AI24+AH25-AQ24,IF(A25&lt;'Données projet'!$A$62,$AF$205^A25,IF(A25='Données projet'!$A$62,'Données projet'!$B$62,AI24+AH25-AQ24)))</f>
        <v>106.39999999999999</v>
      </c>
      <c r="AJ25" s="14">
        <f>AI25*VLOOKUP('Données projet'!$B$10,Paramètres!$A$1:$I$89,3,0)*VLOOKUP('Données projet'!$B$10,Paramètres!$A$1:$I$89,5,0)</f>
        <v>92.951040000000006</v>
      </c>
      <c r="AK25" s="14">
        <f t="shared" si="35"/>
        <v>25.275602869272223</v>
      </c>
      <c r="AL25" s="22">
        <f t="shared" si="4"/>
        <v>205.9114029973158</v>
      </c>
      <c r="AM25" s="62">
        <f t="shared" si="5"/>
        <v>499.24473633064912</v>
      </c>
      <c r="AN25" s="62">
        <f ca="1">AVERAGE(OFFSET($AM$3,0,0,'Données projet'!$E$10+1,1))-AVERAGE(OFFSET($H$3,0,0,'Données projet'!$E$10+1,1))</f>
        <v>222.48114295382305</v>
      </c>
      <c r="AO25" s="62">
        <f t="shared" si="36"/>
        <v>261.55066338953611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5.9871168780555895</v>
      </c>
      <c r="AV25" s="23">
        <f>EXP(-LN(2)/25)*AV24+(1-EXP(-LN(2)/25))/(LN(2)/25)*Calculateur!AQ25*Calculateur!AS25*VLOOKUP('Données projet'!$B$10,Paramètres!$A$1:$I$89,3,0)*0.475*44/12</f>
        <v>6.8481061288327707</v>
      </c>
      <c r="AW25" s="23">
        <f>EXP(-LN(2)/2)*AW24+(1-EXP(-LN(2)/2))/(LN(2)/2)*AQ25*AT25*VLOOKUP('Données projet'!$B$10,Paramètres!$A$1:$I$89,3,0)*0.475*44/12</f>
        <v>7.2123197352435877</v>
      </c>
      <c r="AX25" s="23">
        <f t="shared" si="6"/>
        <v>20.047542742131945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16.863599999999998</v>
      </c>
      <c r="D26" s="12">
        <f t="shared" si="32"/>
        <v>5.5935219046849918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173.35322172037536</v>
      </c>
      <c r="H26" s="70">
        <f t="shared" si="1"/>
        <v>332.44615398399299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6.5</v>
      </c>
      <c r="N26" s="14">
        <f>IF('Données projet'!$A$36&gt;35,N25+M26-V25,IF(A26&lt;'Données projet'!$A$36,$K$205^A26,IF(A26='Données projet'!$A$36,'Données projet'!$B$36,N25+M26-V25)))</f>
        <v>134.5</v>
      </c>
      <c r="O26" s="14">
        <f>N26*VLOOKUP('Données projet'!$B$9,Paramètres!$A$1:$I$89,3,0)*VLOOKUP('Données projet'!$B$9,Paramètres!$A$1:$I$89,5,0)</f>
        <v>62.946000000000005</v>
      </c>
      <c r="P26" s="14">
        <f t="shared" si="33"/>
        <v>17.911019680519331</v>
      </c>
      <c r="Q26" s="22">
        <f t="shared" si="2"/>
        <v>140.82597594357114</v>
      </c>
      <c r="R26" s="62">
        <f t="shared" si="0"/>
        <v>434.15930927690442</v>
      </c>
      <c r="S26" s="62">
        <f ca="1">AVERAGE(OFFSET($R$3,0,0,'Données projet'!$E$9+1,1))-AVERAGE(OFFSET($H$3,0,0,'Données projet'!$E$9+1,1))</f>
        <v>145.91567711893987</v>
      </c>
      <c r="T26" s="62">
        <f t="shared" si="34"/>
        <v>136.44398554363522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12.2</v>
      </c>
      <c r="AI26" s="14">
        <f>IF('Données projet'!$A$62&gt;35,AI25+AH26-AQ25,IF(A26&lt;'Données projet'!$A$62,$AF$205^A26,IF(A26='Données projet'!$A$62,'Données projet'!$B$62,AI25+AH26-AQ25)))</f>
        <v>118.6</v>
      </c>
      <c r="AJ26" s="14">
        <f>AI26*VLOOKUP('Données projet'!$B$10,Paramètres!$A$1:$I$89,3,0)*VLOOKUP('Données projet'!$B$10,Paramètres!$A$1:$I$89,5,0)</f>
        <v>103.60896</v>
      </c>
      <c r="AK26" s="14">
        <f t="shared" si="35"/>
        <v>27.820000397643376</v>
      </c>
      <c r="AL26" s="22">
        <f t="shared" si="4"/>
        <v>228.90543935922889</v>
      </c>
      <c r="AM26" s="62">
        <f t="shared" si="5"/>
        <v>522.23877269256218</v>
      </c>
      <c r="AN26" s="62">
        <f ca="1">AVERAGE(OFFSET($AM$3,0,0,'Données projet'!$E$10+1,1))-AVERAGE(OFFSET($H$3,0,0,'Données projet'!$E$10+1,1))</f>
        <v>222.48114295382305</v>
      </c>
      <c r="AO26" s="62">
        <f t="shared" si="36"/>
        <v>261.55066338953611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5.8697131678576318</v>
      </c>
      <c r="AV26" s="23">
        <f>EXP(-LN(2)/25)*AV25+(1-EXP(-LN(2)/25))/(LN(2)/25)*Calculateur!AQ26*Calculateur!AS26*VLOOKUP('Données projet'!$B$10,Paramètres!$A$1:$I$89,3,0)*0.475*44/12</f>
        <v>6.6608443066135887</v>
      </c>
      <c r="AW26" s="23">
        <f>EXP(-LN(2)/2)*AW25+(1-EXP(-LN(2)/2))/(LN(2)/2)*AQ26*AT26*VLOOKUP('Données projet'!$B$10,Paramètres!$A$1:$I$89,3,0)*0.475*44/12</f>
        <v>5.0998801928763067</v>
      </c>
      <c r="AX26" s="23">
        <f t="shared" si="6"/>
        <v>17.630437667347525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17.596799999999998</v>
      </c>
      <c r="D27" s="12">
        <f t="shared" si="32"/>
        <v>5.8078752639195086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180.66766870394005</v>
      </c>
      <c r="H27" s="70">
        <f t="shared" si="1"/>
        <v>334.0964760846598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6.5</v>
      </c>
      <c r="N27" s="14">
        <f>IF('Données projet'!$A$36&gt;35,N26+M27-V26,IF(A27&lt;'Données projet'!$A$36,$K$205^A27,IF(A27='Données projet'!$A$36,'Données projet'!$B$36,N26+M27-V26)))</f>
        <v>141</v>
      </c>
      <c r="O27" s="14">
        <f>N27*VLOOKUP('Données projet'!$B$9,Paramètres!$A$1:$I$89,3,0)*VLOOKUP('Données projet'!$B$9,Paramètres!$A$1:$I$89,5,0)</f>
        <v>65.988</v>
      </c>
      <c r="P27" s="14">
        <f t="shared" si="33"/>
        <v>18.67374003807944</v>
      </c>
      <c r="Q27" s="22">
        <f t="shared" si="2"/>
        <v>147.45253056632168</v>
      </c>
      <c r="R27" s="62">
        <f t="shared" si="0"/>
        <v>440.785863899655</v>
      </c>
      <c r="S27" s="62">
        <f ca="1">AVERAGE(OFFSET($R$3,0,0,'Données projet'!$E$9+1,1))-AVERAGE(OFFSET($H$3,0,0,'Données projet'!$E$9+1,1))</f>
        <v>145.91567711893987</v>
      </c>
      <c r="T27" s="62">
        <f t="shared" si="34"/>
        <v>136.44398554363522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12.2</v>
      </c>
      <c r="AI27" s="14">
        <f>IF('Données projet'!$A$62&gt;35,AI26+AH27-AQ26,IF(A27&lt;'Données projet'!$A$62,$AF$205^A27,IF(A27='Données projet'!$A$62,'Données projet'!$B$62,AI26+AH27-AQ26)))</f>
        <v>130.79999999999998</v>
      </c>
      <c r="AJ27" s="14">
        <f>AI27*VLOOKUP('Données projet'!$B$10,Paramètres!$A$1:$I$89,3,0)*VLOOKUP('Données projet'!$B$10,Paramètres!$A$1:$I$89,5,0)</f>
        <v>114.26687999999999</v>
      </c>
      <c r="AK27" s="14">
        <f t="shared" si="35"/>
        <v>30.334057329879929</v>
      </c>
      <c r="AL27" s="22">
        <f t="shared" si="4"/>
        <v>251.84663251620748</v>
      </c>
      <c r="AM27" s="62">
        <f t="shared" si="5"/>
        <v>545.17996584954085</v>
      </c>
      <c r="AN27" s="62">
        <f ca="1">AVERAGE(OFFSET($AM$3,0,0,'Données projet'!$E$10+1,1))-AVERAGE(OFFSET($H$3,0,0,'Données projet'!$E$10+1,1))</f>
        <v>222.48114295382305</v>
      </c>
      <c r="AO27" s="62">
        <f t="shared" si="36"/>
        <v>261.55066338953611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5.7546116728074637</v>
      </c>
      <c r="AV27" s="23">
        <f>EXP(-LN(2)/25)*AV26+(1-EXP(-LN(2)/25))/(LN(2)/25)*Calculateur!AQ27*Calculateur!AS27*VLOOKUP('Données projet'!$B$10,Paramètres!$A$1:$I$89,3,0)*0.475*44/12</f>
        <v>6.4787031687706618</v>
      </c>
      <c r="AW27" s="23">
        <f>EXP(-LN(2)/2)*AW26+(1-EXP(-LN(2)/2))/(LN(2)/2)*AQ27*AT27*VLOOKUP('Données projet'!$B$10,Paramètres!$A$1:$I$89,3,0)*0.475*44/12</f>
        <v>3.6061598676217947</v>
      </c>
      <c r="AX27" s="23">
        <f t="shared" si="6"/>
        <v>15.839474709199919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18.329999999999998</v>
      </c>
      <c r="D28" s="12">
        <f t="shared" si="32"/>
        <v>6.0211912093426747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187.97410758089083</v>
      </c>
      <c r="H28" s="70">
        <f t="shared" si="1"/>
        <v>335.74499135627178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6.5</v>
      </c>
      <c r="N28" s="14">
        <f>IF('Données projet'!$A$36&gt;35,N27+M28-V27,IF(A28&lt;'Données projet'!$A$36,$K$205^A28,IF(A28='Données projet'!$A$36,'Données projet'!$B$36,N27+M28-V27)))</f>
        <v>147.5</v>
      </c>
      <c r="O28" s="14">
        <f>N28*VLOOKUP('Données projet'!$B$9,Paramètres!$A$1:$I$89,3,0)*VLOOKUP('Données projet'!$B$9,Paramètres!$A$1:$I$89,5,0)</f>
        <v>69.03</v>
      </c>
      <c r="P28" s="14">
        <f t="shared" si="33"/>
        <v>19.432377104615718</v>
      </c>
      <c r="Q28" s="22">
        <f t="shared" si="2"/>
        <v>154.0719734572057</v>
      </c>
      <c r="R28" s="62">
        <f t="shared" si="0"/>
        <v>447.40530679053904</v>
      </c>
      <c r="S28" s="62">
        <f ca="1">AVERAGE(OFFSET($R$3,0,0,'Données projet'!$E$9+1,1))-AVERAGE(OFFSET($H$3,0,0,'Données projet'!$E$9+1,1))</f>
        <v>145.91567711893987</v>
      </c>
      <c r="T28" s="62">
        <f t="shared" si="34"/>
        <v>136.44398554363522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143</v>
      </c>
      <c r="AG28" s="13">
        <f>VLOOKUP(A28,'Données projet'!$A$61:$I$81,9,0)</f>
        <v>12.2</v>
      </c>
      <c r="AH28" s="13">
        <f t="array" ref="AH28">INDEX(AG:AG,MIN(IF(ISNUMBER(AG28:AG224),ROW(AG28:AG224),"")))</f>
        <v>12.2</v>
      </c>
      <c r="AI28" s="14">
        <f>IF('Données projet'!$A$62&gt;35,AI27+AH28-AQ27,IF(A28&lt;'Données projet'!$A$62,$AF$205^A28,IF(A28='Données projet'!$A$62,'Données projet'!$B$62,AI27+AH28-AQ27)))</f>
        <v>142.99999999999997</v>
      </c>
      <c r="AJ28" s="14">
        <f>AI28*VLOOKUP('Données projet'!$B$10,Paramètres!$A$1:$I$89,3,0)*VLOOKUP('Données projet'!$B$10,Paramètres!$A$1:$I$89,5,0)</f>
        <v>124.9248</v>
      </c>
      <c r="AK28" s="14">
        <f t="shared" si="35"/>
        <v>32.820925500842712</v>
      </c>
      <c r="AL28" s="22">
        <f t="shared" si="4"/>
        <v>274.74047191396772</v>
      </c>
      <c r="AM28" s="62">
        <f t="shared" si="5"/>
        <v>568.07380524730104</v>
      </c>
      <c r="AN28" s="62">
        <f ca="1">AVERAGE(OFFSET($AM$3,0,0,'Données projet'!$E$10+1,1))-AVERAGE(OFFSET($H$3,0,0,'Données projet'!$E$10+1,1))</f>
        <v>222.48114295382305</v>
      </c>
      <c r="AO28" s="62">
        <f t="shared" si="36"/>
        <v>261.55066338953611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37</v>
      </c>
      <c r="AR28" s="17">
        <f>IF(ISNA(VLOOKUP(A28,'Données projet'!$A$61:$I$81,5,0)),0%,VLOOKUP(A28,'Données projet'!$A$61:$I$81,5,0)*VLOOKUP('Données projet'!$B$10,Paramètres!$A$1:$I$89,7,0))</f>
        <v>0.30099999999999999</v>
      </c>
      <c r="AS28" s="17">
        <f>IF(ISNA(VLOOKUP(A28,'Données projet'!$A$61:$I$81,6,0)),0%,VLOOKUP(A28,'Données projet'!$A$61:$I$81,6,0)*VLOOKUP('Données projet'!$B$10,Paramètres!$A$1:$I$89,7,0))</f>
        <v>6.4500000000000002E-2</v>
      </c>
      <c r="AT28" s="17">
        <f>IF(ISNA(VLOOKUP(A28,'Données projet'!$A$61:$I$81,7,0)),0%,VLOOKUP(A28,'Données projet'!$A$61:$I$81,7,0))</f>
        <v>0.15</v>
      </c>
      <c r="AU28" s="23">
        <f>EXP(-LN(2)/35)*AU27+(1-EXP(-LN(2)/35))/(LN(2)/35)*AQ28*AR28*VLOOKUP('Données projet'!$B$10,Paramètres!$A$1:$I$89,3,0)*0.475*44/12</f>
        <v>16.397201639557807</v>
      </c>
      <c r="AV28" s="23">
        <f>EXP(-LN(2)/25)*AV27+(1-EXP(-LN(2)/25))/(LN(2)/25)*Calculateur!AQ28*Calculateur!AS28*VLOOKUP('Données projet'!$B$10,Paramètres!$A$1:$I$89,3,0)*0.475*44/12</f>
        <v>8.597204007423084</v>
      </c>
      <c r="AW28" s="23">
        <f>EXP(-LN(2)/2)*AW27+(1-EXP(-LN(2)/2))/(LN(2)/2)*AQ28*AT28*VLOOKUP('Données projet'!$B$10,Paramètres!$A$1:$I$89,3,0)*0.475*44/12</f>
        <v>7.1246114713640862</v>
      </c>
      <c r="AX28" s="23">
        <f t="shared" si="6"/>
        <v>32.119017118344978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19.063199999999998</v>
      </c>
      <c r="D29" s="12">
        <f t="shared" si="32"/>
        <v>6.2335159851544919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195.27289532399959</v>
      </c>
      <c r="H29" s="70">
        <f t="shared" si="1"/>
        <v>337.39178034081073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6.5</v>
      </c>
      <c r="N29" s="14">
        <f>IF('Données projet'!$A$36&gt;35,N28+M29-V28,IF(A29&lt;'Données projet'!$A$36,$K$205^A29,IF(A29='Données projet'!$A$36,'Données projet'!$B$36,N28+M29-V28)))</f>
        <v>154</v>
      </c>
      <c r="O29" s="14">
        <f>N29*VLOOKUP('Données projet'!$B$9,Paramètres!$A$1:$I$89,3,0)*VLOOKUP('Données projet'!$B$9,Paramètres!$A$1:$I$89,5,0)</f>
        <v>72.072000000000003</v>
      </c>
      <c r="P29" s="14">
        <f t="shared" si="33"/>
        <v>20.187131385147271</v>
      </c>
      <c r="Q29" s="22">
        <f t="shared" si="2"/>
        <v>160.68465382913149</v>
      </c>
      <c r="R29" s="62">
        <f t="shared" si="0"/>
        <v>454.01798716246481</v>
      </c>
      <c r="S29" s="62">
        <f ca="1">AVERAGE(OFFSET($R$3,0,0,'Données projet'!$E$9+1,1))-AVERAGE(OFFSET($H$3,0,0,'Données projet'!$E$9+1,1))</f>
        <v>145.91567711893987</v>
      </c>
      <c r="T29" s="62">
        <f t="shared" si="34"/>
        <v>136.44398554363522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11.4</v>
      </c>
      <c r="AI29" s="14">
        <f>IF('Données projet'!$A$62&gt;35,AI28+AH29-AQ28,IF(A29&lt;'Données projet'!$A$62,$AF$205^A29,IF(A29='Données projet'!$A$62,'Données projet'!$B$62,AI28+AH29-AQ28)))</f>
        <v>117.39999999999998</v>
      </c>
      <c r="AJ29" s="14">
        <f>AI29*VLOOKUP('Données projet'!$B$10,Paramètres!$A$1:$I$89,3,0)*VLOOKUP('Données projet'!$B$10,Paramètres!$A$1:$I$89,5,0)</f>
        <v>102.56064000000001</v>
      </c>
      <c r="AK29" s="14">
        <f t="shared" si="35"/>
        <v>27.571134131783779</v>
      </c>
      <c r="AL29" s="22">
        <f t="shared" si="4"/>
        <v>226.64617327952342</v>
      </c>
      <c r="AM29" s="62">
        <f t="shared" si="5"/>
        <v>519.97950661285677</v>
      </c>
      <c r="AN29" s="62">
        <f ca="1">AVERAGE(OFFSET($AM$3,0,0,'Données projet'!$E$10+1,1))-AVERAGE(OFFSET($H$3,0,0,'Données projet'!$E$10+1,1))</f>
        <v>222.48114295382305</v>
      </c>
      <c r="AO29" s="62">
        <f t="shared" si="36"/>
        <v>261.55066338953611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16.075662516711532</v>
      </c>
      <c r="AV29" s="23">
        <f>EXP(-LN(2)/25)*AV28+(1-EXP(-LN(2)/25))/(LN(2)/25)*Calculateur!AQ29*Calculateur!AS29*VLOOKUP('Données projet'!$B$10,Paramètres!$A$1:$I$89,3,0)*0.475*44/12</f>
        <v>8.3621130117327898</v>
      </c>
      <c r="AW29" s="23">
        <f>EXP(-LN(2)/2)*AW28+(1-EXP(-LN(2)/2))/(LN(2)/2)*AQ29*AT29*VLOOKUP('Données projet'!$B$10,Paramètres!$A$1:$I$89,3,0)*0.475*44/12</f>
        <v>5.0378610847210119</v>
      </c>
      <c r="AX29" s="23">
        <f t="shared" si="6"/>
        <v>29.475636613165332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19.796399999999998</v>
      </c>
      <c r="D30" s="12">
        <f t="shared" si="32"/>
        <v>6.4448920768574434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202.56435989153115</v>
      </c>
      <c r="H30" s="70">
        <f t="shared" si="1"/>
        <v>339.03691703386005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6.5</v>
      </c>
      <c r="N30" s="14">
        <f>IF('Données projet'!$A$36&gt;35,N29+M30-V29,IF(A30&lt;'Données projet'!$A$36,$K$205^A30,IF(A30='Données projet'!$A$36,'Données projet'!$B$36,N29+M30-V29)))</f>
        <v>160.5</v>
      </c>
      <c r="O30" s="14">
        <f>N30*VLOOKUP('Données projet'!$B$9,Paramètres!$A$1:$I$89,3,0)*VLOOKUP('Données projet'!$B$9,Paramètres!$A$1:$I$89,5,0)</f>
        <v>75.114000000000004</v>
      </c>
      <c r="P30" s="14">
        <f t="shared" si="33"/>
        <v>20.938185501492693</v>
      </c>
      <c r="Q30" s="22">
        <f t="shared" si="2"/>
        <v>167.2908897484331</v>
      </c>
      <c r="R30" s="62">
        <f t="shared" si="0"/>
        <v>460.62422308176644</v>
      </c>
      <c r="S30" s="62">
        <f ca="1">AVERAGE(OFFSET($R$3,0,0,'Données projet'!$E$9+1,1))-AVERAGE(OFFSET($H$3,0,0,'Données projet'!$E$9+1,1))</f>
        <v>145.91567711893987</v>
      </c>
      <c r="T30" s="62">
        <f t="shared" si="34"/>
        <v>136.44398554363522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11.4</v>
      </c>
      <c r="AI30" s="14">
        <f>IF('Données projet'!$A$62&gt;35,AI29+AH30-AQ29,IF(A30&lt;'Données projet'!$A$62,$AF$205^A30,IF(A30='Données projet'!$A$62,'Données projet'!$B$62,AI29+AH30-AQ29)))</f>
        <v>128.79999999999998</v>
      </c>
      <c r="AJ30" s="14">
        <f>AI30*VLOOKUP('Données projet'!$B$10,Paramètres!$A$1:$I$89,3,0)*VLOOKUP('Données projet'!$B$10,Paramètres!$A$1:$I$89,5,0)</f>
        <v>112.51968000000001</v>
      </c>
      <c r="AK30" s="14">
        <f t="shared" si="35"/>
        <v>29.923856072189899</v>
      </c>
      <c r="AL30" s="22">
        <f t="shared" si="4"/>
        <v>248.08915865906408</v>
      </c>
      <c r="AM30" s="62">
        <f t="shared" si="5"/>
        <v>541.42249199239745</v>
      </c>
      <c r="AN30" s="62">
        <f ca="1">AVERAGE(OFFSET($AM$3,0,0,'Données projet'!$E$10+1,1))-AVERAGE(OFFSET($H$3,0,0,'Données projet'!$E$10+1,1))</f>
        <v>222.48114295382305</v>
      </c>
      <c r="AO30" s="62">
        <f t="shared" si="36"/>
        <v>261.55066338953611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15.760428579944772</v>
      </c>
      <c r="AV30" s="23">
        <f>EXP(-LN(2)/25)*AV29+(1-EXP(-LN(2)/25))/(LN(2)/25)*Calculateur!AQ30*Calculateur!AS30*VLOOKUP('Données projet'!$B$10,Paramètres!$A$1:$I$89,3,0)*0.475*44/12</f>
        <v>8.1334505916825446</v>
      </c>
      <c r="AW30" s="23">
        <f>EXP(-LN(2)/2)*AW29+(1-EXP(-LN(2)/2))/(LN(2)/2)*AQ30*AT30*VLOOKUP('Données projet'!$B$10,Paramètres!$A$1:$I$89,3,0)*0.475*44/12</f>
        <v>3.5623057356820436</v>
      </c>
      <c r="AX30" s="23">
        <f t="shared" si="6"/>
        <v>27.456184907309364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20.529599999999999</v>
      </c>
      <c r="D31" s="12">
        <f t="shared" si="32"/>
        <v>6.6553586445673751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209.84880357209906</v>
      </c>
      <c r="H31" s="70">
        <f t="shared" si="1"/>
        <v>340.68046963928816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6.5</v>
      </c>
      <c r="N31" s="14">
        <f>IF('Données projet'!$A$36&gt;35,N30+M31-V30,IF(A31&lt;'Données projet'!$A$36,$K$205^A31,IF(A31='Données projet'!$A$36,'Données projet'!$B$36,N30+M31-V30)))</f>
        <v>167</v>
      </c>
      <c r="O31" s="14">
        <f>N31*VLOOKUP('Données projet'!$B$9,Paramètres!$A$1:$I$89,3,0)*VLOOKUP('Données projet'!$B$9,Paramètres!$A$1:$I$89,5,0)</f>
        <v>78.156000000000006</v>
      </c>
      <c r="P31" s="14">
        <f t="shared" si="33"/>
        <v>21.685706446534809</v>
      </c>
      <c r="Q31" s="22">
        <f t="shared" si="2"/>
        <v>173.89097206104813</v>
      </c>
      <c r="R31" s="62">
        <f t="shared" si="0"/>
        <v>467.22430539438142</v>
      </c>
      <c r="S31" s="62">
        <f ca="1">AVERAGE(OFFSET($R$3,0,0,'Données projet'!$E$9+1,1))-AVERAGE(OFFSET($H$3,0,0,'Données projet'!$E$9+1,1))</f>
        <v>145.91567711893987</v>
      </c>
      <c r="T31" s="62">
        <f t="shared" si="34"/>
        <v>136.44398554363522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11.4</v>
      </c>
      <c r="AI31" s="14">
        <f>IF('Données projet'!$A$62&gt;35,AI30+AH31-AQ30,IF(A31&lt;'Données projet'!$A$62,$AF$205^A31,IF(A31='Données projet'!$A$62,'Données projet'!$B$62,AI30+AH31-AQ30)))</f>
        <v>140.19999999999999</v>
      </c>
      <c r="AJ31" s="14">
        <f>AI31*VLOOKUP('Données projet'!$B$10,Paramètres!$A$1:$I$89,3,0)*VLOOKUP('Données projet'!$B$10,Paramètres!$A$1:$I$89,5,0)</f>
        <v>122.47872000000001</v>
      </c>
      <c r="AK31" s="14">
        <f t="shared" si="35"/>
        <v>32.252430308904003</v>
      </c>
      <c r="AL31" s="22">
        <f t="shared" si="4"/>
        <v>269.49008678800777</v>
      </c>
      <c r="AM31" s="62">
        <f t="shared" si="5"/>
        <v>562.82342012134109</v>
      </c>
      <c r="AN31" s="62">
        <f ca="1">AVERAGE(OFFSET($AM$3,0,0,'Données projet'!$E$10+1,1))-AVERAGE(OFFSET($H$3,0,0,'Données projet'!$E$10+1,1))</f>
        <v>222.48114295382305</v>
      </c>
      <c r="AO31" s="62">
        <f t="shared" si="36"/>
        <v>261.55066338953611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15.451376188404293</v>
      </c>
      <c r="AV31" s="23">
        <f>EXP(-LN(2)/25)*AV30+(1-EXP(-LN(2)/25))/(LN(2)/25)*Calculateur!AQ31*Calculateur!AS31*VLOOKUP('Données projet'!$B$10,Paramètres!$A$1:$I$89,3,0)*0.475*44/12</f>
        <v>7.911040957533408</v>
      </c>
      <c r="AW31" s="23">
        <f>EXP(-LN(2)/2)*AW30+(1-EXP(-LN(2)/2))/(LN(2)/2)*AQ31*AT31*VLOOKUP('Données projet'!$B$10,Paramètres!$A$1:$I$89,3,0)*0.475*44/12</f>
        <v>2.518930542360506</v>
      </c>
      <c r="AX31" s="23">
        <f t="shared" si="6"/>
        <v>25.881347688298206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21.262799999999999</v>
      </c>
      <c r="D32" s="12">
        <f t="shared" si="32"/>
        <v>6.864951892683286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217.12650583825697</v>
      </c>
      <c r="H32" s="70">
        <f t="shared" si="1"/>
        <v>342.32250121309005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6.5</v>
      </c>
      <c r="N32" s="14">
        <f>IF('Données projet'!$A$36&gt;35,N31+M32-V31,IF(A32&lt;'Données projet'!$A$36,$K$205^A32,IF(A32='Données projet'!$A$36,'Données projet'!$B$36,N31+M32-V31)))</f>
        <v>173.5</v>
      </c>
      <c r="O32" s="14">
        <f>N32*VLOOKUP('Données projet'!$B$9,Paramètres!$A$1:$I$89,3,0)*VLOOKUP('Données projet'!$B$9,Paramètres!$A$1:$I$89,5,0)</f>
        <v>81.198000000000008</v>
      </c>
      <c r="P32" s="14">
        <f t="shared" si="33"/>
        <v>22.429847477648512</v>
      </c>
      <c r="Q32" s="22">
        <f t="shared" si="2"/>
        <v>180.48516769023783</v>
      </c>
      <c r="R32" s="62">
        <f t="shared" si="0"/>
        <v>473.81850102357112</v>
      </c>
      <c r="S32" s="62">
        <f ca="1">AVERAGE(OFFSET($R$3,0,0,'Données projet'!$E$9+1,1))-AVERAGE(OFFSET($H$3,0,0,'Données projet'!$E$9+1,1))</f>
        <v>145.91567711893987</v>
      </c>
      <c r="T32" s="62">
        <f t="shared" si="34"/>
        <v>136.44398554363522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11.4</v>
      </c>
      <c r="AI32" s="14">
        <f>IF('Données projet'!$A$62&gt;35,AI31+AH32-AQ31,IF(A32&lt;'Données projet'!$A$62,$AF$205^A32,IF(A32='Données projet'!$A$62,'Données projet'!$B$62,AI31+AH32-AQ31)))</f>
        <v>151.6</v>
      </c>
      <c r="AJ32" s="14">
        <f>AI32*VLOOKUP('Données projet'!$B$10,Paramètres!$A$1:$I$89,3,0)*VLOOKUP('Données projet'!$B$10,Paramètres!$A$1:$I$89,5,0)</f>
        <v>132.43776</v>
      </c>
      <c r="AK32" s="14">
        <f t="shared" si="35"/>
        <v>34.559043580858436</v>
      </c>
      <c r="AL32" s="22">
        <f t="shared" si="4"/>
        <v>290.85276623666175</v>
      </c>
      <c r="AM32" s="62">
        <f t="shared" si="5"/>
        <v>584.18609956999512</v>
      </c>
      <c r="AN32" s="62">
        <f ca="1">AVERAGE(OFFSET($AM$3,0,0,'Données projet'!$E$10+1,1))-AVERAGE(OFFSET($H$3,0,0,'Données projet'!$E$10+1,1))</f>
        <v>222.48114295382305</v>
      </c>
      <c r="AO32" s="62">
        <f t="shared" si="36"/>
        <v>261.55066338953611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15.148384125758577</v>
      </c>
      <c r="AV32" s="23">
        <f>EXP(-LN(2)/25)*AV31+(1-EXP(-LN(2)/25))/(LN(2)/25)*Calculateur!AQ32*Calculateur!AS32*VLOOKUP('Données projet'!$B$10,Paramètres!$A$1:$I$89,3,0)*0.475*44/12</f>
        <v>7.6947131265260937</v>
      </c>
      <c r="AW32" s="23">
        <f>EXP(-LN(2)/2)*AW31+(1-EXP(-LN(2)/2))/(LN(2)/2)*AQ32*AT32*VLOOKUP('Données projet'!$B$10,Paramètres!$A$1:$I$89,3,0)*0.475*44/12</f>
        <v>1.7811528678410218</v>
      </c>
      <c r="AX32" s="23">
        <f t="shared" si="6"/>
        <v>24.624250120125694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21.995999999999999</v>
      </c>
      <c r="D33" s="12">
        <f t="shared" si="32"/>
        <v>7.0737053871356732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224.39772579543327</v>
      </c>
      <c r="H33" s="70">
        <f t="shared" si="1"/>
        <v>343.96307021592793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180</v>
      </c>
      <c r="L33" s="13">
        <f>VLOOKUP(A33,'Données projet'!$A$35:$I$55,9,0)</f>
        <v>6.5</v>
      </c>
      <c r="M33" s="13">
        <f t="array" ref="M33">INDEX(L:L,MIN(IF(ISNUMBER(L33:L229),ROW(L33:L229),"")))</f>
        <v>6.5</v>
      </c>
      <c r="N33" s="14">
        <f>IF('Données projet'!$A$36&gt;35,N32+M33-V32,IF(A33&lt;'Données projet'!$A$36,$K$205^A33,IF(A33='Données projet'!$A$36,'Données projet'!$B$36,N32+M33-V32)))</f>
        <v>180</v>
      </c>
      <c r="O33" s="14">
        <f>N33*VLOOKUP('Données projet'!$B$9,Paramètres!$A$1:$I$89,3,0)*VLOOKUP('Données projet'!$B$9,Paramètres!$A$1:$I$89,5,0)</f>
        <v>84.24</v>
      </c>
      <c r="P33" s="14">
        <f t="shared" si="33"/>
        <v>23.170749718409468</v>
      </c>
      <c r="Q33" s="22">
        <f t="shared" si="2"/>
        <v>187.07372242622981</v>
      </c>
      <c r="R33" s="62">
        <f t="shared" si="0"/>
        <v>480.40705575956315</v>
      </c>
      <c r="S33" s="62">
        <f ca="1">AVERAGE(OFFSET($R$3,0,0,'Données projet'!$E$9+1,1))-AVERAGE(OFFSET($H$3,0,0,'Données projet'!$E$9+1,1))</f>
        <v>145.91567711893987</v>
      </c>
      <c r="T33" s="62">
        <f t="shared" si="34"/>
        <v>136.44398554363522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163</v>
      </c>
      <c r="AG33" s="13">
        <f>VLOOKUP(A33,'Données projet'!$A$61:$I$81,9,0)</f>
        <v>11.4</v>
      </c>
      <c r="AH33" s="13">
        <f t="array" ref="AH33">INDEX(AG:AG,MIN(IF(ISNUMBER(AG33:AG229),ROW(AG33:AG229),"")))</f>
        <v>11.4</v>
      </c>
      <c r="AI33" s="14">
        <f>IF('Données projet'!$A$62&gt;35,AI32+AH33-AQ32,IF(A33&lt;'Données projet'!$A$62,$AF$205^A33,IF(A33='Données projet'!$A$62,'Données projet'!$B$62,AI32+AH33-AQ32)))</f>
        <v>163</v>
      </c>
      <c r="AJ33" s="14">
        <f>AI33*VLOOKUP('Données projet'!$B$10,Paramètres!$A$1:$I$89,3,0)*VLOOKUP('Données projet'!$B$10,Paramètres!$A$1:$I$89,5,0)</f>
        <v>142.39680000000004</v>
      </c>
      <c r="AK33" s="14">
        <f t="shared" si="35"/>
        <v>36.845535084476985</v>
      </c>
      <c r="AL33" s="22">
        <f t="shared" si="4"/>
        <v>312.18040027213078</v>
      </c>
      <c r="AM33" s="62">
        <f t="shared" si="5"/>
        <v>605.51373360546404</v>
      </c>
      <c r="AN33" s="62">
        <f ca="1">AVERAGE(OFFSET($AM$3,0,0,'Données projet'!$E$10+1,1))-AVERAGE(OFFSET($H$3,0,0,'Données projet'!$E$10+1,1))</f>
        <v>222.48114295382305</v>
      </c>
      <c r="AO33" s="62">
        <f t="shared" si="36"/>
        <v>261.55066338953611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37</v>
      </c>
      <c r="AR33" s="17">
        <f>IF(ISNA(VLOOKUP(A33,'Données projet'!$A$61:$I$81,5,0)),0%,VLOOKUP(A33,'Données projet'!$A$61:$I$81,5,0)*VLOOKUP('Données projet'!$B$10,Paramètres!$A$1:$I$89,7,0))</f>
        <v>0.30099999999999999</v>
      </c>
      <c r="AS33" s="17">
        <f>IF(ISNA(VLOOKUP(A33,'Données projet'!$A$61:$I$81,6,0)),0%,VLOOKUP(A33,'Données projet'!$A$61:$I$81,6,0)*VLOOKUP('Données projet'!$B$10,Paramètres!$A$1:$I$89,7,0))</f>
        <v>6.4500000000000002E-2</v>
      </c>
      <c r="AT33" s="17">
        <f>IF(ISNA(VLOOKUP(A33,'Données projet'!$A$61:$I$81,7,0)),0%,VLOOKUP(A33,'Données projet'!$A$61:$I$81,7,0))</f>
        <v>0.15</v>
      </c>
      <c r="AU33" s="23">
        <f>EXP(-LN(2)/35)*AU32+(1-EXP(-LN(2)/35))/(LN(2)/35)*AQ33*AR33*VLOOKUP('Données projet'!$B$10,Paramètres!$A$1:$I$89,3,0)*0.475*44/12</f>
        <v>25.606767944341989</v>
      </c>
      <c r="AV33" s="23">
        <f>EXP(-LN(2)/25)*AV32+(1-EXP(-LN(2)/25))/(LN(2)/25)*Calculateur!AQ33*Calculateur!AS33*VLOOKUP('Données projet'!$B$10,Paramètres!$A$1:$I$89,3,0)*0.475*44/12</f>
        <v>9.779962108936509</v>
      </c>
      <c r="AW33" s="23">
        <f>EXP(-LN(2)/2)*AW32+(1-EXP(-LN(2)/2))/(LN(2)/2)*AQ33*AT33*VLOOKUP('Données projet'!$B$10,Paramètres!$A$1:$I$89,3,0)*0.475*44/12</f>
        <v>5.8341366461061854</v>
      </c>
      <c r="AX33" s="23">
        <f t="shared" si="6"/>
        <v>41.220866699384686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22.729199999999999</v>
      </c>
      <c r="D34" s="12">
        <f t="shared" si="32"/>
        <v>7.2816503291468493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231.66270429516865</v>
      </c>
      <c r="H34" s="70">
        <f t="shared" si="1"/>
        <v>345.60223098993072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</v>
      </c>
      <c r="N34" s="14">
        <f>IF('Données projet'!$A$36&gt;35,N33+M34-V33,IF(A34&lt;'Données projet'!$A$36,$K$205^A34,IF(A34='Données projet'!$A$36,'Données projet'!$B$36,N33+M34-V33)))</f>
        <v>187</v>
      </c>
      <c r="O34" s="14">
        <f>N34*VLOOKUP('Données projet'!$B$9,Paramètres!$A$1:$I$89,3,0)*VLOOKUP('Données projet'!$B$9,Paramètres!$A$1:$I$89,5,0)</f>
        <v>87.515999999999991</v>
      </c>
      <c r="P34" s="14">
        <f t="shared" si="33"/>
        <v>23.965171662037644</v>
      </c>
      <c r="Q34" s="22">
        <f t="shared" si="2"/>
        <v>194.16304064471555</v>
      </c>
      <c r="R34" s="62">
        <f t="shared" si="0"/>
        <v>487.49637397804884</v>
      </c>
      <c r="S34" s="62">
        <f ca="1">AVERAGE(OFFSET($R$3,0,0,'Données projet'!$E$9+1,1))-AVERAGE(OFFSET($H$3,0,0,'Données projet'!$E$9+1,1))</f>
        <v>145.91567711893987</v>
      </c>
      <c r="T34" s="62">
        <f t="shared" si="34"/>
        <v>136.44398554363522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10.6</v>
      </c>
      <c r="AI34" s="14">
        <f>IF('Données projet'!$A$62&gt;35,AI33+AH34-AQ33,IF(A34&lt;'Données projet'!$A$62,$AF$205^A34,IF(A34='Données projet'!$A$62,'Données projet'!$B$62,AI33+AH34-AQ33)))</f>
        <v>136.6</v>
      </c>
      <c r="AJ34" s="14">
        <f>AI34*VLOOKUP('Données projet'!$B$10,Paramètres!$A$1:$I$89,3,0)*VLOOKUP('Données projet'!$B$10,Paramètres!$A$1:$I$89,5,0)</f>
        <v>119.33376000000001</v>
      </c>
      <c r="AK34" s="14">
        <f t="shared" si="35"/>
        <v>31.519559440518702</v>
      </c>
      <c r="AL34" s="22">
        <f t="shared" si="4"/>
        <v>262.7361980255701</v>
      </c>
      <c r="AM34" s="62">
        <f t="shared" si="5"/>
        <v>556.06953135890342</v>
      </c>
      <c r="AN34" s="62">
        <f ca="1">AVERAGE(OFFSET($AM$3,0,0,'Données projet'!$E$10+1,1))-AVERAGE(OFFSET($H$3,0,0,'Données projet'!$E$10+1,1))</f>
        <v>222.48114295382305</v>
      </c>
      <c r="AO34" s="62">
        <f t="shared" si="36"/>
        <v>261.55066338953611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25.104634843539682</v>
      </c>
      <c r="AV34" s="23">
        <f>EXP(-LN(2)/25)*AV33+(1-EXP(-LN(2)/25))/(LN(2)/25)*Calculateur!AQ34*Calculateur!AS34*VLOOKUP('Données projet'!$B$10,Paramètres!$A$1:$I$89,3,0)*0.475*44/12</f>
        <v>9.5125285307617844</v>
      </c>
      <c r="AW34" s="23">
        <f>EXP(-LN(2)/2)*AW33+(1-EXP(-LN(2)/2))/(LN(2)/2)*AQ34*AT34*VLOOKUP('Données projet'!$B$10,Paramètres!$A$1:$I$89,3,0)*0.475*44/12</f>
        <v>4.125357584830625</v>
      </c>
      <c r="AX34" s="23">
        <f t="shared" si="6"/>
        <v>38.742520959132094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23.462399999999999</v>
      </c>
      <c r="D35" s="12">
        <f t="shared" si="32"/>
        <v>7.4888157926750578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238.92166576801799</v>
      </c>
      <c r="H35" s="70">
        <f t="shared" si="1"/>
        <v>347.24003417224236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</v>
      </c>
      <c r="N35" s="14">
        <f>IF('Données projet'!$A$36&gt;35,N34+M35-V34,IF(A35&lt;'Données projet'!$A$36,$K$205^A35,IF(A35='Données projet'!$A$36,'Données projet'!$B$36,N34+M35-V34)))</f>
        <v>194</v>
      </c>
      <c r="O35" s="14">
        <f>N35*VLOOKUP('Données projet'!$B$9,Paramètres!$A$1:$I$89,3,0)*VLOOKUP('Données projet'!$B$9,Paramètres!$A$1:$I$89,5,0)</f>
        <v>90.792000000000002</v>
      </c>
      <c r="P35" s="14">
        <f t="shared" si="33"/>
        <v>24.756138813110173</v>
      </c>
      <c r="Q35" s="22">
        <f t="shared" ref="Q35:Q66" si="53">(O35+P35)*0.475*44/12</f>
        <v>201.24634176616689</v>
      </c>
      <c r="R35" s="62">
        <f t="shared" si="0"/>
        <v>494.57967509950021</v>
      </c>
      <c r="S35" s="62">
        <f ca="1">AVERAGE(OFFSET($R$3,0,0,'Données projet'!$E$9+1,1))-AVERAGE(OFFSET($H$3,0,0,'Données projet'!$E$9+1,1))</f>
        <v>145.91567711893987</v>
      </c>
      <c r="T35" s="62">
        <f t="shared" si="34"/>
        <v>136.44398554363522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10.6</v>
      </c>
      <c r="AI35" s="14">
        <f>IF('Données projet'!$A$62&gt;35,AI34+AH35-AQ34,IF(A35&lt;'Données projet'!$A$62,$AF$205^A35,IF(A35='Données projet'!$A$62,'Données projet'!$B$62,AI34+AH35-AQ34)))</f>
        <v>147.19999999999999</v>
      </c>
      <c r="AJ35" s="14">
        <f>AI35*VLOOKUP('Données projet'!$B$10,Paramètres!$A$1:$I$89,3,0)*VLOOKUP('Données projet'!$B$10,Paramètres!$A$1:$I$89,5,0)</f>
        <v>128.59392</v>
      </c>
      <c r="AK35" s="14">
        <f t="shared" si="35"/>
        <v>33.671250175837564</v>
      </c>
      <c r="AL35" s="22">
        <f t="shared" si="4"/>
        <v>282.61183805625041</v>
      </c>
      <c r="AM35" s="62">
        <f t="shared" si="5"/>
        <v>575.94517138958372</v>
      </c>
      <c r="AN35" s="62">
        <f ca="1">AVERAGE(OFFSET($AM$3,0,0,'Données projet'!$E$10+1,1))-AVERAGE(OFFSET($H$3,0,0,'Données projet'!$E$10+1,1))</f>
        <v>222.48114295382305</v>
      </c>
      <c r="AO35" s="62">
        <f t="shared" si="36"/>
        <v>261.55066338953611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24.612348266573157</v>
      </c>
      <c r="AV35" s="23">
        <f>EXP(-LN(2)/25)*AV34+(1-EXP(-LN(2)/25))/(LN(2)/25)*Calculateur!AQ35*Calculateur!AS35*VLOOKUP('Données projet'!$B$10,Paramètres!$A$1:$I$89,3,0)*0.475*44/12</f>
        <v>9.2524079378459696</v>
      </c>
      <c r="AW35" s="23">
        <f>EXP(-LN(2)/2)*AW34+(1-EXP(-LN(2)/2))/(LN(2)/2)*AQ35*AT35*VLOOKUP('Données projet'!$B$10,Paramètres!$A$1:$I$89,3,0)*0.475*44/12</f>
        <v>2.9170683230530932</v>
      </c>
      <c r="AX35" s="23">
        <f t="shared" si="6"/>
        <v>36.781824527472217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24.195599999999999</v>
      </c>
      <c r="D36" s="12">
        <f t="shared" si="32"/>
        <v>7.6952289313442845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246.17481982090328</v>
      </c>
      <c r="H36" s="70">
        <f t="shared" si="1"/>
        <v>348.87652705542462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</v>
      </c>
      <c r="N36" s="14">
        <f>IF('Données projet'!$A$36&gt;35,N35+M36-V35,IF(A36&lt;'Données projet'!$A$36,$K$205^A36,IF(A36='Données projet'!$A$36,'Données projet'!$B$36,N35+M36-V35)))</f>
        <v>201</v>
      </c>
      <c r="O36" s="14">
        <f>N36*VLOOKUP('Données projet'!$B$9,Paramètres!$A$1:$I$89,3,0)*VLOOKUP('Données projet'!$B$9,Paramètres!$A$1:$I$89,5,0)</f>
        <v>94.067999999999998</v>
      </c>
      <c r="P36" s="14">
        <f t="shared" si="33"/>
        <v>25.543790108694029</v>
      </c>
      <c r="Q36" s="22">
        <f t="shared" si="53"/>
        <v>208.32386777264207</v>
      </c>
      <c r="R36" s="62">
        <f t="shared" si="0"/>
        <v>501.65720110597539</v>
      </c>
      <c r="S36" s="62">
        <f ca="1">AVERAGE(OFFSET($R$3,0,0,'Données projet'!$E$9+1,1))-AVERAGE(OFFSET($H$3,0,0,'Données projet'!$E$9+1,1))</f>
        <v>145.91567711893987</v>
      </c>
      <c r="T36" s="62">
        <f t="shared" si="34"/>
        <v>136.44398554363522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10.6</v>
      </c>
      <c r="AI36" s="14">
        <f>IF('Données projet'!$A$62&gt;35,AI35+AH36-AQ35,IF(A36&lt;'Données projet'!$A$62,$AF$205^A36,IF(A36='Données projet'!$A$62,'Données projet'!$B$62,AI35+AH36-AQ35)))</f>
        <v>157.79999999999998</v>
      </c>
      <c r="AJ36" s="14">
        <f>AI36*VLOOKUP('Données projet'!$B$10,Paramètres!$A$1:$I$89,3,0)*VLOOKUP('Données projet'!$B$10,Paramètres!$A$1:$I$89,5,0)</f>
        <v>137.85408000000001</v>
      </c>
      <c r="AK36" s="14">
        <f t="shared" si="35"/>
        <v>35.804964283629964</v>
      </c>
      <c r="AL36" s="22">
        <f t="shared" si="4"/>
        <v>302.45616879398887</v>
      </c>
      <c r="AM36" s="62">
        <f t="shared" si="5"/>
        <v>595.78950212732218</v>
      </c>
      <c r="AN36" s="62">
        <f ca="1">AVERAGE(OFFSET($AM$3,0,0,'Données projet'!$E$10+1,1))-AVERAGE(OFFSET($H$3,0,0,'Données projet'!$E$10+1,1))</f>
        <v>222.48114295382305</v>
      </c>
      <c r="AO36" s="62">
        <f t="shared" si="36"/>
        <v>261.55066338953611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24.129715129115784</v>
      </c>
      <c r="AV36" s="23">
        <f>EXP(-LN(2)/25)*AV35+(1-EXP(-LN(2)/25))/(LN(2)/25)*Calculateur!AQ36*Calculateur!AS36*VLOOKUP('Données projet'!$B$10,Paramètres!$A$1:$I$89,3,0)*0.475*44/12</f>
        <v>8.9994003562225853</v>
      </c>
      <c r="AW36" s="23">
        <f>EXP(-LN(2)/2)*AW35+(1-EXP(-LN(2)/2))/(LN(2)/2)*AQ36*AT36*VLOOKUP('Données projet'!$B$10,Paramètres!$A$1:$I$89,3,0)*0.475*44/12</f>
        <v>2.0626787924153129</v>
      </c>
      <c r="AX36" s="23">
        <f t="shared" si="6"/>
        <v>35.191794277753679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24.928799999999999</v>
      </c>
      <c r="D37" s="12">
        <f t="shared" si="32"/>
        <v>7.9009151595869396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253.42236263540795</v>
      </c>
      <c r="H37" s="70">
        <f t="shared" si="1"/>
        <v>350.51175390294725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</v>
      </c>
      <c r="N37" s="14">
        <f>IF('Données projet'!$A$36&gt;35,N36+M37-V36,IF(A37&lt;'Données projet'!$A$36,$K$205^A37,IF(A37='Données projet'!$A$36,'Données projet'!$B$36,N36+M37-V36)))</f>
        <v>208</v>
      </c>
      <c r="O37" s="14">
        <f>N37*VLOOKUP('Données projet'!$B$9,Paramètres!$A$1:$I$89,3,0)*VLOOKUP('Données projet'!$B$9,Paramètres!$A$1:$I$89,5,0)</f>
        <v>97.343999999999994</v>
      </c>
      <c r="P37" s="14">
        <f t="shared" si="33"/>
        <v>26.328254259866451</v>
      </c>
      <c r="Q37" s="22">
        <f t="shared" si="53"/>
        <v>215.39584283593408</v>
      </c>
      <c r="R37" s="62">
        <f t="shared" si="0"/>
        <v>508.72917616926736</v>
      </c>
      <c r="S37" s="62">
        <f ca="1">AVERAGE(OFFSET($R$3,0,0,'Données projet'!$E$9+1,1))-AVERAGE(OFFSET($H$3,0,0,'Données projet'!$E$9+1,1))</f>
        <v>145.91567711893987</v>
      </c>
      <c r="T37" s="62">
        <f t="shared" si="34"/>
        <v>136.44398554363522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10.6</v>
      </c>
      <c r="AI37" s="14">
        <f>IF('Données projet'!$A$62&gt;35,AI36+AH37-AQ36,IF(A37&lt;'Données projet'!$A$62,$AF$205^A37,IF(A37='Données projet'!$A$62,'Données projet'!$B$62,AI36+AH37-AQ36)))</f>
        <v>168.39999999999998</v>
      </c>
      <c r="AJ37" s="14">
        <f>AI37*VLOOKUP('Données projet'!$B$10,Paramètres!$A$1:$I$89,3,0)*VLOOKUP('Données projet'!$B$10,Paramètres!$A$1:$I$89,5,0)</f>
        <v>147.11424</v>
      </c>
      <c r="AK37" s="14">
        <f t="shared" si="35"/>
        <v>37.922046712608186</v>
      </c>
      <c r="AL37" s="22">
        <f t="shared" si="4"/>
        <v>322.27153269112591</v>
      </c>
      <c r="AM37" s="62">
        <f t="shared" si="5"/>
        <v>615.60486602445917</v>
      </c>
      <c r="AN37" s="62">
        <f ca="1">AVERAGE(OFFSET($AM$3,0,0,'Données projet'!$E$10+1,1))-AVERAGE(OFFSET($H$3,0,0,'Données projet'!$E$10+1,1))</f>
        <v>222.48114295382305</v>
      </c>
      <c r="AO37" s="62">
        <f t="shared" si="36"/>
        <v>261.55066338953611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23.656546133106804</v>
      </c>
      <c r="AV37" s="23">
        <f>EXP(-LN(2)/25)*AV36+(1-EXP(-LN(2)/25))/(LN(2)/25)*Calculateur!AQ37*Calculateur!AS37*VLOOKUP('Données projet'!$B$10,Paramètres!$A$1:$I$89,3,0)*0.475*44/12</f>
        <v>8.753311280223782</v>
      </c>
      <c r="AW37" s="23">
        <f>EXP(-LN(2)/2)*AW36+(1-EXP(-LN(2)/2))/(LN(2)/2)*AQ37*AT37*VLOOKUP('Données projet'!$B$10,Paramètres!$A$1:$I$89,3,0)*0.475*44/12</f>
        <v>1.4585341615265468</v>
      </c>
      <c r="AX37" s="23">
        <f t="shared" si="6"/>
        <v>33.868391574857128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25.661999999999999</v>
      </c>
      <c r="D38" s="12">
        <f t="shared" si="32"/>
        <v>8.1058983118768086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260.66447819694378</v>
      </c>
      <c r="H38" s="70">
        <f t="shared" si="1"/>
        <v>352.14575622651876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7</v>
      </c>
      <c r="N38" s="14">
        <f>IF('Données projet'!$A$36&gt;35,N37+M38-V37,IF(A38&lt;'Données projet'!$A$36,$K$205^A38,IF(A38='Données projet'!$A$36,'Données projet'!$B$36,N37+M38-V37)))</f>
        <v>215</v>
      </c>
      <c r="O38" s="14">
        <f>N38*VLOOKUP('Données projet'!$B$9,Paramètres!$A$1:$I$89,3,0)*VLOOKUP('Données projet'!$B$9,Paramètres!$A$1:$I$89,5,0)</f>
        <v>100.61999999999999</v>
      </c>
      <c r="P38" s="14">
        <f t="shared" si="33"/>
        <v>27.10965082293415</v>
      </c>
      <c r="Q38" s="22">
        <f t="shared" si="53"/>
        <v>222.46247518327695</v>
      </c>
      <c r="R38" s="62">
        <f t="shared" si="0"/>
        <v>515.79580851661024</v>
      </c>
      <c r="S38" s="62">
        <f ca="1">AVERAGE(OFFSET($R$3,0,0,'Données projet'!$E$9+1,1))-AVERAGE(OFFSET($H$3,0,0,'Données projet'!$E$9+1,1))</f>
        <v>145.91567711893987</v>
      </c>
      <c r="T38" s="62">
        <f t="shared" si="34"/>
        <v>136.44398554363522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179</v>
      </c>
      <c r="AG38" s="13">
        <f>VLOOKUP(A38,'Données projet'!$A$61:$I$81,9,0)</f>
        <v>10.6</v>
      </c>
      <c r="AH38" s="13">
        <f t="array" ref="AH38">INDEX(AG:AG,MIN(IF(ISNUMBER(AG38:AG234),ROW(AG38:AG234),"")))</f>
        <v>10.6</v>
      </c>
      <c r="AI38" s="14">
        <f>IF('Données projet'!$A$62&gt;35,AI37+AH38-AQ37,IF(A38&lt;'Données projet'!$A$62,$AF$205^A38,IF(A38='Données projet'!$A$62,'Données projet'!$B$62,AI37+AH38-AQ37)))</f>
        <v>178.99999999999997</v>
      </c>
      <c r="AJ38" s="14">
        <f>AI38*VLOOKUP('Données projet'!$B$10,Paramètres!$A$1:$I$89,3,0)*VLOOKUP('Données projet'!$B$10,Paramètres!$A$1:$I$89,5,0)</f>
        <v>156.37440000000001</v>
      </c>
      <c r="AK38" s="14">
        <f t="shared" si="35"/>
        <v>40.023663524293205</v>
      </c>
      <c r="AL38" s="22">
        <f t="shared" si="4"/>
        <v>342.05996063814399</v>
      </c>
      <c r="AM38" s="62">
        <f t="shared" si="5"/>
        <v>635.39329397147731</v>
      </c>
      <c r="AN38" s="62">
        <f ca="1">AVERAGE(OFFSET($AM$3,0,0,'Données projet'!$E$10+1,1))-AVERAGE(OFFSET($H$3,0,0,'Données projet'!$E$10+1,1))</f>
        <v>222.48114295382305</v>
      </c>
      <c r="AO38" s="62">
        <f t="shared" si="36"/>
        <v>261.55066338953611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36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23.192655692504967</v>
      </c>
      <c r="AV38" s="23">
        <f>EXP(-LN(2)/25)*AV37+(1-EXP(-LN(2)/25))/(LN(2)/25)*Calculateur!AQ38*Calculateur!AS38*VLOOKUP('Données projet'!$B$10,Paramètres!$A$1:$I$89,3,0)*0.475*44/12</f>
        <v>8.5139515229494283</v>
      </c>
      <c r="AW38" s="23">
        <f>EXP(-LN(2)/2)*AW37+(1-EXP(-LN(2)/2))/(LN(2)/2)*AQ38*AT38*VLOOKUP('Données projet'!$B$10,Paramètres!$A$1:$I$89,3,0)*0.475*44/12</f>
        <v>1.0313393962076565</v>
      </c>
      <c r="AX38" s="23">
        <f t="shared" si="6"/>
        <v>32.737946611662053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26.395199999999999</v>
      </c>
      <c r="D39" s="12">
        <f t="shared" si="32"/>
        <v>8.3102007832524443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267.90133937949253</v>
      </c>
      <c r="H39" s="70">
        <f t="shared" si="1"/>
        <v>353.77857303083135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7</v>
      </c>
      <c r="N39" s="14">
        <f>IF('Données projet'!$A$36&gt;35,N38+M39-V38,IF(A39&lt;'Données projet'!$A$36,$K$205^A39,IF(A39='Données projet'!$A$36,'Données projet'!$B$36,N38+M39-V38)))</f>
        <v>222</v>
      </c>
      <c r="O39" s="14">
        <f>N39*VLOOKUP('Données projet'!$B$9,Paramètres!$A$1:$I$89,3,0)*VLOOKUP('Données projet'!$B$9,Paramètres!$A$1:$I$89,5,0)</f>
        <v>103.896</v>
      </c>
      <c r="P39" s="14">
        <f t="shared" si="33"/>
        <v>27.888091127225799</v>
      </c>
      <c r="Q39" s="22">
        <f t="shared" si="53"/>
        <v>229.52395871325157</v>
      </c>
      <c r="R39" s="62">
        <f t="shared" si="0"/>
        <v>522.85729204658492</v>
      </c>
      <c r="S39" s="62">
        <f ca="1">AVERAGE(OFFSET($R$3,0,0,'Données projet'!$E$9+1,1))-AVERAGE(OFFSET($H$3,0,0,'Données projet'!$E$9+1,1))</f>
        <v>145.91567711893987</v>
      </c>
      <c r="T39" s="62">
        <f t="shared" si="34"/>
        <v>136.44398554363522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9.6</v>
      </c>
      <c r="AI39" s="14">
        <f>IF('Données projet'!$A$62&gt;35,AI38+AH39-AQ38,IF(A39&lt;'Données projet'!$A$62,$AF$205^A39,IF(A39='Données projet'!$A$62,'Données projet'!$B$62,AI38+AH39-AQ38)))</f>
        <v>152.59999999999997</v>
      </c>
      <c r="AJ39" s="14">
        <f>AI39*VLOOKUP('Données projet'!$B$10,Paramètres!$A$1:$I$89,3,0)*VLOOKUP('Données projet'!$B$10,Paramètres!$A$1:$I$89,5,0)</f>
        <v>133.31135999999998</v>
      </c>
      <c r="AK39" s="14">
        <f t="shared" si="35"/>
        <v>34.760393689821633</v>
      </c>
      <c r="AL39" s="22">
        <f t="shared" si="4"/>
        <v>292.72497100977256</v>
      </c>
      <c r="AM39" s="62">
        <f t="shared" si="5"/>
        <v>586.05830434310587</v>
      </c>
      <c r="AN39" s="62">
        <f ca="1">AVERAGE(OFFSET($AM$3,0,0,'Données projet'!$E$10+1,1))-AVERAGE(OFFSET($H$3,0,0,'Données projet'!$E$10+1,1))</f>
        <v>222.48114295382305</v>
      </c>
      <c r="AO39" s="62">
        <f t="shared" si="36"/>
        <v>261.55066338953611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22.737861860498104</v>
      </c>
      <c r="AV39" s="23">
        <f>EXP(-LN(2)/25)*AV38+(1-EXP(-LN(2)/25))/(LN(2)/25)*Calculateur!AQ39*Calculateur!AS39*VLOOKUP('Données projet'!$B$10,Paramètres!$A$1:$I$89,3,0)*0.475*44/12</f>
        <v>8.2811370708251246</v>
      </c>
      <c r="AW39" s="23">
        <f>EXP(-LN(2)/2)*AW38+(1-EXP(-LN(2)/2))/(LN(2)/2)*AQ39*AT39*VLOOKUP('Données projet'!$B$10,Paramètres!$A$1:$I$89,3,0)*0.475*44/12</f>
        <v>0.7292670807632734</v>
      </c>
      <c r="AX39" s="23">
        <f t="shared" si="6"/>
        <v>31.7482660120865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27.128399999999999</v>
      </c>
      <c r="D40" s="12">
        <f t="shared" si="32"/>
        <v>8.5138436537878803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275.13310890643277</v>
      </c>
      <c r="H40" s="70">
        <f t="shared" si="1"/>
        <v>355.41024103034721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7</v>
      </c>
      <c r="N40" s="14">
        <f>IF('Données projet'!$A$36&gt;35,N39+M40-V39,IF(A40&lt;'Données projet'!$A$36,$K$205^A40,IF(A40='Données projet'!$A$36,'Données projet'!$B$36,N39+M40-V39)))</f>
        <v>229</v>
      </c>
      <c r="O40" s="14">
        <f>N40*VLOOKUP('Données projet'!$B$9,Paramètres!$A$1:$I$89,3,0)*VLOOKUP('Données projet'!$B$9,Paramètres!$A$1:$I$89,5,0)</f>
        <v>107.172</v>
      </c>
      <c r="P40" s="14">
        <f t="shared" si="33"/>
        <v>28.663679082578788</v>
      </c>
      <c r="Q40" s="22">
        <f t="shared" si="53"/>
        <v>236.58047440215805</v>
      </c>
      <c r="R40" s="62">
        <f t="shared" si="0"/>
        <v>529.91380773549133</v>
      </c>
      <c r="S40" s="62">
        <f ca="1">AVERAGE(OFFSET($R$3,0,0,'Données projet'!$E$9+1,1))-AVERAGE(OFFSET($H$3,0,0,'Données projet'!$E$9+1,1))</f>
        <v>145.91567711893987</v>
      </c>
      <c r="T40" s="62">
        <f t="shared" si="34"/>
        <v>136.44398554363522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9.6</v>
      </c>
      <c r="AI40" s="14">
        <f>IF('Données projet'!$A$62&gt;35,AI39+AH40-AQ39,IF(A40&lt;'Données projet'!$A$62,$AF$205^A40,IF(A40='Données projet'!$A$62,'Données projet'!$B$62,AI39+AH40-AQ39)))</f>
        <v>162.19999999999996</v>
      </c>
      <c r="AJ40" s="14">
        <f>AI40*VLOOKUP('Données projet'!$B$10,Paramètres!$A$1:$I$89,3,0)*VLOOKUP('Données projet'!$B$10,Paramètres!$A$1:$I$89,5,0)</f>
        <v>141.69791999999998</v>
      </c>
      <c r="AK40" s="14">
        <f t="shared" si="35"/>
        <v>36.685701801209362</v>
      </c>
      <c r="AL40" s="22">
        <f t="shared" si="4"/>
        <v>310.68480797043964</v>
      </c>
      <c r="AM40" s="62">
        <f t="shared" si="5"/>
        <v>604.01814130377295</v>
      </c>
      <c r="AN40" s="62">
        <f ca="1">AVERAGE(OFFSET($AM$3,0,0,'Données projet'!$E$10+1,1))-AVERAGE(OFFSET($H$3,0,0,'Données projet'!$E$10+1,1))</f>
        <v>222.48114295382305</v>
      </c>
      <c r="AO40" s="62">
        <f t="shared" si="36"/>
        <v>261.55066338953611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22.291986258140049</v>
      </c>
      <c r="AV40" s="23">
        <f>EXP(-LN(2)/25)*AV39+(1-EXP(-LN(2)/25))/(LN(2)/25)*Calculateur!AQ40*Calculateur!AS40*VLOOKUP('Données projet'!$B$10,Paramètres!$A$1:$I$89,3,0)*0.475*44/12</f>
        <v>8.0546889421373393</v>
      </c>
      <c r="AW40" s="23">
        <f>EXP(-LN(2)/2)*AW39+(1-EXP(-LN(2)/2))/(LN(2)/2)*AQ40*AT40*VLOOKUP('Données projet'!$B$10,Paramètres!$A$1:$I$89,3,0)*0.475*44/12</f>
        <v>0.51566969810382823</v>
      </c>
      <c r="AX40" s="23">
        <f t="shared" si="6"/>
        <v>30.862344898381217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27.861599999999999</v>
      </c>
      <c r="D41" s="12">
        <f t="shared" si="32"/>
        <v>8.7168467992286693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282.35994020457218</v>
      </c>
      <c r="H41" s="70">
        <f t="shared" si="1"/>
        <v>357.04079484198991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7</v>
      </c>
      <c r="N41" s="14">
        <f>IF('Données projet'!$A$36&gt;35,N40+M41-V40,IF(A41&lt;'Données projet'!$A$36,$K$205^A41,IF(A41='Données projet'!$A$36,'Données projet'!$B$36,N40+M41-V40)))</f>
        <v>236</v>
      </c>
      <c r="O41" s="14">
        <f>N41*VLOOKUP('Données projet'!$B$9,Paramètres!$A$1:$I$89,3,0)*VLOOKUP('Données projet'!$B$9,Paramètres!$A$1:$I$89,5,0)</f>
        <v>110.44799999999999</v>
      </c>
      <c r="P41" s="14">
        <f t="shared" si="33"/>
        <v>29.436511885319565</v>
      </c>
      <c r="Q41" s="22">
        <f t="shared" si="53"/>
        <v>243.63219153359822</v>
      </c>
      <c r="R41" s="62">
        <f t="shared" si="0"/>
        <v>536.96552486693156</v>
      </c>
      <c r="S41" s="62">
        <f ca="1">AVERAGE(OFFSET($R$3,0,0,'Données projet'!$E$9+1,1))-AVERAGE(OFFSET($H$3,0,0,'Données projet'!$E$9+1,1))</f>
        <v>145.91567711893987</v>
      </c>
      <c r="T41" s="62">
        <f t="shared" si="34"/>
        <v>136.44398554363522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9.6</v>
      </c>
      <c r="AI41" s="14">
        <f>IF('Données projet'!$A$62&gt;35,AI40+AH41-AQ40,IF(A41&lt;'Données projet'!$A$62,$AF$205^A41,IF(A41='Données projet'!$A$62,'Données projet'!$B$62,AI40+AH41-AQ40)))</f>
        <v>171.79999999999995</v>
      </c>
      <c r="AJ41" s="14">
        <f>AI41*VLOOKUP('Données projet'!$B$10,Paramètres!$A$1:$I$89,3,0)*VLOOKUP('Données projet'!$B$10,Paramètres!$A$1:$I$89,5,0)</f>
        <v>150.08447999999999</v>
      </c>
      <c r="AK41" s="14">
        <f t="shared" si="35"/>
        <v>38.597783374841299</v>
      </c>
      <c r="AL41" s="22">
        <f t="shared" si="4"/>
        <v>328.62160871118186</v>
      </c>
      <c r="AM41" s="62">
        <f t="shared" si="5"/>
        <v>621.95494204451518</v>
      </c>
      <c r="AN41" s="62">
        <f ca="1">AVERAGE(OFFSET($AM$3,0,0,'Données projet'!$E$10+1,1))-AVERAGE(OFFSET($H$3,0,0,'Données projet'!$E$10+1,1))</f>
        <v>222.48114295382305</v>
      </c>
      <c r="AO41" s="62">
        <f t="shared" si="36"/>
        <v>261.55066338953611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21.854854004386972</v>
      </c>
      <c r="AV41" s="23">
        <f>EXP(-LN(2)/25)*AV40+(1-EXP(-LN(2)/25))/(LN(2)/25)*Calculateur!AQ41*Calculateur!AS41*VLOOKUP('Données projet'!$B$10,Paramètres!$A$1:$I$89,3,0)*0.475*44/12</f>
        <v>7.8344330494369112</v>
      </c>
      <c r="AW41" s="23">
        <f>EXP(-LN(2)/2)*AW40+(1-EXP(-LN(2)/2))/(LN(2)/2)*AQ41*AT41*VLOOKUP('Données projet'!$B$10,Paramètres!$A$1:$I$89,3,0)*0.475*44/12</f>
        <v>0.3646335403816367</v>
      </c>
      <c r="AX41" s="23">
        <f t="shared" si="6"/>
        <v>30.053920594205518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28.594799999999999</v>
      </c>
      <c r="D42" s="12">
        <f t="shared" si="32"/>
        <v>8.9192289896543855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289.58197816575318</v>
      </c>
      <c r="H42" s="70">
        <f t="shared" si="1"/>
        <v>358.67026715698137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7</v>
      </c>
      <c r="N42" s="14">
        <f>IF('Données projet'!$A$36&gt;35,N41+M42-V41,IF(A42&lt;'Données projet'!$A$36,$K$205^A42,IF(A42='Données projet'!$A$36,'Données projet'!$B$36,N41+M42-V41)))</f>
        <v>243</v>
      </c>
      <c r="O42" s="14">
        <f>N42*VLOOKUP('Données projet'!$B$9,Paramètres!$A$1:$I$89,3,0)*VLOOKUP('Données projet'!$B$9,Paramètres!$A$1:$I$89,5,0)</f>
        <v>113.72399999999999</v>
      </c>
      <c r="P42" s="14">
        <f t="shared" si="33"/>
        <v>30.206680638130489</v>
      </c>
      <c r="Q42" s="22">
        <f t="shared" si="53"/>
        <v>250.67926877807722</v>
      </c>
      <c r="R42" s="62">
        <f t="shared" si="0"/>
        <v>544.0126021114105</v>
      </c>
      <c r="S42" s="62">
        <f ca="1">AVERAGE(OFFSET($R$3,0,0,'Données projet'!$E$9+1,1))-AVERAGE(OFFSET($H$3,0,0,'Données projet'!$E$9+1,1))</f>
        <v>145.91567711893987</v>
      </c>
      <c r="T42" s="62">
        <f t="shared" si="34"/>
        <v>136.44398554363522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9.6</v>
      </c>
      <c r="AI42" s="14">
        <f>IF('Données projet'!$A$62&gt;35,AI41+AH42-AQ41,IF(A42&lt;'Données projet'!$A$62,$AF$205^A42,IF(A42='Données projet'!$A$62,'Données projet'!$B$62,AI41+AH42-AQ41)))</f>
        <v>181.39999999999995</v>
      </c>
      <c r="AJ42" s="14">
        <f>AI42*VLOOKUP('Données projet'!$B$10,Paramètres!$A$1:$I$89,3,0)*VLOOKUP('Données projet'!$B$10,Paramètres!$A$1:$I$89,5,0)</f>
        <v>158.47103999999996</v>
      </c>
      <c r="AK42" s="14">
        <f t="shared" si="35"/>
        <v>40.497461727609561</v>
      </c>
      <c r="AL42" s="22">
        <f t="shared" si="4"/>
        <v>346.53680717558655</v>
      </c>
      <c r="AM42" s="62">
        <f t="shared" si="5"/>
        <v>639.8701405089198</v>
      </c>
      <c r="AN42" s="62">
        <f ca="1">AVERAGE(OFFSET($AM$3,0,0,'Données projet'!$E$10+1,1))-AVERAGE(OFFSET($H$3,0,0,'Données projet'!$E$10+1,1))</f>
        <v>222.48114295382305</v>
      </c>
      <c r="AO42" s="62">
        <f t="shared" si="36"/>
        <v>261.55066338953611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21.426293647505645</v>
      </c>
      <c r="AV42" s="23">
        <f>EXP(-LN(2)/25)*AV41+(1-EXP(-LN(2)/25))/(LN(2)/25)*Calculateur!AQ42*Calculateur!AS42*VLOOKUP('Données projet'!$B$10,Paramètres!$A$1:$I$89,3,0)*0.475*44/12</f>
        <v>7.6202000657051308</v>
      </c>
      <c r="AW42" s="23">
        <f>EXP(-LN(2)/2)*AW41+(1-EXP(-LN(2)/2))/(LN(2)/2)*AQ42*AT42*VLOOKUP('Données projet'!$B$10,Paramètres!$A$1:$I$89,3,0)*0.475*44/12</f>
        <v>0.25783484905191412</v>
      </c>
      <c r="AX42" s="23">
        <f t="shared" si="6"/>
        <v>29.30432856226269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29.327999999999999</v>
      </c>
      <c r="D43" s="12">
        <f t="shared" si="32"/>
        <v>9.1210079777371842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296.79935982814669</v>
      </c>
      <c r="H43" s="70">
        <f t="shared" si="1"/>
        <v>360.29868889455889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250</v>
      </c>
      <c r="L43" s="13">
        <f>VLOOKUP(A43,'Données projet'!$A$35:$I$55,9,0)</f>
        <v>7</v>
      </c>
      <c r="M43" s="13">
        <f t="array" ref="M43">INDEX(L:L,MIN(IF(ISNUMBER(L43:L239),ROW(L43:L239),"")))</f>
        <v>7</v>
      </c>
      <c r="N43" s="14">
        <f>IF('Données projet'!$A$36&gt;35,N42+M43-V42,IF(A43&lt;'Données projet'!$A$36,$K$205^A43,IF(A43='Données projet'!$A$36,'Données projet'!$B$36,N42+M43-V42)))</f>
        <v>250</v>
      </c>
      <c r="O43" s="14">
        <f>N43*VLOOKUP('Données projet'!$B$9,Paramètres!$A$1:$I$89,3,0)*VLOOKUP('Données projet'!$B$9,Paramètres!$A$1:$I$89,5,0)</f>
        <v>117</v>
      </c>
      <c r="P43" s="14">
        <f t="shared" si="33"/>
        <v>30.974270896484146</v>
      </c>
      <c r="Q43" s="22">
        <f t="shared" si="53"/>
        <v>257.72185514470988</v>
      </c>
      <c r="R43" s="62">
        <f t="shared" si="0"/>
        <v>551.05518847804319</v>
      </c>
      <c r="S43" s="62">
        <f ca="1">AVERAGE(OFFSET($R$3,0,0,'Données projet'!$E$9+1,1))-AVERAGE(OFFSET($H$3,0,0,'Données projet'!$E$9+1,1))</f>
        <v>145.91567711893987</v>
      </c>
      <c r="T43" s="62">
        <f t="shared" si="34"/>
        <v>136.44398554363522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63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191</v>
      </c>
      <c r="AG43" s="13">
        <f>VLOOKUP(A43,'Données projet'!$A$61:$I$81,9,0)</f>
        <v>9.6</v>
      </c>
      <c r="AH43" s="13">
        <f t="array" ref="AH43">INDEX(AG:AG,MIN(IF(ISNUMBER(AG43:AG239),ROW(AG43:AG239),"")))</f>
        <v>9.6</v>
      </c>
      <c r="AI43" s="14">
        <f>IF('Données projet'!$A$62&gt;35,AI42+AH43-AQ42,IF(A43&lt;'Données projet'!$A$62,$AF$205^A43,IF(A43='Données projet'!$A$62,'Données projet'!$B$62,AI42+AH43-AQ42)))</f>
        <v>190.99999999999994</v>
      </c>
      <c r="AJ43" s="14">
        <f>AI43*VLOOKUP('Données projet'!$B$10,Paramètres!$A$1:$I$89,3,0)*VLOOKUP('Données projet'!$B$10,Paramètres!$A$1:$I$89,5,0)</f>
        <v>166.85759999999996</v>
      </c>
      <c r="AK43" s="14">
        <f t="shared" si="35"/>
        <v>42.385468111966098</v>
      </c>
      <c r="AL43" s="22">
        <f t="shared" si="4"/>
        <v>364.43167696167421</v>
      </c>
      <c r="AM43" s="62">
        <f t="shared" si="5"/>
        <v>657.76501029500753</v>
      </c>
      <c r="AN43" s="62">
        <f ca="1">AVERAGE(OFFSET($AM$3,0,0,'Données projet'!$E$10+1,1))-AVERAGE(OFFSET($H$3,0,0,'Données projet'!$E$10+1,1))</f>
        <v>222.48114295382305</v>
      </c>
      <c r="AO43" s="62">
        <f t="shared" si="36"/>
        <v>261.55066338953611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33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21.006137097826752</v>
      </c>
      <c r="AV43" s="23">
        <f>EXP(-LN(2)/25)*AV42+(1-EXP(-LN(2)/25))/(LN(2)/25)*Calculateur!AQ43*Calculateur!AS43*VLOOKUP('Données projet'!$B$10,Paramètres!$A$1:$I$89,3,0)*0.475*44/12</f>
        <v>7.4118252941795184</v>
      </c>
      <c r="AW43" s="23">
        <f>EXP(-LN(2)/2)*AW42+(1-EXP(-LN(2)/2))/(LN(2)/2)*AQ43*AT43*VLOOKUP('Données projet'!$B$10,Paramètres!$A$1:$I$89,3,0)*0.475*44/12</f>
        <v>0.18231677019081835</v>
      </c>
      <c r="AX43" s="23">
        <f t="shared" si="6"/>
        <v>28.60027916219709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30.061199999999999</v>
      </c>
      <c r="D44" s="12">
        <f t="shared" si="32"/>
        <v>9.3222005779260471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304.01221498749936</v>
      </c>
      <c r="H44" s="70">
        <f t="shared" si="1"/>
        <v>361.92608933988788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7</v>
      </c>
      <c r="N44" s="14">
        <f>IF('Données projet'!$A$36&gt;35,N43+M44-V43,IF(A44&lt;'Données projet'!$A$36,$K$205^A44,IF(A44='Données projet'!$A$36,'Données projet'!$B$36,N43+M44-V43)))</f>
        <v>194</v>
      </c>
      <c r="O44" s="14">
        <f>N44*VLOOKUP('Données projet'!$B$9,Paramètres!$A$1:$I$89,3,0)*VLOOKUP('Données projet'!$B$9,Paramètres!$A$1:$I$89,5,0)</f>
        <v>90.792000000000002</v>
      </c>
      <c r="P44" s="14">
        <f t="shared" si="33"/>
        <v>24.756138813110173</v>
      </c>
      <c r="Q44" s="22">
        <f t="shared" si="53"/>
        <v>201.24634176616689</v>
      </c>
      <c r="R44" s="62">
        <f t="shared" si="0"/>
        <v>494.57967509950021</v>
      </c>
      <c r="S44" s="62">
        <f ca="1">AVERAGE(OFFSET($R$3,0,0,'Données projet'!$E$9+1,1))-AVERAGE(OFFSET($H$3,0,0,'Données projet'!$E$9+1,1))</f>
        <v>145.91567711893987</v>
      </c>
      <c r="T44" s="62">
        <f t="shared" si="34"/>
        <v>136.44398554363522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8.6</v>
      </c>
      <c r="AI44" s="14">
        <f>IF('Données projet'!$A$62&gt;35,AI43+AH44-AQ43,IF(A44&lt;'Données projet'!$A$62,$AF$205^A44,IF(A44='Données projet'!$A$62,'Données projet'!$B$62,AI43+AH44-AQ43)))</f>
        <v>166.59999999999994</v>
      </c>
      <c r="AJ44" s="14">
        <f>AI44*VLOOKUP('Données projet'!$B$10,Paramètres!$A$1:$I$89,3,0)*VLOOKUP('Données projet'!$B$10,Paramètres!$A$1:$I$89,5,0)</f>
        <v>145.54175999999998</v>
      </c>
      <c r="AK44" s="14">
        <f t="shared" si="35"/>
        <v>37.563662342876064</v>
      </c>
      <c r="AL44" s="22">
        <f t="shared" si="4"/>
        <v>318.90861058050911</v>
      </c>
      <c r="AM44" s="62">
        <f t="shared" si="5"/>
        <v>612.24194391384242</v>
      </c>
      <c r="AN44" s="62">
        <f ca="1">AVERAGE(OFFSET($AM$3,0,0,'Données projet'!$E$10+1,1))-AVERAGE(OFFSET($H$3,0,0,'Données projet'!$E$10+1,1))</f>
        <v>222.48114295382305</v>
      </c>
      <c r="AO44" s="62">
        <f t="shared" si="36"/>
        <v>261.55066338953611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20.594219561816871</v>
      </c>
      <c r="AV44" s="23">
        <f>EXP(-LN(2)/25)*AV43+(1-EXP(-LN(2)/25))/(LN(2)/25)*Calculateur!AQ44*Calculateur!AS44*VLOOKUP('Données projet'!$B$10,Paramètres!$A$1:$I$89,3,0)*0.475*44/12</f>
        <v>7.2091485417392276</v>
      </c>
      <c r="AW44" s="23">
        <f>EXP(-LN(2)/2)*AW43+(1-EXP(-LN(2)/2))/(LN(2)/2)*AQ44*AT44*VLOOKUP('Données projet'!$B$10,Paramètres!$A$1:$I$89,3,0)*0.475*44/12</f>
        <v>0.12891742452595706</v>
      </c>
      <c r="AX44" s="23">
        <f t="shared" si="6"/>
        <v>27.932285528082058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30.7944</v>
      </c>
      <c r="D45" s="12">
        <f t="shared" si="32"/>
        <v>9.5228227376882337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311.22066674706707</v>
      </c>
      <c r="H45" s="70">
        <f t="shared" si="1"/>
        <v>363.55249626814032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7</v>
      </c>
      <c r="N45" s="14">
        <f>IF('Données projet'!$A$36&gt;35,N44+M45-V44,IF(A45&lt;'Données projet'!$A$36,$K$205^A45,IF(A45='Données projet'!$A$36,'Données projet'!$B$36,N44+M45-V44)))</f>
        <v>201</v>
      </c>
      <c r="O45" s="14">
        <f>N45*VLOOKUP('Données projet'!$B$9,Paramètres!$A$1:$I$89,3,0)*VLOOKUP('Données projet'!$B$9,Paramètres!$A$1:$I$89,5,0)</f>
        <v>94.067999999999998</v>
      </c>
      <c r="P45" s="14">
        <f t="shared" si="33"/>
        <v>25.543790108694029</v>
      </c>
      <c r="Q45" s="22">
        <f t="shared" si="53"/>
        <v>208.32386777264207</v>
      </c>
      <c r="R45" s="62">
        <f t="shared" si="0"/>
        <v>501.65720110597539</v>
      </c>
      <c r="S45" s="62">
        <f ca="1">AVERAGE(OFFSET($R$3,0,0,'Données projet'!$E$9+1,1))-AVERAGE(OFFSET($H$3,0,0,'Données projet'!$E$9+1,1))</f>
        <v>145.91567711893987</v>
      </c>
      <c r="T45" s="62">
        <f t="shared" si="34"/>
        <v>136.44398554363522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8.6</v>
      </c>
      <c r="AI45" s="14">
        <f>IF('Données projet'!$A$62&gt;35,AI44+AH45-AQ44,IF(A45&lt;'Données projet'!$A$62,$AF$205^A45,IF(A45='Données projet'!$A$62,'Données projet'!$B$62,AI44+AH45-AQ44)))</f>
        <v>175.19999999999993</v>
      </c>
      <c r="AJ45" s="14">
        <f>AI45*VLOOKUP('Données projet'!$B$10,Paramètres!$A$1:$I$89,3,0)*VLOOKUP('Données projet'!$B$10,Paramètres!$A$1:$I$89,5,0)</f>
        <v>153.05471999999995</v>
      </c>
      <c r="AK45" s="14">
        <f t="shared" si="35"/>
        <v>39.271965088385166</v>
      </c>
      <c r="AL45" s="22">
        <f t="shared" si="4"/>
        <v>334.96897652893739</v>
      </c>
      <c r="AM45" s="62">
        <f t="shared" si="5"/>
        <v>628.3023098622707</v>
      </c>
      <c r="AN45" s="62">
        <f ca="1">AVERAGE(OFFSET($AM$3,0,0,'Données projet'!$E$10+1,1))-AVERAGE(OFFSET($H$3,0,0,'Données projet'!$E$10+1,1))</f>
        <v>222.48114295382305</v>
      </c>
      <c r="AO45" s="62">
        <f t="shared" si="36"/>
        <v>261.55066338953611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20.190379477443255</v>
      </c>
      <c r="AV45" s="23">
        <f>EXP(-LN(2)/25)*AV44+(1-EXP(-LN(2)/25))/(LN(2)/25)*Calculateur!AQ45*Calculateur!AS45*VLOOKUP('Données projet'!$B$10,Paramètres!$A$1:$I$89,3,0)*0.475*44/12</f>
        <v>7.0120139957527234</v>
      </c>
      <c r="AW45" s="23">
        <f>EXP(-LN(2)/2)*AW44+(1-EXP(-LN(2)/2))/(LN(2)/2)*AQ45*AT45*VLOOKUP('Données projet'!$B$10,Paramètres!$A$1:$I$89,3,0)*0.475*44/12</f>
        <v>9.1158385095409175E-2</v>
      </c>
      <c r="AX45" s="23">
        <f t="shared" si="6"/>
        <v>27.293551858291387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31.5276</v>
      </c>
      <c r="D46" s="12">
        <f t="shared" si="32"/>
        <v>9.7228896017746997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318.42483201369947</v>
      </c>
      <c r="H46" s="70">
        <f t="shared" si="1"/>
        <v>365.17793605642424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7</v>
      </c>
      <c r="N46" s="14">
        <f>IF('Données projet'!$A$36&gt;35,N45+M46-V45,IF(A46&lt;'Données projet'!$A$36,$K$205^A46,IF(A46='Données projet'!$A$36,'Données projet'!$B$36,N45+M46-V45)))</f>
        <v>208</v>
      </c>
      <c r="O46" s="14">
        <f>N46*VLOOKUP('Données projet'!$B$9,Paramètres!$A$1:$I$89,3,0)*VLOOKUP('Données projet'!$B$9,Paramètres!$A$1:$I$89,5,0)</f>
        <v>97.343999999999994</v>
      </c>
      <c r="P46" s="14">
        <f t="shared" si="33"/>
        <v>26.328254259866451</v>
      </c>
      <c r="Q46" s="22">
        <f t="shared" si="53"/>
        <v>215.39584283593408</v>
      </c>
      <c r="R46" s="62">
        <f t="shared" si="0"/>
        <v>508.72917616926736</v>
      </c>
      <c r="S46" s="62">
        <f ca="1">AVERAGE(OFFSET($R$3,0,0,'Données projet'!$E$9+1,1))-AVERAGE(OFFSET($H$3,0,0,'Données projet'!$E$9+1,1))</f>
        <v>145.91567711893987</v>
      </c>
      <c r="T46" s="62">
        <f t="shared" si="34"/>
        <v>136.44398554363522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8.6</v>
      </c>
      <c r="AI46" s="14">
        <f>IF('Données projet'!$A$62&gt;35,AI45+AH46-AQ45,IF(A46&lt;'Données projet'!$A$62,$AF$205^A46,IF(A46='Données projet'!$A$62,'Données projet'!$B$62,AI45+AH46-AQ45)))</f>
        <v>183.79999999999993</v>
      </c>
      <c r="AJ46" s="14">
        <f>AI46*VLOOKUP('Données projet'!$B$10,Paramètres!$A$1:$I$89,3,0)*VLOOKUP('Données projet'!$B$10,Paramètres!$A$1:$I$89,5,0)</f>
        <v>160.56767999999997</v>
      </c>
      <c r="AK46" s="14">
        <f t="shared" si="35"/>
        <v>40.970530810309882</v>
      </c>
      <c r="AL46" s="22">
        <f t="shared" si="4"/>
        <v>351.01238382795628</v>
      </c>
      <c r="AM46" s="62">
        <f t="shared" si="5"/>
        <v>644.3457171612896</v>
      </c>
      <c r="AN46" s="62">
        <f ca="1">AVERAGE(OFFSET($AM$3,0,0,'Données projet'!$E$10+1,1))-AVERAGE(OFFSET($H$3,0,0,'Données projet'!$E$10+1,1))</f>
        <v>222.48114295382305</v>
      </c>
      <c r="AO46" s="62">
        <f t="shared" si="36"/>
        <v>261.55066338953611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19.794458450806076</v>
      </c>
      <c r="AV46" s="23">
        <f>EXP(-LN(2)/25)*AV45+(1-EXP(-LN(2)/25))/(LN(2)/25)*Calculateur!AQ46*Calculateur!AS46*VLOOKUP('Données projet'!$B$10,Paramètres!$A$1:$I$89,3,0)*0.475*44/12</f>
        <v>6.8202701042930753</v>
      </c>
      <c r="AW46" s="23">
        <f>EXP(-LN(2)/2)*AW45+(1-EXP(-LN(2)/2))/(LN(2)/2)*AQ46*AT46*VLOOKUP('Données projet'!$B$10,Paramètres!$A$1:$I$89,3,0)*0.475*44/12</f>
        <v>6.4458712262978529E-2</v>
      </c>
      <c r="AX46" s="23">
        <f t="shared" si="6"/>
        <v>26.679187267362131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32.260799999999996</v>
      </c>
      <c r="D47" s="12">
        <f t="shared" si="32"/>
        <v>9.9224155703389041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325.62482194647572</v>
      </c>
      <c r="H47" s="70">
        <f t="shared" si="1"/>
        <v>366.80243378500688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7</v>
      </c>
      <c r="N47" s="14">
        <f>IF('Données projet'!$A$36&gt;35,N46+M47-V46,IF(A47&lt;'Données projet'!$A$36,$K$205^A47,IF(A47='Données projet'!$A$36,'Données projet'!$B$36,N46+M47-V46)))</f>
        <v>215</v>
      </c>
      <c r="O47" s="14">
        <f>N47*VLOOKUP('Données projet'!$B$9,Paramètres!$A$1:$I$89,3,0)*VLOOKUP('Données projet'!$B$9,Paramètres!$A$1:$I$89,5,0)</f>
        <v>100.61999999999999</v>
      </c>
      <c r="P47" s="14">
        <f t="shared" si="33"/>
        <v>27.10965082293415</v>
      </c>
      <c r="Q47" s="22">
        <f t="shared" si="53"/>
        <v>222.46247518327695</v>
      </c>
      <c r="R47" s="62">
        <f t="shared" si="0"/>
        <v>515.79580851661024</v>
      </c>
      <c r="S47" s="62">
        <f ca="1">AVERAGE(OFFSET($R$3,0,0,'Données projet'!$E$9+1,1))-AVERAGE(OFFSET($H$3,0,0,'Données projet'!$E$9+1,1))</f>
        <v>145.91567711893987</v>
      </c>
      <c r="T47" s="62">
        <f t="shared" si="34"/>
        <v>136.44398554363522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8.6</v>
      </c>
      <c r="AI47" s="14">
        <f>IF('Données projet'!$A$62&gt;35,AI46+AH47-AQ46,IF(A47&lt;'Données projet'!$A$62,$AF$205^A47,IF(A47='Données projet'!$A$62,'Données projet'!$B$62,AI46+AH47-AQ46)))</f>
        <v>192.39999999999992</v>
      </c>
      <c r="AJ47" s="14">
        <f>AI47*VLOOKUP('Données projet'!$B$10,Paramètres!$A$1:$I$89,3,0)*VLOOKUP('Données projet'!$B$10,Paramètres!$A$1:$I$89,5,0)</f>
        <v>168.08063999999996</v>
      </c>
      <c r="AK47" s="14">
        <f t="shared" si="35"/>
        <v>42.659867131343425</v>
      </c>
      <c r="AL47" s="22">
        <f t="shared" si="4"/>
        <v>367.03971658708974</v>
      </c>
      <c r="AM47" s="62">
        <f t="shared" si="5"/>
        <v>660.373049920423</v>
      </c>
      <c r="AN47" s="62">
        <f ca="1">AVERAGE(OFFSET($AM$3,0,0,'Données projet'!$E$10+1,1))-AVERAGE(OFFSET($H$3,0,0,'Données projet'!$E$10+1,1))</f>
        <v>222.48114295382305</v>
      </c>
      <c r="AO47" s="62">
        <f t="shared" si="36"/>
        <v>261.55066338953611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19.40630119401327</v>
      </c>
      <c r="AV47" s="23">
        <f>EXP(-LN(2)/25)*AV46+(1-EXP(-LN(2)/25))/(LN(2)/25)*Calculateur!AQ47*Calculateur!AS47*VLOOKUP('Données projet'!$B$10,Paramètres!$A$1:$I$89,3,0)*0.475*44/12</f>
        <v>6.6337694596287644</v>
      </c>
      <c r="AW47" s="23">
        <f>EXP(-LN(2)/2)*AW46+(1-EXP(-LN(2)/2))/(LN(2)/2)*AQ47*AT47*VLOOKUP('Données projet'!$B$10,Paramètres!$A$1:$I$89,3,0)*0.475*44/12</f>
        <v>4.5579192547704588E-2</v>
      </c>
      <c r="AX47" s="23">
        <f t="shared" si="6"/>
        <v>26.085649846189739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32.993999999999993</v>
      </c>
      <c r="D48" s="12">
        <f t="shared" si="32"/>
        <v>10.121414351623134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332.82074236340662</v>
      </c>
      <c r="H48" s="70">
        <f t="shared" si="1"/>
        <v>368.42601332907691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7</v>
      </c>
      <c r="N48" s="14">
        <f>IF('Données projet'!$A$36&gt;35,N47+M48-V47,IF(A48&lt;'Données projet'!$A$36,$K$205^A48,IF(A48='Données projet'!$A$36,'Données projet'!$B$36,N47+M48-V47)))</f>
        <v>222</v>
      </c>
      <c r="O48" s="14">
        <f>N48*VLOOKUP('Données projet'!$B$9,Paramètres!$A$1:$I$89,3,0)*VLOOKUP('Données projet'!$B$9,Paramètres!$A$1:$I$89,5,0)</f>
        <v>103.896</v>
      </c>
      <c r="P48" s="14">
        <f t="shared" si="33"/>
        <v>27.888091127225799</v>
      </c>
      <c r="Q48" s="22">
        <f t="shared" si="53"/>
        <v>229.52395871325157</v>
      </c>
      <c r="R48" s="62">
        <f t="shared" si="0"/>
        <v>522.85729204658492</v>
      </c>
      <c r="S48" s="62">
        <f ca="1">AVERAGE(OFFSET($R$3,0,0,'Données projet'!$E$9+1,1))-AVERAGE(OFFSET($H$3,0,0,'Données projet'!$E$9+1,1))</f>
        <v>145.91567711893987</v>
      </c>
      <c r="T48" s="62">
        <f t="shared" si="34"/>
        <v>136.44398554363522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201</v>
      </c>
      <c r="AG48" s="13">
        <f>VLOOKUP(A48,'Données projet'!$A$61:$I$81,9,0)</f>
        <v>8.6</v>
      </c>
      <c r="AH48" s="13">
        <f t="array" ref="AH48">INDEX(AG:AG,MIN(IF(ISNUMBER(AG48:AG244),ROW(AG48:AG244),"")))</f>
        <v>8.6</v>
      </c>
      <c r="AI48" s="14">
        <f>IF('Données projet'!$A$62&gt;35,AI47+AH48-AQ47,IF(A48&lt;'Données projet'!$A$62,$AF$205^A48,IF(A48='Données projet'!$A$62,'Données projet'!$B$62,AI47+AH48-AQ47)))</f>
        <v>200.99999999999991</v>
      </c>
      <c r="AJ48" s="14">
        <f>AI48*VLOOKUP('Données projet'!$B$10,Paramètres!$A$1:$I$89,3,0)*VLOOKUP('Données projet'!$B$10,Paramètres!$A$1:$I$89,5,0)</f>
        <v>175.59359999999995</v>
      </c>
      <c r="AK48" s="14">
        <f t="shared" si="35"/>
        <v>44.340433728638573</v>
      </c>
      <c r="AL48" s="22">
        <f t="shared" si="4"/>
        <v>383.05177541071203</v>
      </c>
      <c r="AM48" s="62">
        <f t="shared" si="5"/>
        <v>676.38510874404528</v>
      </c>
      <c r="AN48" s="62">
        <f ca="1">AVERAGE(OFFSET($AM$3,0,0,'Données projet'!$E$10+1,1))-AVERAGE(OFFSET($H$3,0,0,'Données projet'!$E$10+1,1))</f>
        <v>222.48114295382305</v>
      </c>
      <c r="AO48" s="62">
        <f t="shared" si="36"/>
        <v>261.55066338953611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31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19.025755464273622</v>
      </c>
      <c r="AV48" s="23">
        <f>EXP(-LN(2)/25)*AV47+(1-EXP(-LN(2)/25))/(LN(2)/25)*Calculateur!AQ48*Calculateur!AS48*VLOOKUP('Données projet'!$B$10,Paramètres!$A$1:$I$89,3,0)*0.475*44/12</f>
        <v>6.452368684900442</v>
      </c>
      <c r="AW48" s="23">
        <f>EXP(-LN(2)/2)*AW47+(1-EXP(-LN(2)/2))/(LN(2)/2)*AQ48*AT48*VLOOKUP('Données projet'!$B$10,Paramètres!$A$1:$I$89,3,0)*0.475*44/12</f>
        <v>3.2229356131489265E-2</v>
      </c>
      <c r="AX48" s="23">
        <f t="shared" si="6"/>
        <v>25.510353505305552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33.727199999999989</v>
      </c>
      <c r="D49" s="12">
        <f t="shared" si="32"/>
        <v>10.319899009829577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340.01269411096507</v>
      </c>
      <c r="H49" s="70">
        <f t="shared" si="1"/>
        <v>370.04869744211982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</v>
      </c>
      <c r="N49" s="14">
        <f>IF('Données projet'!$A$36&gt;35,N48+M49-V48,IF(A49&lt;'Données projet'!$A$36,$K$205^A49,IF(A49='Données projet'!$A$36,'Données projet'!$B$36,N48+M49-V48)))</f>
        <v>229</v>
      </c>
      <c r="O49" s="14">
        <f>N49*VLOOKUP('Données projet'!$B$9,Paramètres!$A$1:$I$89,3,0)*VLOOKUP('Données projet'!$B$9,Paramètres!$A$1:$I$89,5,0)</f>
        <v>107.172</v>
      </c>
      <c r="P49" s="14">
        <f t="shared" si="33"/>
        <v>28.663679082578788</v>
      </c>
      <c r="Q49" s="22">
        <f t="shared" si="53"/>
        <v>236.58047440215805</v>
      </c>
      <c r="R49" s="62">
        <f t="shared" si="0"/>
        <v>529.91380773549133</v>
      </c>
      <c r="S49" s="62">
        <f ca="1">AVERAGE(OFFSET($R$3,0,0,'Données projet'!$E$9+1,1))-AVERAGE(OFFSET($H$3,0,0,'Données projet'!$E$9+1,1))</f>
        <v>145.91567711893987</v>
      </c>
      <c r="T49" s="62">
        <f t="shared" si="34"/>
        <v>136.44398554363522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7.8</v>
      </c>
      <c r="AI49" s="14">
        <f>IF('Données projet'!$A$62&gt;35,AI48+AH49-AQ48,IF(A49&lt;'Données projet'!$A$62,$AF$205^A49,IF(A49='Données projet'!$A$62,'Données projet'!$B$62,AI48+AH49-AQ48)))</f>
        <v>177.79999999999993</v>
      </c>
      <c r="AJ49" s="14">
        <f>AI49*VLOOKUP('Données projet'!$B$10,Paramètres!$A$1:$I$89,3,0)*VLOOKUP('Données projet'!$B$10,Paramètres!$A$1:$I$89,5,0)</f>
        <v>155.32607999999996</v>
      </c>
      <c r="AK49" s="14">
        <f t="shared" si="35"/>
        <v>39.786487601092411</v>
      </c>
      <c r="AL49" s="22">
        <f t="shared" si="4"/>
        <v>339.82105523856922</v>
      </c>
      <c r="AM49" s="62">
        <f t="shared" si="5"/>
        <v>633.15438857190247</v>
      </c>
      <c r="AN49" s="62">
        <f ca="1">AVERAGE(OFFSET($AM$3,0,0,'Données projet'!$E$10+1,1))-AVERAGE(OFFSET($H$3,0,0,'Données projet'!$E$10+1,1))</f>
        <v>222.48114295382305</v>
      </c>
      <c r="AO49" s="62">
        <f t="shared" si="36"/>
        <v>261.55066338953611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18.652672004184193</v>
      </c>
      <c r="AV49" s="23">
        <f>EXP(-LN(2)/25)*AV48+(1-EXP(-LN(2)/25))/(LN(2)/25)*Calculateur!AQ49*Calculateur!AS49*VLOOKUP('Données projet'!$B$10,Paramètres!$A$1:$I$89,3,0)*0.475*44/12</f>
        <v>6.2759283238965171</v>
      </c>
      <c r="AW49" s="23">
        <f>EXP(-LN(2)/2)*AW48+(1-EXP(-LN(2)/2))/(LN(2)/2)*AQ49*AT49*VLOOKUP('Données projet'!$B$10,Paramètres!$A$1:$I$89,3,0)*0.475*44/12</f>
        <v>2.2789596273852294E-2</v>
      </c>
      <c r="AX49" s="23">
        <f t="shared" si="6"/>
        <v>24.951389924354565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34.460399999999986</v>
      </c>
      <c r="D50" s="12">
        <f t="shared" si="32"/>
        <v>10.517882008711249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347.20077340057793</v>
      </c>
      <c r="H50" s="70">
        <f t="shared" si="1"/>
        <v>371.67050783183868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</v>
      </c>
      <c r="N50" s="14">
        <f>IF('Données projet'!$A$36&gt;35,N49+M50-V49,IF(A50&lt;'Données projet'!$A$36,$K$205^A50,IF(A50='Données projet'!$A$36,'Données projet'!$B$36,N49+M50-V49)))</f>
        <v>236</v>
      </c>
      <c r="O50" s="14">
        <f>N50*VLOOKUP('Données projet'!$B$9,Paramètres!$A$1:$I$89,3,0)*VLOOKUP('Données projet'!$B$9,Paramètres!$A$1:$I$89,5,0)</f>
        <v>110.44799999999999</v>
      </c>
      <c r="P50" s="14">
        <f t="shared" si="33"/>
        <v>29.436511885319565</v>
      </c>
      <c r="Q50" s="22">
        <f t="shared" si="53"/>
        <v>243.63219153359822</v>
      </c>
      <c r="R50" s="62">
        <f t="shared" si="0"/>
        <v>536.96552486693156</v>
      </c>
      <c r="S50" s="62">
        <f ca="1">AVERAGE(OFFSET($R$3,0,0,'Données projet'!$E$9+1,1))-AVERAGE(OFFSET($H$3,0,0,'Données projet'!$E$9+1,1))</f>
        <v>145.91567711893987</v>
      </c>
      <c r="T50" s="62">
        <f t="shared" si="34"/>
        <v>136.44398554363522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7.8</v>
      </c>
      <c r="AI50" s="14">
        <f>IF('Données projet'!$A$62&gt;35,AI49+AH50-AQ49,IF(A50&lt;'Données projet'!$A$62,$AF$205^A50,IF(A50='Données projet'!$A$62,'Données projet'!$B$62,AI49+AH50-AQ49)))</f>
        <v>185.59999999999994</v>
      </c>
      <c r="AJ50" s="14">
        <f>AI50*VLOOKUP('Données projet'!$B$10,Paramètres!$A$1:$I$89,3,0)*VLOOKUP('Données projet'!$B$10,Paramètres!$A$1:$I$89,5,0)</f>
        <v>162.14015999999998</v>
      </c>
      <c r="AK50" s="14">
        <f t="shared" si="35"/>
        <v>41.324860537333677</v>
      </c>
      <c r="AL50" s="22">
        <f t="shared" si="4"/>
        <v>354.36824410252279</v>
      </c>
      <c r="AM50" s="62">
        <f t="shared" si="5"/>
        <v>647.70157743585605</v>
      </c>
      <c r="AN50" s="62">
        <f ca="1">AVERAGE(OFFSET($AM$3,0,0,'Données projet'!$E$10+1,1))-AVERAGE(OFFSET($H$3,0,0,'Données projet'!$E$10+1,1))</f>
        <v>222.48114295382305</v>
      </c>
      <c r="AO50" s="62">
        <f t="shared" si="36"/>
        <v>261.55066338953611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18.286904483188678</v>
      </c>
      <c r="AV50" s="23">
        <f>EXP(-LN(2)/25)*AV49+(1-EXP(-LN(2)/25))/(LN(2)/25)*Calculateur!AQ50*Calculateur!AS50*VLOOKUP('Données projet'!$B$10,Paramètres!$A$1:$I$89,3,0)*0.475*44/12</f>
        <v>6.10431273384284</v>
      </c>
      <c r="AW50" s="23">
        <f>EXP(-LN(2)/2)*AW49+(1-EXP(-LN(2)/2))/(LN(2)/2)*AQ50*AT50*VLOOKUP('Données projet'!$B$10,Paramètres!$A$1:$I$89,3,0)*0.475*44/12</f>
        <v>1.6114678065744632E-2</v>
      </c>
      <c r="AX50" s="23">
        <f t="shared" si="6"/>
        <v>24.407331895097261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35.193599999999982</v>
      </c>
      <c r="D51" s="12">
        <f t="shared" si="32"/>
        <v>10.715375251348382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354.38507211567162</v>
      </c>
      <c r="H51" s="70">
        <f t="shared" si="1"/>
        <v>373.29146522943171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</v>
      </c>
      <c r="N51" s="14">
        <f>IF('Données projet'!$A$36&gt;35,N50+M51-V50,IF(A51&lt;'Données projet'!$A$36,$K$205^A51,IF(A51='Données projet'!$A$36,'Données projet'!$B$36,N50+M51-V50)))</f>
        <v>243</v>
      </c>
      <c r="O51" s="14">
        <f>N51*VLOOKUP('Données projet'!$B$9,Paramètres!$A$1:$I$89,3,0)*VLOOKUP('Données projet'!$B$9,Paramètres!$A$1:$I$89,5,0)</f>
        <v>113.72399999999999</v>
      </c>
      <c r="P51" s="14">
        <f t="shared" si="33"/>
        <v>30.206680638130489</v>
      </c>
      <c r="Q51" s="22">
        <f t="shared" si="53"/>
        <v>250.67926877807722</v>
      </c>
      <c r="R51" s="62">
        <f t="shared" si="0"/>
        <v>544.0126021114105</v>
      </c>
      <c r="S51" s="62">
        <f ca="1">AVERAGE(OFFSET($R$3,0,0,'Données projet'!$E$9+1,1))-AVERAGE(OFFSET($H$3,0,0,'Données projet'!$E$9+1,1))</f>
        <v>145.91567711893987</v>
      </c>
      <c r="T51" s="62">
        <f t="shared" si="34"/>
        <v>136.44398554363522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7.8</v>
      </c>
      <c r="AI51" s="14">
        <f>IF('Données projet'!$A$62&gt;35,AI50+AH51-AQ50,IF(A51&lt;'Données projet'!$A$62,$AF$205^A51,IF(A51='Données projet'!$A$62,'Données projet'!$B$62,AI50+AH51-AQ50)))</f>
        <v>193.39999999999995</v>
      </c>
      <c r="AJ51" s="14">
        <f>AI51*VLOOKUP('Données projet'!$B$10,Paramètres!$A$1:$I$89,3,0)*VLOOKUP('Données projet'!$B$10,Paramètres!$A$1:$I$89,5,0)</f>
        <v>168.95424</v>
      </c>
      <c r="AK51" s="14">
        <f t="shared" si="35"/>
        <v>42.855724087026708</v>
      </c>
      <c r="AL51" s="22">
        <f t="shared" si="4"/>
        <v>368.90235411823818</v>
      </c>
      <c r="AM51" s="62">
        <f t="shared" si="5"/>
        <v>662.23568745157149</v>
      </c>
      <c r="AN51" s="62">
        <f ca="1">AVERAGE(OFFSET($AM$3,0,0,'Données projet'!$E$10+1,1))-AVERAGE(OFFSET($H$3,0,0,'Données projet'!$E$10+1,1))</f>
        <v>222.48114295382305</v>
      </c>
      <c r="AO51" s="62">
        <f t="shared" si="36"/>
        <v>261.55066338953611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17.928309440183725</v>
      </c>
      <c r="AV51" s="23">
        <f>EXP(-LN(2)/25)*AV50+(1-EXP(-LN(2)/25))/(LN(2)/25)*Calculateur!AQ51*Calculateur!AS51*VLOOKUP('Données projet'!$B$10,Paramètres!$A$1:$I$89,3,0)*0.475*44/12</f>
        <v>5.9373899811240527</v>
      </c>
      <c r="AW51" s="23">
        <f>EXP(-LN(2)/2)*AW50+(1-EXP(-LN(2)/2))/(LN(2)/2)*AQ51*AT51*VLOOKUP('Données projet'!$B$10,Paramètres!$A$1:$I$89,3,0)*0.475*44/12</f>
        <v>1.1394798136926147E-2</v>
      </c>
      <c r="AX51" s="23">
        <f t="shared" si="6"/>
        <v>23.877094219444704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35.926799999999979</v>
      </c>
      <c r="D52" s="12">
        <f t="shared" si="32"/>
        <v>10.912390116516537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361.56567809240823</v>
      </c>
      <c r="H52" s="70">
        <f t="shared" si="1"/>
        <v>374.9115894529329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</v>
      </c>
      <c r="N52" s="14">
        <f>IF('Données projet'!$A$36&gt;35,N51+M52-V51,IF(A52&lt;'Données projet'!$A$36,$K$205^A52,IF(A52='Données projet'!$A$36,'Données projet'!$B$36,N51+M52-V51)))</f>
        <v>250</v>
      </c>
      <c r="O52" s="14">
        <f>N52*VLOOKUP('Données projet'!$B$9,Paramètres!$A$1:$I$89,3,0)*VLOOKUP('Données projet'!$B$9,Paramètres!$A$1:$I$89,5,0)</f>
        <v>117</v>
      </c>
      <c r="P52" s="14">
        <f t="shared" si="33"/>
        <v>30.974270896484146</v>
      </c>
      <c r="Q52" s="22">
        <f t="shared" si="53"/>
        <v>257.72185514470988</v>
      </c>
      <c r="R52" s="62">
        <f t="shared" si="0"/>
        <v>551.05518847804319</v>
      </c>
      <c r="S52" s="62">
        <f ca="1">AVERAGE(OFFSET($R$3,0,0,'Données projet'!$E$9+1,1))-AVERAGE(OFFSET($H$3,0,0,'Données projet'!$E$9+1,1))</f>
        <v>145.91567711893987</v>
      </c>
      <c r="T52" s="62">
        <f t="shared" si="34"/>
        <v>136.44398554363522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7.8</v>
      </c>
      <c r="AI52" s="14">
        <f>IF('Données projet'!$A$62&gt;35,AI51+AH52-AQ51,IF(A52&lt;'Données projet'!$A$62,$AF$205^A52,IF(A52='Données projet'!$A$62,'Données projet'!$B$62,AI51+AH52-AQ51)))</f>
        <v>201.19999999999996</v>
      </c>
      <c r="AJ52" s="14">
        <f>AI52*VLOOKUP('Données projet'!$B$10,Paramètres!$A$1:$I$89,3,0)*VLOOKUP('Données projet'!$B$10,Paramètres!$A$1:$I$89,5,0)</f>
        <v>175.76831999999999</v>
      </c>
      <c r="AK52" s="14">
        <f t="shared" si="35"/>
        <v>44.379415757690168</v>
      </c>
      <c r="AL52" s="22">
        <f t="shared" si="4"/>
        <v>383.42397311131032</v>
      </c>
      <c r="AM52" s="62">
        <f t="shared" si="5"/>
        <v>676.75730644464363</v>
      </c>
      <c r="AN52" s="62">
        <f ca="1">AVERAGE(OFFSET($AM$3,0,0,'Données projet'!$E$10+1,1))-AVERAGE(OFFSET($H$3,0,0,'Données projet'!$E$10+1,1))</f>
        <v>222.48114295382305</v>
      </c>
      <c r="AO52" s="62">
        <f t="shared" si="36"/>
        <v>261.55066338953611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17.57674622725072</v>
      </c>
      <c r="AV52" s="23">
        <f>EXP(-LN(2)/25)*AV51+(1-EXP(-LN(2)/25))/(LN(2)/25)*Calculateur!AQ52*Calculateur!AS52*VLOOKUP('Données projet'!$B$10,Paramètres!$A$1:$I$89,3,0)*0.475*44/12</f>
        <v>5.7750317398564466</v>
      </c>
      <c r="AW52" s="23">
        <f>EXP(-LN(2)/2)*AW51+(1-EXP(-LN(2)/2))/(LN(2)/2)*AQ52*AT52*VLOOKUP('Données projet'!$B$10,Paramètres!$A$1:$I$89,3,0)*0.475*44/12</f>
        <v>8.0573390328723161E-3</v>
      </c>
      <c r="AX52" s="23">
        <f t="shared" si="6"/>
        <v>23.359835306140042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36.659999999999975</v>
      </c>
      <c r="D53" s="12">
        <f t="shared" si="32"/>
        <v>11.108937492002092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368.74267537685813</v>
      </c>
      <c r="H53" s="70">
        <f t="shared" si="1"/>
        <v>376.53089946523693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257</v>
      </c>
      <c r="L53" s="13">
        <f>VLOOKUP(A53,'Données projet'!$A$35:$I$55,9,0)</f>
        <v>7</v>
      </c>
      <c r="M53" s="13">
        <f t="array" ref="M53">INDEX(L:L,MIN(IF(ISNUMBER(L53:L249),ROW(L53:L249),"")))</f>
        <v>7</v>
      </c>
      <c r="N53" s="14">
        <f>IF('Données projet'!$A$36&gt;35,N52+M53-V52,IF(A53&lt;'Données projet'!$A$36,$K$205^A53,IF(A53='Données projet'!$A$36,'Données projet'!$B$36,N52+M53-V52)))</f>
        <v>257</v>
      </c>
      <c r="O53" s="14">
        <f>N53*VLOOKUP('Données projet'!$B$9,Paramètres!$A$1:$I$89,3,0)*VLOOKUP('Données projet'!$B$9,Paramètres!$A$1:$I$89,5,0)</f>
        <v>120.276</v>
      </c>
      <c r="P53" s="14">
        <f t="shared" si="33"/>
        <v>31.739363152156315</v>
      </c>
      <c r="Q53" s="22">
        <f t="shared" si="53"/>
        <v>264.76009082333889</v>
      </c>
      <c r="R53" s="62">
        <f t="shared" si="0"/>
        <v>558.0934241566722</v>
      </c>
      <c r="S53" s="62">
        <f ca="1">AVERAGE(OFFSET($R$3,0,0,'Données projet'!$E$9+1,1))-AVERAGE(OFFSET($H$3,0,0,'Données projet'!$E$9+1,1))</f>
        <v>145.91567711893987</v>
      </c>
      <c r="T53" s="62">
        <f t="shared" si="34"/>
        <v>136.44398554363522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209</v>
      </c>
      <c r="AG53" s="13">
        <f>VLOOKUP(A53,'Données projet'!$A$61:$I$81,9,0)</f>
        <v>7.8</v>
      </c>
      <c r="AH53" s="13">
        <f t="array" ref="AH53">INDEX(AG:AG,MIN(IF(ISNUMBER(AG53:AG249),ROW(AG53:AG249),"")))</f>
        <v>7.8</v>
      </c>
      <c r="AI53" s="14">
        <f>IF('Données projet'!$A$62&gt;35,AI52+AH53-AQ52,IF(A53&lt;'Données projet'!$A$62,$AF$205^A53,IF(A53='Données projet'!$A$62,'Données projet'!$B$62,AI52+AH53-AQ52)))</f>
        <v>208.99999999999997</v>
      </c>
      <c r="AJ53" s="14">
        <f>AI53*VLOOKUP('Données projet'!$B$10,Paramètres!$A$1:$I$89,3,0)*VLOOKUP('Données projet'!$B$10,Paramètres!$A$1:$I$89,5,0)</f>
        <v>182.58240000000001</v>
      </c>
      <c r="AK53" s="14">
        <f t="shared" si="35"/>
        <v>45.896245406460288</v>
      </c>
      <c r="AL53" s="22">
        <f t="shared" si="4"/>
        <v>397.93364074958498</v>
      </c>
      <c r="AM53" s="62">
        <f t="shared" si="5"/>
        <v>691.2669740829183</v>
      </c>
      <c r="AN53" s="62">
        <f ca="1">AVERAGE(OFFSET($AM$3,0,0,'Données projet'!$E$10+1,1))-AVERAGE(OFFSET($H$3,0,0,'Données projet'!$E$10+1,1))</f>
        <v>222.48114295382305</v>
      </c>
      <c r="AO53" s="62">
        <f t="shared" si="36"/>
        <v>261.55066338953611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17.232076954490946</v>
      </c>
      <c r="AV53" s="23">
        <f>EXP(-LN(2)/25)*AV52+(1-EXP(-LN(2)/25))/(LN(2)/25)*Calculateur!AQ53*Calculateur!AS53*VLOOKUP('Données projet'!$B$10,Paramètres!$A$1:$I$89,3,0)*0.475*44/12</f>
        <v>5.6171131932343519</v>
      </c>
      <c r="AW53" s="23">
        <f>EXP(-LN(2)/2)*AW52+(1-EXP(-LN(2)/2))/(LN(2)/2)*AQ53*AT53*VLOOKUP('Données projet'!$B$10,Paramètres!$A$1:$I$89,3,0)*0.475*44/12</f>
        <v>5.6973990684630734E-3</v>
      </c>
      <c r="AX53" s="23">
        <f t="shared" si="6"/>
        <v>22.854887546793762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37.393199999999972</v>
      </c>
      <c r="D54" s="12">
        <f t="shared" si="32"/>
        <v>11.305027805177126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375.91614446101624</v>
      </c>
      <c r="H54" s="70">
        <f t="shared" si="1"/>
        <v>378.14941342735011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265</v>
      </c>
      <c r="O54" s="14">
        <f>N54*VLOOKUP('Données projet'!$B$9,Paramètres!$A$1:$I$89,3,0)*VLOOKUP('Données projet'!$B$9,Paramètres!$A$1:$I$89,5,0)</f>
        <v>124.02</v>
      </c>
      <c r="P54" s="14">
        <f t="shared" si="33"/>
        <v>32.610792634958898</v>
      </c>
      <c r="Q54" s="22">
        <f t="shared" si="53"/>
        <v>272.79863050588671</v>
      </c>
      <c r="R54" s="62">
        <f t="shared" si="0"/>
        <v>566.13196383922002</v>
      </c>
      <c r="S54" s="62">
        <f ca="1">AVERAGE(OFFSET($R$3,0,0,'Données projet'!$E$9+1,1))-AVERAGE(OFFSET($H$3,0,0,'Données projet'!$E$9+1,1))</f>
        <v>145.91567711893987</v>
      </c>
      <c r="T54" s="62">
        <f t="shared" si="34"/>
        <v>136.44398554363522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6.8</v>
      </c>
      <c r="AI54" s="14">
        <f>IF('Données projet'!$A$62&gt;35,AI53+AH54-AQ53,IF(A54&lt;'Données projet'!$A$62,$AF$205^A54,IF(A54='Données projet'!$A$62,'Données projet'!$B$62,AI53+AH54-AQ53)))</f>
        <v>187.79999999999998</v>
      </c>
      <c r="AJ54" s="14">
        <f>AI54*VLOOKUP('Données projet'!$B$10,Paramètres!$A$1:$I$89,3,0)*VLOOKUP('Données projet'!$B$10,Paramètres!$A$1:$I$89,5,0)</f>
        <v>164.06208000000001</v>
      </c>
      <c r="AK54" s="14">
        <f t="shared" si="35"/>
        <v>41.75738773013461</v>
      </c>
      <c r="AL54" s="22">
        <f t="shared" si="4"/>
        <v>358.46890629665108</v>
      </c>
      <c r="AM54" s="62">
        <f t="shared" si="5"/>
        <v>651.80223962998434</v>
      </c>
      <c r="AN54" s="62">
        <f ca="1">AVERAGE(OFFSET($AM$3,0,0,'Données projet'!$E$10+1,1))-AVERAGE(OFFSET($H$3,0,0,'Données projet'!$E$10+1,1))</f>
        <v>222.48114295382305</v>
      </c>
      <c r="AO54" s="62">
        <f t="shared" si="36"/>
        <v>261.55066338953611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16.894166435942491</v>
      </c>
      <c r="AV54" s="23">
        <f>EXP(-LN(2)/25)*AV53+(1-EXP(-LN(2)/25))/(LN(2)/25)*Calculateur!AQ54*Calculateur!AS54*VLOOKUP('Données projet'!$B$10,Paramètres!$A$1:$I$89,3,0)*0.475*44/12</f>
        <v>5.4635129375742135</v>
      </c>
      <c r="AW54" s="23">
        <f>EXP(-LN(2)/2)*AW53+(1-EXP(-LN(2)/2))/(LN(2)/2)*AQ54*AT54*VLOOKUP('Données projet'!$B$10,Paramètres!$A$1:$I$89,3,0)*0.475*44/12</f>
        <v>4.0286695164361581E-3</v>
      </c>
      <c r="AX54" s="23">
        <f t="shared" si="6"/>
        <v>22.36170804303314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38.126399999999968</v>
      </c>
      <c r="D55" s="12">
        <f t="shared" si="32"/>
        <v>11.500671051108624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383.08616249978564</v>
      </c>
      <c r="H55" s="70">
        <f t="shared" si="1"/>
        <v>379.76714874734745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273</v>
      </c>
      <c r="O55" s="14">
        <f>N55*VLOOKUP('Données projet'!$B$9,Paramètres!$A$1:$I$89,3,0)*VLOOKUP('Données projet'!$B$9,Paramètres!$A$1:$I$89,5,0)</f>
        <v>127.76400000000001</v>
      </c>
      <c r="P55" s="14">
        <f t="shared" si="33"/>
        <v>33.479164830670051</v>
      </c>
      <c r="Q55" s="22">
        <f t="shared" si="53"/>
        <v>280.83184541341694</v>
      </c>
      <c r="R55" s="62">
        <f t="shared" si="0"/>
        <v>574.16517874675026</v>
      </c>
      <c r="S55" s="62">
        <f ca="1">AVERAGE(OFFSET($R$3,0,0,'Données projet'!$E$9+1,1))-AVERAGE(OFFSET($H$3,0,0,'Données projet'!$E$9+1,1))</f>
        <v>145.91567711893987</v>
      </c>
      <c r="T55" s="62">
        <f t="shared" si="34"/>
        <v>136.44398554363522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6.8</v>
      </c>
      <c r="AI55" s="14">
        <f>IF('Données projet'!$A$62&gt;35,AI54+AH55-AQ54,IF(A55&lt;'Données projet'!$A$62,$AF$205^A55,IF(A55='Données projet'!$A$62,'Données projet'!$B$62,AI54+AH55-AQ54)))</f>
        <v>194.6</v>
      </c>
      <c r="AJ55" s="14">
        <f>AI55*VLOOKUP('Données projet'!$B$10,Paramètres!$A$1:$I$89,3,0)*VLOOKUP('Données projet'!$B$10,Paramètres!$A$1:$I$89,5,0)</f>
        <v>170.00256000000002</v>
      </c>
      <c r="AK55" s="14">
        <f t="shared" si="35"/>
        <v>43.090596939649579</v>
      </c>
      <c r="AL55" s="22">
        <f t="shared" si="4"/>
        <v>371.1372483365563</v>
      </c>
      <c r="AM55" s="62">
        <f t="shared" si="5"/>
        <v>664.47058166988961</v>
      </c>
      <c r="AN55" s="62">
        <f ca="1">AVERAGE(OFFSET($AM$3,0,0,'Données projet'!$E$10+1,1))-AVERAGE(OFFSET($H$3,0,0,'Données projet'!$E$10+1,1))</f>
        <v>222.48114295382305</v>
      </c>
      <c r="AO55" s="62">
        <f t="shared" si="36"/>
        <v>261.55066338953611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16.562882136557707</v>
      </c>
      <c r="AV55" s="23">
        <f>EXP(-LN(2)/25)*AV54+(1-EXP(-LN(2)/25))/(LN(2)/25)*Calculateur!AQ55*Calculateur!AS55*VLOOKUP('Données projet'!$B$10,Paramètres!$A$1:$I$89,3,0)*0.475*44/12</f>
        <v>5.3141128889825886</v>
      </c>
      <c r="AW55" s="23">
        <f>EXP(-LN(2)/2)*AW54+(1-EXP(-LN(2)/2))/(LN(2)/2)*AQ55*AT55*VLOOKUP('Données projet'!$B$10,Paramètres!$A$1:$I$89,3,0)*0.475*44/12</f>
        <v>2.8486995342315367E-3</v>
      </c>
      <c r="AX55" s="23">
        <f t="shared" si="6"/>
        <v>21.879843725074526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38.859599999999965</v>
      </c>
      <c r="D56" s="12">
        <f t="shared" si="32"/>
        <v>11.695876818444219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390.25280351079726</v>
      </c>
      <c r="H56" s="70">
        <f t="shared" si="1"/>
        <v>381.38412212545694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281</v>
      </c>
      <c r="O56" s="14">
        <f>N56*VLOOKUP('Données projet'!$B$9,Paramètres!$A$1:$I$89,3,0)*VLOOKUP('Données projet'!$B$9,Paramètres!$A$1:$I$89,5,0)</f>
        <v>131.50800000000001</v>
      </c>
      <c r="P56" s="14">
        <f t="shared" si="33"/>
        <v>34.344579617082509</v>
      </c>
      <c r="Q56" s="22">
        <f t="shared" si="53"/>
        <v>288.85990949975201</v>
      </c>
      <c r="R56" s="62">
        <f t="shared" si="0"/>
        <v>582.19324283308538</v>
      </c>
      <c r="S56" s="62">
        <f ca="1">AVERAGE(OFFSET($R$3,0,0,'Données projet'!$E$9+1,1))-AVERAGE(OFFSET($H$3,0,0,'Données projet'!$E$9+1,1))</f>
        <v>145.91567711893987</v>
      </c>
      <c r="T56" s="62">
        <f t="shared" si="34"/>
        <v>136.44398554363522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6.8</v>
      </c>
      <c r="AI56" s="14">
        <f>IF('Données projet'!$A$62&gt;35,AI55+AH56-AQ55,IF(A56&lt;'Données projet'!$A$62,$AF$205^A56,IF(A56='Données projet'!$A$62,'Données projet'!$B$62,AI55+AH56-AQ55)))</f>
        <v>201.4</v>
      </c>
      <c r="AJ56" s="14">
        <f>AI56*VLOOKUP('Données projet'!$B$10,Paramètres!$A$1:$I$89,3,0)*VLOOKUP('Données projet'!$B$10,Paramètres!$A$1:$I$89,5,0)</f>
        <v>175.94304000000002</v>
      </c>
      <c r="AK56" s="14">
        <f t="shared" si="35"/>
        <v>44.418393276556458</v>
      </c>
      <c r="AL56" s="22">
        <f t="shared" si="4"/>
        <v>383.79616295666915</v>
      </c>
      <c r="AM56" s="62">
        <f t="shared" si="5"/>
        <v>677.12949629000241</v>
      </c>
      <c r="AN56" s="62">
        <f ca="1">AVERAGE(OFFSET($AM$3,0,0,'Données projet'!$E$10+1,1))-AVERAGE(OFFSET($H$3,0,0,'Données projet'!$E$10+1,1))</f>
        <v>222.48114295382305</v>
      </c>
      <c r="AO56" s="62">
        <f t="shared" si="36"/>
        <v>261.55066338953611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16.238094120220389</v>
      </c>
      <c r="AV56" s="23">
        <f>EXP(-LN(2)/25)*AV55+(1-EXP(-LN(2)/25))/(LN(2)/25)*Calculateur!AQ56*Calculateur!AS56*VLOOKUP('Données projet'!$B$10,Paramètres!$A$1:$I$89,3,0)*0.475*44/12</f>
        <v>5.1687981925763085</v>
      </c>
      <c r="AW56" s="23">
        <f>EXP(-LN(2)/2)*AW55+(1-EXP(-LN(2)/2))/(LN(2)/2)*AQ56*AT56*VLOOKUP('Données projet'!$B$10,Paramètres!$A$1:$I$89,3,0)*0.475*44/12</f>
        <v>2.014334758218079E-3</v>
      </c>
      <c r="AX56" s="23">
        <f t="shared" si="6"/>
        <v>21.408906647554915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39.592799999999961</v>
      </c>
      <c r="D57" s="12">
        <f t="shared" si="32"/>
        <v>11.890654313289092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397.41613855872248</v>
      </c>
      <c r="H57" s="70">
        <f t="shared" si="1"/>
        <v>383.0003495956451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289</v>
      </c>
      <c r="O57" s="14">
        <f>N57*VLOOKUP('Données projet'!$B$9,Paramètres!$A$1:$I$89,3,0)*VLOOKUP('Données projet'!$B$9,Paramètres!$A$1:$I$89,5,0)</f>
        <v>135.25199999999998</v>
      </c>
      <c r="P57" s="14">
        <f t="shared" si="33"/>
        <v>35.207130861518152</v>
      </c>
      <c r="Q57" s="22">
        <f t="shared" si="53"/>
        <v>296.88298625047742</v>
      </c>
      <c r="R57" s="62">
        <f t="shared" si="0"/>
        <v>590.21631958381067</v>
      </c>
      <c r="S57" s="62">
        <f ca="1">AVERAGE(OFFSET($R$3,0,0,'Données projet'!$E$9+1,1))-AVERAGE(OFFSET($H$3,0,0,'Données projet'!$E$9+1,1))</f>
        <v>145.91567711893987</v>
      </c>
      <c r="T57" s="62">
        <f t="shared" si="34"/>
        <v>136.44398554363522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6.8</v>
      </c>
      <c r="AI57" s="14">
        <f>IF('Données projet'!$A$62&gt;35,AI56+AH57-AQ56,IF(A57&lt;'Données projet'!$A$62,$AF$205^A57,IF(A57='Données projet'!$A$62,'Données projet'!$B$62,AI56+AH57-AQ56)))</f>
        <v>208.20000000000002</v>
      </c>
      <c r="AJ57" s="14">
        <f>AI57*VLOOKUP('Données projet'!$B$10,Paramètres!$A$1:$I$89,3,0)*VLOOKUP('Données projet'!$B$10,Paramètres!$A$1:$I$89,5,0)</f>
        <v>181.88352000000006</v>
      </c>
      <c r="AK57" s="14">
        <f t="shared" si="35"/>
        <v>45.74098045051349</v>
      </c>
      <c r="AL57" s="22">
        <f t="shared" si="4"/>
        <v>396.44600495131112</v>
      </c>
      <c r="AM57" s="62">
        <f t="shared" si="5"/>
        <v>689.77933828464438</v>
      </c>
      <c r="AN57" s="62">
        <f ca="1">AVERAGE(OFFSET($AM$3,0,0,'Données projet'!$E$10+1,1))-AVERAGE(OFFSET($H$3,0,0,'Données projet'!$E$10+1,1))</f>
        <v>222.48114295382305</v>
      </c>
      <c r="AO57" s="62">
        <f t="shared" si="36"/>
        <v>261.55066338953611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15.919674998782316</v>
      </c>
      <c r="AV57" s="23">
        <f>EXP(-LN(2)/25)*AV56+(1-EXP(-LN(2)/25))/(LN(2)/25)*Calculateur!AQ57*Calculateur!AS57*VLOOKUP('Données projet'!$B$10,Paramètres!$A$1:$I$89,3,0)*0.475*44/12</f>
        <v>5.0274571341850258</v>
      </c>
      <c r="AW57" s="23">
        <f>EXP(-LN(2)/2)*AW56+(1-EXP(-LN(2)/2))/(LN(2)/2)*AQ57*AT57*VLOOKUP('Données projet'!$B$10,Paramètres!$A$1:$I$89,3,0)*0.475*44/12</f>
        <v>1.4243497671157684E-3</v>
      </c>
      <c r="AX57" s="23">
        <f t="shared" si="6"/>
        <v>20.948556482734457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40.325999999999958</v>
      </c>
      <c r="D58" s="12">
        <f t="shared" si="32"/>
        <v>12.085012381264168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404.57623592554768</v>
      </c>
      <c r="H58" s="70">
        <f t="shared" si="1"/>
        <v>384.615846564035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297</v>
      </c>
      <c r="O58" s="14">
        <f>N58*VLOOKUP('Données projet'!$B$9,Paramètres!$A$1:$I$89,3,0)*VLOOKUP('Données projet'!$B$9,Paramètres!$A$1:$I$89,5,0)</f>
        <v>138.99600000000001</v>
      </c>
      <c r="P58" s="14">
        <f t="shared" si="33"/>
        <v>36.066906938767758</v>
      </c>
      <c r="Q58" s="22">
        <f t="shared" si="53"/>
        <v>304.90122958502047</v>
      </c>
      <c r="R58" s="62">
        <f t="shared" si="0"/>
        <v>598.23456291835373</v>
      </c>
      <c r="S58" s="62">
        <f ca="1">AVERAGE(OFFSET($R$3,0,0,'Données projet'!$E$9+1,1))-AVERAGE(OFFSET($H$3,0,0,'Données projet'!$E$9+1,1))</f>
        <v>145.91567711893987</v>
      </c>
      <c r="T58" s="62">
        <f t="shared" si="34"/>
        <v>136.44398554363522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215</v>
      </c>
      <c r="AG58" s="13">
        <f>VLOOKUP(A58,'Données projet'!$A$61:$I$81,9,0)</f>
        <v>6.8</v>
      </c>
      <c r="AH58" s="13">
        <f t="array" ref="AH58">INDEX(AG:AG,MIN(IF(ISNUMBER(AG58:AG254),ROW(AG58:AG254),"")))</f>
        <v>6.8</v>
      </c>
      <c r="AI58" s="14">
        <f>IF('Données projet'!$A$62&gt;35,AI57+AH58-AQ57,IF(A58&lt;'Données projet'!$A$62,$AF$205^A58,IF(A58='Données projet'!$A$62,'Données projet'!$B$62,AI57+AH58-AQ57)))</f>
        <v>215.00000000000003</v>
      </c>
      <c r="AJ58" s="14">
        <f>AI58*VLOOKUP('Données projet'!$B$10,Paramètres!$A$1:$I$89,3,0)*VLOOKUP('Données projet'!$B$10,Paramètres!$A$1:$I$89,5,0)</f>
        <v>187.82400000000007</v>
      </c>
      <c r="AK58" s="14">
        <f t="shared" si="35"/>
        <v>47.05854810918273</v>
      </c>
      <c r="AL58" s="22">
        <f t="shared" si="4"/>
        <v>409.08710462349336</v>
      </c>
      <c r="AM58" s="62">
        <f t="shared" si="5"/>
        <v>702.42043795682662</v>
      </c>
      <c r="AN58" s="62">
        <f ca="1">AVERAGE(OFFSET($AM$3,0,0,'Données projet'!$E$10+1,1))-AVERAGE(OFFSET($H$3,0,0,'Données projet'!$E$10+1,1))</f>
        <v>222.48114295382305</v>
      </c>
      <c r="AO58" s="62">
        <f t="shared" si="36"/>
        <v>261.55066338953611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25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15.607499882099157</v>
      </c>
      <c r="AV58" s="23">
        <f>EXP(-LN(2)/25)*AV57+(1-EXP(-LN(2)/25))/(LN(2)/25)*Calculateur!AQ58*Calculateur!AS58*VLOOKUP('Données projet'!$B$10,Paramètres!$A$1:$I$89,3,0)*0.475*44/12</f>
        <v>4.8899810544682563</v>
      </c>
      <c r="AW58" s="23">
        <f>EXP(-LN(2)/2)*AW57+(1-EXP(-LN(2)/2))/(LN(2)/2)*AQ58*AT58*VLOOKUP('Données projet'!$B$10,Paramètres!$A$1:$I$89,3,0)*0.475*44/12</f>
        <v>1.0071673791090395E-3</v>
      </c>
      <c r="AX58" s="23">
        <f t="shared" si="6"/>
        <v>20.498488103946521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41.059199999999954</v>
      </c>
      <c r="D59" s="12">
        <f t="shared" si="32"/>
        <v>12.278959527914731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411.73316126811329</v>
      </c>
      <c r="H59" s="70">
        <f t="shared" si="1"/>
        <v>386.23062784445136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8</v>
      </c>
      <c r="N59" s="14">
        <f>IF('Données projet'!$A$36&gt;35,N58+M59-V58,IF(A59&lt;'Données projet'!$A$36,$K$205^A59,IF(A59='Données projet'!$A$36,'Données projet'!$B$36,N58+M59-V58)))</f>
        <v>305</v>
      </c>
      <c r="O59" s="14">
        <f>N59*VLOOKUP('Données projet'!$B$9,Paramètres!$A$1:$I$89,3,0)*VLOOKUP('Données projet'!$B$9,Paramètres!$A$1:$I$89,5,0)</f>
        <v>142.74</v>
      </c>
      <c r="P59" s="14">
        <f t="shared" si="33"/>
        <v>36.923991191656064</v>
      </c>
      <c r="Q59" s="22">
        <f t="shared" si="53"/>
        <v>312.91478465880101</v>
      </c>
      <c r="R59" s="62">
        <f t="shared" si="0"/>
        <v>606.24811799213433</v>
      </c>
      <c r="S59" s="62">
        <f ca="1">AVERAGE(OFFSET($R$3,0,0,'Données projet'!$E$9+1,1))-AVERAGE(OFFSET($H$3,0,0,'Données projet'!$E$9+1,1))</f>
        <v>145.91567711893987</v>
      </c>
      <c r="T59" s="62">
        <f t="shared" si="34"/>
        <v>136.44398554363522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</v>
      </c>
      <c r="AI59" s="14">
        <f>IF('Données projet'!$A$62&gt;35,AI58+AH59-AQ58,IF(A59&lt;'Données projet'!$A$62,$AF$205^A59,IF(A59='Données projet'!$A$62,'Données projet'!$B$62,AI58+AH59-AQ58)))</f>
        <v>196.00000000000003</v>
      </c>
      <c r="AJ59" s="14">
        <f>AI59*VLOOKUP('Données projet'!$B$10,Paramètres!$A$1:$I$89,3,0)*VLOOKUP('Données projet'!$B$10,Paramètres!$A$1:$I$89,5,0)</f>
        <v>171.22560000000004</v>
      </c>
      <c r="AK59" s="14">
        <f t="shared" si="35"/>
        <v>43.364402348589557</v>
      </c>
      <c r="AL59" s="22">
        <f t="shared" si="4"/>
        <v>373.74425409046017</v>
      </c>
      <c r="AM59" s="62">
        <f t="shared" si="5"/>
        <v>667.07758742379349</v>
      </c>
      <c r="AN59" s="62">
        <f ca="1">AVERAGE(OFFSET($AM$3,0,0,'Données projet'!$E$10+1,1))-AVERAGE(OFFSET($H$3,0,0,'Données projet'!$E$10+1,1))</f>
        <v>222.48114295382305</v>
      </c>
      <c r="AO59" s="62">
        <f t="shared" si="36"/>
        <v>261.55066338953611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15.301446329046135</v>
      </c>
      <c r="AV59" s="23">
        <f>EXP(-LN(2)/25)*AV58+(1-EXP(-LN(2)/25))/(LN(2)/25)*Calculateur!AQ59*Calculateur!AS59*VLOOKUP('Données projet'!$B$10,Paramètres!$A$1:$I$89,3,0)*0.475*44/12</f>
        <v>4.756264265380894</v>
      </c>
      <c r="AW59" s="23">
        <f>EXP(-LN(2)/2)*AW58+(1-EXP(-LN(2)/2))/(LN(2)/2)*AQ59*AT59*VLOOKUP('Données projet'!$B$10,Paramètres!$A$1:$I$89,3,0)*0.475*44/12</f>
        <v>7.1217488355788418E-4</v>
      </c>
      <c r="AX59" s="23">
        <f t="shared" si="6"/>
        <v>20.058422769310585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41.792399999999951</v>
      </c>
      <c r="D60" s="12">
        <f t="shared" si="32"/>
        <v>12.472503937619955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418.8869777640835</v>
      </c>
      <c r="H60" s="70">
        <f t="shared" si="1"/>
        <v>387.84470769135464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8</v>
      </c>
      <c r="N60" s="14">
        <f>IF('Données projet'!$A$36&gt;35,N59+M60-V59,IF(A60&lt;'Données projet'!$A$36,$K$205^A60,IF(A60='Données projet'!$A$36,'Données projet'!$B$36,N59+M60-V59)))</f>
        <v>313</v>
      </c>
      <c r="O60" s="14">
        <f>N60*VLOOKUP('Données projet'!$B$9,Paramètres!$A$1:$I$89,3,0)*VLOOKUP('Données projet'!$B$9,Paramètres!$A$1:$I$89,5,0)</f>
        <v>146.48400000000001</v>
      </c>
      <c r="P60" s="14">
        <f t="shared" si="33"/>
        <v>37.778462341926023</v>
      </c>
      <c r="Q60" s="22">
        <f t="shared" si="53"/>
        <v>320.9237885788545</v>
      </c>
      <c r="R60" s="62">
        <f t="shared" si="0"/>
        <v>614.25712191218781</v>
      </c>
      <c r="S60" s="62">
        <f ca="1">AVERAGE(OFFSET($R$3,0,0,'Données projet'!$E$9+1,1))-AVERAGE(OFFSET($H$3,0,0,'Données projet'!$E$9+1,1))</f>
        <v>145.91567711893987</v>
      </c>
      <c r="T60" s="62">
        <f t="shared" si="34"/>
        <v>136.44398554363522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</v>
      </c>
      <c r="AI60" s="14">
        <f>IF('Données projet'!$A$62&gt;35,AI59+AH60-AQ59,IF(A60&lt;'Données projet'!$A$62,$AF$205^A60,IF(A60='Données projet'!$A$62,'Données projet'!$B$62,AI59+AH60-AQ59)))</f>
        <v>202.00000000000003</v>
      </c>
      <c r="AJ60" s="14">
        <f>AI60*VLOOKUP('Données projet'!$B$10,Paramètres!$A$1:$I$89,3,0)*VLOOKUP('Données projet'!$B$10,Paramètres!$A$1:$I$89,5,0)</f>
        <v>176.46720000000005</v>
      </c>
      <c r="AK60" s="14">
        <f t="shared" si="35"/>
        <v>44.535298821989393</v>
      </c>
      <c r="AL60" s="22">
        <f t="shared" si="4"/>
        <v>384.91268544829819</v>
      </c>
      <c r="AM60" s="62">
        <f t="shared" si="5"/>
        <v>678.24601878163151</v>
      </c>
      <c r="AN60" s="62">
        <f ca="1">AVERAGE(OFFSET($AM$3,0,0,'Données projet'!$E$10+1,1))-AVERAGE(OFFSET($H$3,0,0,'Données projet'!$E$10+1,1))</f>
        <v>222.48114295382305</v>
      </c>
      <c r="AO60" s="62">
        <f t="shared" si="36"/>
        <v>261.55066338953611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15.001394299494248</v>
      </c>
      <c r="AV60" s="23">
        <f>EXP(-LN(2)/25)*AV59+(1-EXP(-LN(2)/25))/(LN(2)/25)*Calculateur!AQ60*Calculateur!AS60*VLOOKUP('Données projet'!$B$10,Paramètres!$A$1:$I$89,3,0)*0.475*44/12</f>
        <v>4.6262039689229866</v>
      </c>
      <c r="AW60" s="23">
        <f>EXP(-LN(2)/2)*AW59+(1-EXP(-LN(2)/2))/(LN(2)/2)*AQ60*AT60*VLOOKUP('Données projet'!$B$10,Paramètres!$A$1:$I$89,3,0)*0.475*44/12</f>
        <v>5.0358368955451976E-4</v>
      </c>
      <c r="AX60" s="23">
        <f t="shared" si="6"/>
        <v>19.628101852106788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42.525599999999947</v>
      </c>
      <c r="D61" s="12">
        <f t="shared" si="32"/>
        <v>12.665653491137919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426.03774624738003</v>
      </c>
      <c r="H61" s="70">
        <f t="shared" si="1"/>
        <v>389.4580998303984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8</v>
      </c>
      <c r="N61" s="14">
        <f>IF('Données projet'!$A$36&gt;35,N60+M61-V60,IF(A61&lt;'Données projet'!$A$36,$K$205^A61,IF(A61='Données projet'!$A$36,'Données projet'!$B$36,N60+M61-V60)))</f>
        <v>321</v>
      </c>
      <c r="O61" s="14">
        <f>N61*VLOOKUP('Données projet'!$B$9,Paramètres!$A$1:$I$89,3,0)*VLOOKUP('Données projet'!$B$9,Paramètres!$A$1:$I$89,5,0)</f>
        <v>150.22800000000001</v>
      </c>
      <c r="P61" s="14">
        <f t="shared" si="33"/>
        <v>38.630394857933659</v>
      </c>
      <c r="Q61" s="22">
        <f t="shared" si="53"/>
        <v>328.92837104423444</v>
      </c>
      <c r="R61" s="62">
        <f t="shared" si="0"/>
        <v>622.26170437756775</v>
      </c>
      <c r="S61" s="62">
        <f ca="1">AVERAGE(OFFSET($R$3,0,0,'Données projet'!$E$9+1,1))-AVERAGE(OFFSET($H$3,0,0,'Données projet'!$E$9+1,1))</f>
        <v>145.91567711893987</v>
      </c>
      <c r="T61" s="62">
        <f t="shared" si="34"/>
        <v>136.44398554363522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</v>
      </c>
      <c r="AI61" s="14">
        <f>IF('Données projet'!$A$62&gt;35,AI60+AH61-AQ60,IF(A61&lt;'Données projet'!$A$62,$AF$205^A61,IF(A61='Données projet'!$A$62,'Données projet'!$B$62,AI60+AH61-AQ60)))</f>
        <v>208.00000000000003</v>
      </c>
      <c r="AJ61" s="14">
        <f>AI61*VLOOKUP('Données projet'!$B$10,Paramètres!$A$1:$I$89,3,0)*VLOOKUP('Données projet'!$B$10,Paramètres!$A$1:$I$89,5,0)</f>
        <v>181.70880000000005</v>
      </c>
      <c r="AK61" s="14">
        <f t="shared" si="35"/>
        <v>45.702153370067812</v>
      </c>
      <c r="AL61" s="22">
        <f t="shared" si="4"/>
        <v>396.07407711953482</v>
      </c>
      <c r="AM61" s="62">
        <f t="shared" si="5"/>
        <v>689.40741045286813</v>
      </c>
      <c r="AN61" s="62">
        <f ca="1">AVERAGE(OFFSET($AM$3,0,0,'Données projet'!$E$10+1,1))-AVERAGE(OFFSET($H$3,0,0,'Données projet'!$E$10+1,1))</f>
        <v>222.48114295382305</v>
      </c>
      <c r="AO61" s="62">
        <f t="shared" si="36"/>
        <v>261.55066338953611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14.707226107228205</v>
      </c>
      <c r="AV61" s="23">
        <f>EXP(-LN(2)/25)*AV60+(1-EXP(-LN(2)/25))/(LN(2)/25)*Calculateur!AQ61*Calculateur!AS61*VLOOKUP('Données projet'!$B$10,Paramètres!$A$1:$I$89,3,0)*0.475*44/12</f>
        <v>4.4997001781112944</v>
      </c>
      <c r="AW61" s="23">
        <f>EXP(-LN(2)/2)*AW60+(1-EXP(-LN(2)/2))/(LN(2)/2)*AQ61*AT61*VLOOKUP('Données projet'!$B$10,Paramètres!$A$1:$I$89,3,0)*0.475*44/12</f>
        <v>3.5608744177894209E-4</v>
      </c>
      <c r="AX61" s="23">
        <f t="shared" si="6"/>
        <v>19.207282372781279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43.258799999999944</v>
      </c>
      <c r="D62" s="12">
        <f t="shared" si="32"/>
        <v>12.858415781906336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433.18552533401339</v>
      </c>
      <c r="H62" s="70">
        <f t="shared" si="1"/>
        <v>391.07081748682009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8</v>
      </c>
      <c r="N62" s="14">
        <f>IF('Données projet'!$A$36&gt;35,N61+M62-V61,IF(A62&lt;'Données projet'!$A$36,$K$205^A62,IF(A62='Données projet'!$A$36,'Données projet'!$B$36,N61+M62-V61)))</f>
        <v>329</v>
      </c>
      <c r="O62" s="14">
        <f>N62*VLOOKUP('Données projet'!$B$9,Paramètres!$A$1:$I$89,3,0)*VLOOKUP('Données projet'!$B$9,Paramètres!$A$1:$I$89,5,0)</f>
        <v>153.97200000000001</v>
      </c>
      <c r="P62" s="14">
        <f t="shared" si="33"/>
        <v>39.479859284656378</v>
      </c>
      <c r="Q62" s="22">
        <f t="shared" si="53"/>
        <v>336.92865492077652</v>
      </c>
      <c r="R62" s="62">
        <f t="shared" si="0"/>
        <v>630.26198825410984</v>
      </c>
      <c r="S62" s="62">
        <f ca="1">AVERAGE(OFFSET($R$3,0,0,'Données projet'!$E$9+1,1))-AVERAGE(OFFSET($H$3,0,0,'Données projet'!$E$9+1,1))</f>
        <v>145.91567711893987</v>
      </c>
      <c r="T62" s="62">
        <f t="shared" si="34"/>
        <v>136.44398554363522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</v>
      </c>
      <c r="AI62" s="14">
        <f>IF('Données projet'!$A$62&gt;35,AI61+AH62-AQ61,IF(A62&lt;'Données projet'!$A$62,$AF$205^A62,IF(A62='Données projet'!$A$62,'Données projet'!$B$62,AI61+AH62-AQ61)))</f>
        <v>214.00000000000003</v>
      </c>
      <c r="AJ62" s="14">
        <f>AI62*VLOOKUP('Données projet'!$B$10,Paramètres!$A$1:$I$89,3,0)*VLOOKUP('Données projet'!$B$10,Paramètres!$A$1:$I$89,5,0)</f>
        <v>186.95040000000006</v>
      </c>
      <c r="AK62" s="14">
        <f t="shared" si="35"/>
        <v>46.865095976617653</v>
      </c>
      <c r="AL62" s="22">
        <f t="shared" si="4"/>
        <v>407.22865549260922</v>
      </c>
      <c r="AM62" s="62">
        <f t="shared" si="5"/>
        <v>700.56198882594254</v>
      </c>
      <c r="AN62" s="62">
        <f ca="1">AVERAGE(OFFSET($AM$3,0,0,'Données projet'!$E$10+1,1))-AVERAGE(OFFSET($H$3,0,0,'Données projet'!$E$10+1,1))</f>
        <v>222.48114295382305</v>
      </c>
      <c r="AO62" s="62">
        <f t="shared" si="36"/>
        <v>261.55066338953611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14.418826373787621</v>
      </c>
      <c r="AV62" s="23">
        <f>EXP(-LN(2)/25)*AV61+(1-EXP(-LN(2)/25))/(LN(2)/25)*Calculateur!AQ62*Calculateur!AS62*VLOOKUP('Données projet'!$B$10,Paramètres!$A$1:$I$89,3,0)*0.475*44/12</f>
        <v>4.3766556401118928</v>
      </c>
      <c r="AW62" s="23">
        <f>EXP(-LN(2)/2)*AW61+(1-EXP(-LN(2)/2))/(LN(2)/2)*AQ62*AT62*VLOOKUP('Données projet'!$B$10,Paramètres!$A$1:$I$89,3,0)*0.475*44/12</f>
        <v>2.5179184477725988E-4</v>
      </c>
      <c r="AX62" s="23">
        <f t="shared" si="6"/>
        <v>18.795733805744291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43.99199999999994</v>
      </c>
      <c r="D63" s="12">
        <f t="shared" si="32"/>
        <v>13.050798131206863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440.33037153914029</v>
      </c>
      <c r="H63" s="70">
        <f t="shared" si="1"/>
        <v>392.6828734118518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337</v>
      </c>
      <c r="L63" s="13">
        <f>VLOOKUP(A63,'Données projet'!$A$35:$I$55,9,0)</f>
        <v>8</v>
      </c>
      <c r="M63" s="13">
        <f t="array" ref="M63">INDEX(L:L,MIN(IF(ISNUMBER(L63:L259),ROW(L63:L259),"")))</f>
        <v>8</v>
      </c>
      <c r="N63" s="14">
        <f>IF('Données projet'!$A$36&gt;35,N62+M63-V62,IF(A63&lt;'Données projet'!$A$36,$K$205^A63,IF(A63='Données projet'!$A$36,'Données projet'!$B$36,N62+M63-V62)))</f>
        <v>337</v>
      </c>
      <c r="O63" s="14">
        <f>N63*VLOOKUP('Données projet'!$B$9,Paramètres!$A$1:$I$89,3,0)*VLOOKUP('Données projet'!$B$9,Paramètres!$A$1:$I$89,5,0)</f>
        <v>157.71600000000001</v>
      </c>
      <c r="P63" s="14">
        <f t="shared" si="33"/>
        <v>40.326922540698838</v>
      </c>
      <c r="Q63" s="22">
        <f t="shared" si="53"/>
        <v>344.92475675838381</v>
      </c>
      <c r="R63" s="62">
        <f t="shared" si="0"/>
        <v>638.25809009171712</v>
      </c>
      <c r="S63" s="62">
        <f ca="1">AVERAGE(OFFSET($R$3,0,0,'Données projet'!$E$9+1,1))-AVERAGE(OFFSET($H$3,0,0,'Données projet'!$E$9+1,1))</f>
        <v>145.91567711893987</v>
      </c>
      <c r="T63" s="62">
        <f t="shared" si="34"/>
        <v>136.44398554363522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67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220</v>
      </c>
      <c r="AG63" s="13">
        <f>VLOOKUP(A63,'Données projet'!$A$61:$I$81,9,0)</f>
        <v>6</v>
      </c>
      <c r="AH63" s="13">
        <f t="array" ref="AH63">INDEX(AG:AG,MIN(IF(ISNUMBER(AG63:AG259),ROW(AG63:AG259),"")))</f>
        <v>6</v>
      </c>
      <c r="AI63" s="14">
        <f>IF('Données projet'!$A$62&gt;35,AI62+AH63-AQ62,IF(A63&lt;'Données projet'!$A$62,$AF$205^A63,IF(A63='Données projet'!$A$62,'Données projet'!$B$62,AI62+AH63-AQ62)))</f>
        <v>220.00000000000003</v>
      </c>
      <c r="AJ63" s="14">
        <f>AI63*VLOOKUP('Données projet'!$B$10,Paramètres!$A$1:$I$89,3,0)*VLOOKUP('Données projet'!$B$10,Paramètres!$A$1:$I$89,5,0)</f>
        <v>192.19200000000006</v>
      </c>
      <c r="AK63" s="14">
        <f t="shared" si="35"/>
        <v>48.02424892193244</v>
      </c>
      <c r="AL63" s="22">
        <f t="shared" si="4"/>
        <v>418.37663353903241</v>
      </c>
      <c r="AM63" s="62">
        <f t="shared" si="5"/>
        <v>711.70996687236573</v>
      </c>
      <c r="AN63" s="62">
        <f ca="1">AVERAGE(OFFSET($AM$3,0,0,'Données projet'!$E$10+1,1))-AVERAGE(OFFSET($H$3,0,0,'Données projet'!$E$10+1,1))</f>
        <v>222.48114295382305</v>
      </c>
      <c r="AO63" s="62">
        <f t="shared" si="36"/>
        <v>261.55066338953611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14.136081983213337</v>
      </c>
      <c r="AV63" s="23">
        <f>EXP(-LN(2)/25)*AV62+(1-EXP(-LN(2)/25))/(LN(2)/25)*Calculateur!AQ63*Calculateur!AS63*VLOOKUP('Données projet'!$B$10,Paramètres!$A$1:$I$89,3,0)*0.475*44/12</f>
        <v>4.2569757614747159</v>
      </c>
      <c r="AW63" s="23">
        <f>EXP(-LN(2)/2)*AW62+(1-EXP(-LN(2)/2))/(LN(2)/2)*AQ63*AT63*VLOOKUP('Données projet'!$B$10,Paramètres!$A$1:$I$89,3,0)*0.475*44/12</f>
        <v>1.7804372088947105E-4</v>
      </c>
      <c r="AX63" s="23">
        <f t="shared" si="6"/>
        <v>18.393235788408944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44.725199999999937</v>
      </c>
      <c r="D64" s="12">
        <f t="shared" si="32"/>
        <v>13.24280760228976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447.47233938609594</v>
      </c>
      <c r="H64" s="70">
        <f t="shared" si="1"/>
        <v>394.2942799073212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7.5</v>
      </c>
      <c r="N64" s="14">
        <f>IF('Données projet'!$A$36&gt;35,N63+M64-V63,IF(A64&lt;'Données projet'!$A$36,$K$205^A64,IF(A64='Données projet'!$A$36,'Données projet'!$B$36,N63+M64-V63)))</f>
        <v>277.5</v>
      </c>
      <c r="O64" s="14">
        <f>N64*VLOOKUP('Données projet'!$B$9,Paramètres!$A$1:$I$89,3,0)*VLOOKUP('Données projet'!$B$9,Paramètres!$A$1:$I$89,5,0)</f>
        <v>129.87</v>
      </c>
      <c r="P64" s="14">
        <f t="shared" si="33"/>
        <v>33.966318400312318</v>
      </c>
      <c r="Q64" s="22">
        <f t="shared" si="53"/>
        <v>285.34825454721067</v>
      </c>
      <c r="R64" s="62">
        <f t="shared" si="0"/>
        <v>578.68158788054393</v>
      </c>
      <c r="S64" s="62">
        <f ca="1">AVERAGE(OFFSET($R$3,0,0,'Données projet'!$E$9+1,1))-AVERAGE(OFFSET($H$3,0,0,'Données projet'!$E$9+1,1))</f>
        <v>145.91567711893987</v>
      </c>
      <c r="T64" s="62">
        <f t="shared" si="34"/>
        <v>136.44398554363522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</v>
      </c>
      <c r="AI64" s="14">
        <f>IF('Données projet'!$A$62&gt;35,AI63+AH64-AQ63,IF(A64&lt;'Données projet'!$A$62,$AF$205^A64,IF(A64='Données projet'!$A$62,'Données projet'!$B$62,AI63+AH64-AQ63)))</f>
        <v>203.20000000000002</v>
      </c>
      <c r="AJ64" s="14">
        <f>AI64*VLOOKUP('Données projet'!$B$10,Paramètres!$A$1:$I$89,3,0)*VLOOKUP('Données projet'!$B$10,Paramètres!$A$1:$I$89,5,0)</f>
        <v>177.51552000000004</v>
      </c>
      <c r="AK64" s="14">
        <f t="shared" si="35"/>
        <v>44.768988809542904</v>
      </c>
      <c r="AL64" s="22">
        <f t="shared" si="4"/>
        <v>387.145519509954</v>
      </c>
      <c r="AM64" s="62">
        <f t="shared" si="5"/>
        <v>680.47885284328731</v>
      </c>
      <c r="AN64" s="62">
        <f ca="1">AVERAGE(OFFSET($AM$3,0,0,'Données projet'!$E$10+1,1))-AVERAGE(OFFSET($H$3,0,0,'Données projet'!$E$10+1,1))</f>
        <v>222.48114295382305</v>
      </c>
      <c r="AO64" s="62">
        <f t="shared" si="36"/>
        <v>261.55066338953611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13.858882037681166</v>
      </c>
      <c r="AV64" s="23">
        <f>EXP(-LN(2)/25)*AV63+(1-EXP(-LN(2)/25))/(LN(2)/25)*Calculateur!AQ64*Calculateur!AS64*VLOOKUP('Données projet'!$B$10,Paramètres!$A$1:$I$89,3,0)*0.475*44/12</f>
        <v>4.1405685354125641</v>
      </c>
      <c r="AW64" s="23">
        <f>EXP(-LN(2)/2)*AW63+(1-EXP(-LN(2)/2))/(LN(2)/2)*AQ64*AT64*VLOOKUP('Données projet'!$B$10,Paramètres!$A$1:$I$89,3,0)*0.475*44/12</f>
        <v>1.2589592238862994E-4</v>
      </c>
      <c r="AX64" s="23">
        <f t="shared" si="6"/>
        <v>17.99957646901612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45.458399999999934</v>
      </c>
      <c r="D65" s="12">
        <f t="shared" si="32"/>
        <v>13.434451013546127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454.61148150807486</v>
      </c>
      <c r="H65" s="70">
        <f t="shared" si="1"/>
        <v>395.90504884859268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7.5</v>
      </c>
      <c r="N65" s="14">
        <f>IF('Données projet'!$A$36&gt;35,N64+M65-V64,IF(A65&lt;'Données projet'!$A$36,$K$205^A65,IF(A65='Données projet'!$A$36,'Données projet'!$B$36,N64+M65-V64)))</f>
        <v>285</v>
      </c>
      <c r="O65" s="14">
        <f>N65*VLOOKUP('Données projet'!$B$9,Paramètres!$A$1:$I$89,3,0)*VLOOKUP('Données projet'!$B$9,Paramètres!$A$1:$I$89,5,0)</f>
        <v>133.38</v>
      </c>
      <c r="P65" s="14">
        <f t="shared" si="33"/>
        <v>34.776207535548991</v>
      </c>
      <c r="Q65" s="22">
        <f t="shared" si="53"/>
        <v>292.8720614577478</v>
      </c>
      <c r="R65" s="62">
        <f t="shared" si="0"/>
        <v>586.20539479108106</v>
      </c>
      <c r="S65" s="62">
        <f ca="1">AVERAGE(OFFSET($R$3,0,0,'Données projet'!$E$9+1,1))-AVERAGE(OFFSET($H$3,0,0,'Données projet'!$E$9+1,1))</f>
        <v>145.91567711893987</v>
      </c>
      <c r="T65" s="62">
        <f t="shared" si="34"/>
        <v>136.44398554363522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</v>
      </c>
      <c r="AI65" s="14">
        <f>IF('Données projet'!$A$62&gt;35,AI64+AH65-AQ64,IF(A65&lt;'Données projet'!$A$62,$AF$205^A65,IF(A65='Données projet'!$A$62,'Données projet'!$B$62,AI64+AH65-AQ64)))</f>
        <v>208.4</v>
      </c>
      <c r="AJ65" s="14">
        <f>AI65*VLOOKUP('Données projet'!$B$10,Paramètres!$A$1:$I$89,3,0)*VLOOKUP('Données projet'!$B$10,Paramètres!$A$1:$I$89,5,0)</f>
        <v>182.05824000000001</v>
      </c>
      <c r="AK65" s="14">
        <f t="shared" si="35"/>
        <v>45.779803189729343</v>
      </c>
      <c r="AL65" s="22">
        <f t="shared" si="4"/>
        <v>396.81792522211191</v>
      </c>
      <c r="AM65" s="62">
        <f t="shared" si="5"/>
        <v>690.15125855544522</v>
      </c>
      <c r="AN65" s="62">
        <f ca="1">AVERAGE(OFFSET($AM$3,0,0,'Données projet'!$E$10+1,1))-AVERAGE(OFFSET($H$3,0,0,'Données projet'!$E$10+1,1))</f>
        <v>222.48114295382305</v>
      </c>
      <c r="AO65" s="62">
        <f t="shared" si="36"/>
        <v>261.55066338953611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13.587117814005609</v>
      </c>
      <c r="AV65" s="23">
        <f>EXP(-LN(2)/25)*AV64+(1-EXP(-LN(2)/25))/(LN(2)/25)*Calculateur!AQ65*Calculateur!AS65*VLOOKUP('Données projet'!$B$10,Paramètres!$A$1:$I$89,3,0)*0.475*44/12</f>
        <v>4.0273444710686714</v>
      </c>
      <c r="AW65" s="23">
        <f>EXP(-LN(2)/2)*AW64+(1-EXP(-LN(2)/2))/(LN(2)/2)*AQ65*AT65*VLOOKUP('Données projet'!$B$10,Paramètres!$A$1:$I$89,3,0)*0.475*44/12</f>
        <v>8.9021860444735523E-5</v>
      </c>
      <c r="AX65" s="23">
        <f t="shared" si="6"/>
        <v>17.614551306934725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46.19159999999993</v>
      </c>
      <c r="D66" s="12">
        <f t="shared" si="32"/>
        <v>13.625734950806207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461.74784874306488</v>
      </c>
      <c r="H66" s="70">
        <f t="shared" si="1"/>
        <v>397.51519170598732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7.5</v>
      </c>
      <c r="N66" s="14">
        <f>IF('Données projet'!$A$36&gt;35,N65+M66-V65,IF(A66&lt;'Données projet'!$A$36,$K$205^A66,IF(A66='Données projet'!$A$36,'Données projet'!$B$36,N65+M66-V65)))</f>
        <v>292.5</v>
      </c>
      <c r="O66" s="14">
        <f>N66*VLOOKUP('Données projet'!$B$9,Paramètres!$A$1:$I$89,3,0)*VLOOKUP('Données projet'!$B$9,Paramètres!$A$1:$I$89,5,0)</f>
        <v>136.89000000000001</v>
      </c>
      <c r="P66" s="14">
        <f t="shared" si="33"/>
        <v>35.583619346017713</v>
      </c>
      <c r="Q66" s="22">
        <f t="shared" si="53"/>
        <v>300.39155369431421</v>
      </c>
      <c r="R66" s="62">
        <f t="shared" si="0"/>
        <v>593.72488702764758</v>
      </c>
      <c r="S66" s="62">
        <f ca="1">AVERAGE(OFFSET($R$3,0,0,'Données projet'!$E$9+1,1))-AVERAGE(OFFSET($H$3,0,0,'Données projet'!$E$9+1,1))</f>
        <v>145.91567711893987</v>
      </c>
      <c r="T66" s="62">
        <f t="shared" si="34"/>
        <v>136.44398554363522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</v>
      </c>
      <c r="AI66" s="14">
        <f>IF('Données projet'!$A$62&gt;35,AI65+AH66-AQ65,IF(A66&lt;'Données projet'!$A$62,$AF$205^A66,IF(A66='Données projet'!$A$62,'Données projet'!$B$62,AI65+AH66-AQ65)))</f>
        <v>213.6</v>
      </c>
      <c r="AJ66" s="14">
        <f>AI66*VLOOKUP('Données projet'!$B$10,Paramètres!$A$1:$I$89,3,0)*VLOOKUP('Données projet'!$B$10,Paramètres!$A$1:$I$89,5,0)</f>
        <v>186.60096000000001</v>
      </c>
      <c r="AK66" s="14">
        <f t="shared" si="35"/>
        <v>46.787685683664144</v>
      </c>
      <c r="AL66" s="22">
        <f t="shared" si="4"/>
        <v>406.48522456571504</v>
      </c>
      <c r="AM66" s="62">
        <f t="shared" si="5"/>
        <v>699.8185578990483</v>
      </c>
      <c r="AN66" s="62">
        <f ca="1">AVERAGE(OFFSET($AM$3,0,0,'Données projet'!$E$10+1,1))-AVERAGE(OFFSET($H$3,0,0,'Données projet'!$E$10+1,1))</f>
        <v>222.48114295382305</v>
      </c>
      <c r="AO66" s="62">
        <f t="shared" si="36"/>
        <v>261.55066338953611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13.320682720996521</v>
      </c>
      <c r="AV66" s="23">
        <f>EXP(-LN(2)/25)*AV65+(1-EXP(-LN(2)/25))/(LN(2)/25)*Calculateur!AQ66*Calculateur!AS66*VLOOKUP('Données projet'!$B$10,Paramètres!$A$1:$I$89,3,0)*0.475*44/12</f>
        <v>3.9172165247184574</v>
      </c>
      <c r="AW66" s="23">
        <f>EXP(-LN(2)/2)*AW65+(1-EXP(-LN(2)/2))/(LN(2)/2)*AQ66*AT66*VLOOKUP('Données projet'!$B$10,Paramètres!$A$1:$I$89,3,0)*0.475*44/12</f>
        <v>6.294796119431497E-5</v>
      </c>
      <c r="AX66" s="23">
        <f t="shared" si="6"/>
        <v>17.237962193676172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46.924799999999927</v>
      </c>
      <c r="D67" s="12">
        <f t="shared" si="32"/>
        <v>13.816665778834693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468.88149022258307</v>
      </c>
      <c r="H67" s="70">
        <f t="shared" si="1"/>
        <v>399.12471956480363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7.5</v>
      </c>
      <c r="N67" s="14">
        <f>IF('Données projet'!$A$36&gt;35,N66+M67-V66,IF(A67&lt;'Données projet'!$A$36,$K$205^A67,IF(A67='Données projet'!$A$36,'Données projet'!$B$36,N66+M67-V66)))</f>
        <v>300</v>
      </c>
      <c r="O67" s="14">
        <f>N67*VLOOKUP('Données projet'!$B$9,Paramètres!$A$1:$I$89,3,0)*VLOOKUP('Données projet'!$B$9,Paramètres!$A$1:$I$89,5,0)</f>
        <v>140.4</v>
      </c>
      <c r="P67" s="14">
        <f t="shared" si="33"/>
        <v>36.388624656711201</v>
      </c>
      <c r="Q67" s="22">
        <f t="shared" ref="Q67:Q98" si="54">(O67+P67)*0.475*44/12</f>
        <v>307.90685461043864</v>
      </c>
      <c r="R67" s="62">
        <f t="shared" ref="R67:R130" si="55">Q67+(I67+J67)*44/12</f>
        <v>601.24018794377196</v>
      </c>
      <c r="S67" s="62">
        <f ca="1">AVERAGE(OFFSET($R$3,0,0,'Données projet'!$E$9+1,1))-AVERAGE(OFFSET($H$3,0,0,'Données projet'!$E$9+1,1))</f>
        <v>145.91567711893987</v>
      </c>
      <c r="T67" s="62">
        <f t="shared" si="34"/>
        <v>136.44398554363522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</v>
      </c>
      <c r="AI67" s="14">
        <f>IF('Données projet'!$A$62&gt;35,AI66+AH67-AQ66,IF(A67&lt;'Données projet'!$A$62,$AF$205^A67,IF(A67='Données projet'!$A$62,'Données projet'!$B$62,AI66+AH67-AQ66)))</f>
        <v>218.79999999999998</v>
      </c>
      <c r="AJ67" s="14">
        <f>AI67*VLOOKUP('Données projet'!$B$10,Paramètres!$A$1:$I$89,3,0)*VLOOKUP('Données projet'!$B$10,Paramètres!$A$1:$I$89,5,0)</f>
        <v>191.14368000000002</v>
      </c>
      <c r="AK67" s="14">
        <f t="shared" si="35"/>
        <v>47.792715878069586</v>
      </c>
      <c r="AL67" s="22">
        <f t="shared" si="4"/>
        <v>416.14755615430454</v>
      </c>
      <c r="AM67" s="62">
        <f t="shared" si="5"/>
        <v>709.4808894876378</v>
      </c>
      <c r="AN67" s="62">
        <f ca="1">AVERAGE(OFFSET($AM$3,0,0,'Données projet'!$E$10+1,1))-AVERAGE(OFFSET($H$3,0,0,'Données projet'!$E$10+1,1))</f>
        <v>222.48114295382305</v>
      </c>
      <c r="AO67" s="62">
        <f t="shared" si="36"/>
        <v>261.55066338953611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13.059472257651979</v>
      </c>
      <c r="AV67" s="23">
        <f>EXP(-LN(2)/25)*AV66+(1-EXP(-LN(2)/25))/(LN(2)/25)*Calculateur!AQ67*Calculateur!AS67*VLOOKUP('Données projet'!$B$10,Paramètres!$A$1:$I$89,3,0)*0.475*44/12</f>
        <v>3.8101000328525672</v>
      </c>
      <c r="AW67" s="23">
        <f>EXP(-LN(2)/2)*AW66+(1-EXP(-LN(2)/2))/(LN(2)/2)*AQ67*AT67*VLOOKUP('Données projet'!$B$10,Paramètres!$A$1:$I$89,3,0)*0.475*44/12</f>
        <v>4.4510930222367761E-5</v>
      </c>
      <c r="AX67" s="23">
        <f t="shared" si="6"/>
        <v>16.86961680143477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47.657999999999923</v>
      </c>
      <c r="D68" s="12">
        <f t="shared" si="32"/>
        <v>14.007249652087188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476.01245345470755</v>
      </c>
      <c r="H68" s="70">
        <f t="shared" ref="H68:H131" si="56">(B68+E68+F68)*44/12+(C68+D68)*0.475*44/12</f>
        <v>400.73364314405171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7.5</v>
      </c>
      <c r="N68" s="14">
        <f>IF('Données projet'!$A$36&gt;35,N67+M68-V67,IF(A68&lt;'Données projet'!$A$36,$K$205^A68,IF(A68='Données projet'!$A$36,'Données projet'!$B$36,N67+M68-V67)))</f>
        <v>307.5</v>
      </c>
      <c r="O68" s="14">
        <f>N68*VLOOKUP('Données projet'!$B$9,Paramètres!$A$1:$I$89,3,0)*VLOOKUP('Données projet'!$B$9,Paramètres!$A$1:$I$89,5,0)</f>
        <v>143.91</v>
      </c>
      <c r="P68" s="14">
        <f t="shared" si="33"/>
        <v>37.191290549543432</v>
      </c>
      <c r="Q68" s="22">
        <f t="shared" si="54"/>
        <v>315.41808104045475</v>
      </c>
      <c r="R68" s="62">
        <f t="shared" si="55"/>
        <v>608.75141437378807</v>
      </c>
      <c r="S68" s="62">
        <f ca="1">AVERAGE(OFFSET($R$3,0,0,'Données projet'!$E$9+1,1))-AVERAGE(OFFSET($H$3,0,0,'Données projet'!$E$9+1,1))</f>
        <v>145.91567711893987</v>
      </c>
      <c r="T68" s="62">
        <f t="shared" si="34"/>
        <v>136.44398554363522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224</v>
      </c>
      <c r="AG68" s="13">
        <f>VLOOKUP(A68,'Données projet'!$A$61:$I$81,9,0)</f>
        <v>5.2</v>
      </c>
      <c r="AH68" s="13">
        <f t="array" ref="AH68">INDEX(AG:AG,MIN(IF(ISNUMBER(AG68:AG264),ROW(AG68:AG264),"")))</f>
        <v>5.2</v>
      </c>
      <c r="AI68" s="14">
        <f>IF('Données projet'!$A$62&gt;35,AI67+AH68-AQ67,IF(A68&lt;'Données projet'!$A$62,$AF$205^A68,IF(A68='Données projet'!$A$62,'Données projet'!$B$62,AI67+AH68-AQ67)))</f>
        <v>223.99999999999997</v>
      </c>
      <c r="AJ68" s="14">
        <f>AI68*VLOOKUP('Données projet'!$B$10,Paramètres!$A$1:$I$89,3,0)*VLOOKUP('Données projet'!$B$10,Paramètres!$A$1:$I$89,5,0)</f>
        <v>195.68639999999999</v>
      </c>
      <c r="AK68" s="14">
        <f t="shared" si="35"/>
        <v>48.794969360985156</v>
      </c>
      <c r="AL68" s="22">
        <f t="shared" ref="AL68:AL131" si="58">(AJ68+AK68)*0.475*44/12</f>
        <v>425.80505163704908</v>
      </c>
      <c r="AM68" s="62">
        <f t="shared" ref="AM68:AM131" si="59">AL68+(AD68+AE68)*44/12</f>
        <v>719.13838497038239</v>
      </c>
      <c r="AN68" s="62">
        <f ca="1">AVERAGE(OFFSET($AM$3,0,0,'Données projet'!$E$10+1,1))-AVERAGE(OFFSET($H$3,0,0,'Données projet'!$E$10+1,1))</f>
        <v>222.48114295382305</v>
      </c>
      <c r="AO68" s="62">
        <f t="shared" si="36"/>
        <v>261.55066338953611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12.803383972170975</v>
      </c>
      <c r="AV68" s="23">
        <f>EXP(-LN(2)/25)*AV67+(1-EXP(-LN(2)/25))/(LN(2)/25)*Calculateur!AQ68*Calculateur!AS68*VLOOKUP('Données projet'!$B$10,Paramètres!$A$1:$I$89,3,0)*0.475*44/12</f>
        <v>3.705912647089761</v>
      </c>
      <c r="AW68" s="23">
        <f>EXP(-LN(2)/2)*AW67+(1-EXP(-LN(2)/2))/(LN(2)/2)*AQ68*AT68*VLOOKUP('Données projet'!$B$10,Paramètres!$A$1:$I$89,3,0)*0.475*44/12</f>
        <v>3.1473980597157485E-5</v>
      </c>
      <c r="AX68" s="23">
        <f t="shared" ref="AX68:AX131" si="60">SUM(AU68:AW68)</f>
        <v>16.509328093241336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48.39119999999992</v>
      </c>
      <c r="D69" s="12">
        <f t="shared" ref="D69:D132" si="86">IFERROR(EXP(-1.0587+0.8836*LN(C69)+0.284),0)</f>
        <v>14.197492524785963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483.14078440185591</v>
      </c>
      <c r="H69" s="70">
        <f t="shared" si="56"/>
        <v>402.34197281400208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7.5</v>
      </c>
      <c r="N69" s="14">
        <f>IF('Données projet'!$A$36&gt;35,N68+M69-V68,IF(A69&lt;'Données projet'!$A$36,$K$205^A69,IF(A69='Données projet'!$A$36,'Données projet'!$B$36,N68+M69-V68)))</f>
        <v>315</v>
      </c>
      <c r="O69" s="14">
        <f>N69*VLOOKUP('Données projet'!$B$9,Paramètres!$A$1:$I$89,3,0)*VLOOKUP('Données projet'!$B$9,Paramètres!$A$1:$I$89,5,0)</f>
        <v>147.41999999999999</v>
      </c>
      <c r="P69" s="14">
        <f t="shared" ref="P69:P132" si="87">EXP(-1.0587+0.8836*LN(O69)+0.284)</f>
        <v>37.991680647570291</v>
      </c>
      <c r="Q69" s="22">
        <f t="shared" si="54"/>
        <v>322.92534379451826</v>
      </c>
      <c r="R69" s="62">
        <f t="shared" si="55"/>
        <v>616.25867712785157</v>
      </c>
      <c r="S69" s="62">
        <f ca="1">AVERAGE(OFFSET($R$3,0,0,'Données projet'!$E$9+1,1))-AVERAGE(OFFSET($H$3,0,0,'Données projet'!$E$9+1,1))</f>
        <v>145.91567711893987</v>
      </c>
      <c r="T69" s="62">
        <f t="shared" ref="T69:T132" si="88">$T$3</f>
        <v>136.44398554363522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4.5999999999999996</v>
      </c>
      <c r="AI69" s="14">
        <f>IF('Données projet'!$A$62&gt;35,AI68+AH69-AQ68,IF(A69&lt;'Données projet'!$A$62,$AF$205^A69,IF(A69='Données projet'!$A$62,'Données projet'!$B$62,AI68+AH69-AQ68)))</f>
        <v>208.59999999999997</v>
      </c>
      <c r="AJ69" s="14">
        <f>AI69*VLOOKUP('Données projet'!$B$10,Paramètres!$A$1:$I$89,3,0)*VLOOKUP('Données projet'!$B$10,Paramètres!$A$1:$I$89,5,0)</f>
        <v>182.23295999999999</v>
      </c>
      <c r="AK69" s="14">
        <f t="shared" ref="AK69:AK132" si="89">EXP(-1.0587+0.8836*LN(AJ69)+0.284)</f>
        <v>45.818621592366291</v>
      </c>
      <c r="AL69" s="22">
        <f t="shared" si="58"/>
        <v>397.18983794003793</v>
      </c>
      <c r="AM69" s="62">
        <f t="shared" si="59"/>
        <v>690.52317127337119</v>
      </c>
      <c r="AN69" s="62">
        <f ca="1">AVERAGE(OFFSET($AM$3,0,0,'Données projet'!$E$10+1,1))-AVERAGE(OFFSET($H$3,0,0,'Données projet'!$E$10+1,1))</f>
        <v>222.48114295382305</v>
      </c>
      <c r="AO69" s="62">
        <f t="shared" ref="AO69:AO132" si="90">$AO$3</f>
        <v>261.55066338953611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12.552317421769821</v>
      </c>
      <c r="AV69" s="23">
        <f>EXP(-LN(2)/25)*AV68+(1-EXP(-LN(2)/25))/(LN(2)/25)*Calculateur!AQ69*Calculateur!AS69*VLOOKUP('Données projet'!$B$10,Paramètres!$A$1:$I$89,3,0)*0.475*44/12</f>
        <v>3.6045742708696151</v>
      </c>
      <c r="AW69" s="23">
        <f>EXP(-LN(2)/2)*AW68+(1-EXP(-LN(2)/2))/(LN(2)/2)*AQ69*AT69*VLOOKUP('Données projet'!$B$10,Paramètres!$A$1:$I$89,3,0)*0.475*44/12</f>
        <v>2.2255465111183881E-5</v>
      </c>
      <c r="AX69" s="23">
        <f t="shared" si="60"/>
        <v>16.156913948104549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49.124399999999916</v>
      </c>
      <c r="D70" s="12">
        <f t="shared" si="86"/>
        <v>14.387400160367701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490.26652755371492</v>
      </c>
      <c r="H70" s="70">
        <f t="shared" si="56"/>
        <v>403.94971861264025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7.5</v>
      </c>
      <c r="N70" s="14">
        <f>IF('Données projet'!$A$36&gt;35,N69+M70-V69,IF(A70&lt;'Données projet'!$A$36,$K$205^A70,IF(A70='Données projet'!$A$36,'Données projet'!$B$36,N69+M70-V69)))</f>
        <v>322.5</v>
      </c>
      <c r="O70" s="14">
        <f>N70*VLOOKUP('Données projet'!$B$9,Paramètres!$A$1:$I$89,3,0)*VLOOKUP('Données projet'!$B$9,Paramètres!$A$1:$I$89,5,0)</f>
        <v>150.93</v>
      </c>
      <c r="P70" s="14">
        <f t="shared" si="87"/>
        <v>38.789855371379076</v>
      </c>
      <c r="Q70" s="22">
        <f t="shared" si="54"/>
        <v>330.4287481051519</v>
      </c>
      <c r="R70" s="62">
        <f t="shared" si="55"/>
        <v>623.76208143848521</v>
      </c>
      <c r="S70" s="62">
        <f ca="1">AVERAGE(OFFSET($R$3,0,0,'Données projet'!$E$9+1,1))-AVERAGE(OFFSET($H$3,0,0,'Données projet'!$E$9+1,1))</f>
        <v>145.91567711893987</v>
      </c>
      <c r="T70" s="62">
        <f t="shared" si="88"/>
        <v>136.44398554363522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4.5999999999999996</v>
      </c>
      <c r="AI70" s="14">
        <f>IF('Données projet'!$A$62&gt;35,AI69+AH70-AQ69,IF(A70&lt;'Données projet'!$A$62,$AF$205^A70,IF(A70='Données projet'!$A$62,'Données projet'!$B$62,AI69+AH70-AQ69)))</f>
        <v>213.19999999999996</v>
      </c>
      <c r="AJ70" s="14">
        <f>AI70*VLOOKUP('Données projet'!$B$10,Paramètres!$A$1:$I$89,3,0)*VLOOKUP('Données projet'!$B$10,Paramètres!$A$1:$I$89,5,0)</f>
        <v>186.25152</v>
      </c>
      <c r="AK70" s="14">
        <f t="shared" si="89"/>
        <v>46.71025851515671</v>
      </c>
      <c r="AL70" s="22">
        <f t="shared" si="58"/>
        <v>405.74176424723129</v>
      </c>
      <c r="AM70" s="62">
        <f t="shared" si="59"/>
        <v>699.0750975805646</v>
      </c>
      <c r="AN70" s="62">
        <f ca="1">AVERAGE(OFFSET($AM$3,0,0,'Données projet'!$E$10+1,1))-AVERAGE(OFFSET($H$3,0,0,'Données projet'!$E$10+1,1))</f>
        <v>222.48114295382305</v>
      </c>
      <c r="AO70" s="62">
        <f t="shared" si="90"/>
        <v>261.55066338953611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12.306174133286559</v>
      </c>
      <c r="AV70" s="23">
        <f>EXP(-LN(2)/25)*AV69+(1-EXP(-LN(2)/25))/(LN(2)/25)*Calculateur!AQ70*Calculateur!AS70*VLOOKUP('Données projet'!$B$10,Paramètres!$A$1:$I$89,3,0)*0.475*44/12</f>
        <v>3.5060069978763631</v>
      </c>
      <c r="AW70" s="23">
        <f>EXP(-LN(2)/2)*AW69+(1-EXP(-LN(2)/2))/(LN(2)/2)*AQ70*AT70*VLOOKUP('Données projet'!$B$10,Paramètres!$A$1:$I$89,3,0)*0.475*44/12</f>
        <v>1.5736990298578742E-5</v>
      </c>
      <c r="AX70" s="23">
        <f t="shared" si="60"/>
        <v>15.812196868153222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49.857599999999913</v>
      </c>
      <c r="D71" s="12">
        <f t="shared" si="86"/>
        <v>14.576978140351192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497.38972599569274</v>
      </c>
      <c r="H71" s="70">
        <f t="shared" si="56"/>
        <v>405.5568902611115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7.5</v>
      </c>
      <c r="N71" s="14">
        <f>IF('Données projet'!$A$36&gt;35,N70+M71-V70,IF(A71&lt;'Données projet'!$A$36,$K$205^A71,IF(A71='Données projet'!$A$36,'Données projet'!$B$36,N70+M71-V70)))</f>
        <v>330</v>
      </c>
      <c r="O71" s="14">
        <f>N71*VLOOKUP('Données projet'!$B$9,Paramètres!$A$1:$I$89,3,0)*VLOOKUP('Données projet'!$B$9,Paramètres!$A$1:$I$89,5,0)</f>
        <v>154.44</v>
      </c>
      <c r="P71" s="14">
        <f t="shared" si="87"/>
        <v>39.58587217095549</v>
      </c>
      <c r="Q71" s="22">
        <f t="shared" si="54"/>
        <v>337.92839403108081</v>
      </c>
      <c r="R71" s="62">
        <f t="shared" si="55"/>
        <v>631.26172736441413</v>
      </c>
      <c r="S71" s="62">
        <f ca="1">AVERAGE(OFFSET($R$3,0,0,'Données projet'!$E$9+1,1))-AVERAGE(OFFSET($H$3,0,0,'Données projet'!$E$9+1,1))</f>
        <v>145.91567711893987</v>
      </c>
      <c r="T71" s="62">
        <f t="shared" si="88"/>
        <v>136.44398554363522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4.5999999999999996</v>
      </c>
      <c r="AI71" s="14">
        <f>IF('Données projet'!$A$62&gt;35,AI70+AH71-AQ70,IF(A71&lt;'Données projet'!$A$62,$AF$205^A71,IF(A71='Données projet'!$A$62,'Données projet'!$B$62,AI70+AH71-AQ70)))</f>
        <v>217.79999999999995</v>
      </c>
      <c r="AJ71" s="14">
        <f>AI71*VLOOKUP('Données projet'!$B$10,Paramètres!$A$1:$I$89,3,0)*VLOOKUP('Données projet'!$B$10,Paramètres!$A$1:$I$89,5,0)</f>
        <v>190.27007999999998</v>
      </c>
      <c r="AK71" s="14">
        <f t="shared" si="89"/>
        <v>47.599658767320413</v>
      </c>
      <c r="AL71" s="22">
        <f t="shared" si="58"/>
        <v>414.28979501974965</v>
      </c>
      <c r="AM71" s="62">
        <f t="shared" si="59"/>
        <v>707.62312835308296</v>
      </c>
      <c r="AN71" s="62">
        <f ca="1">AVERAGE(OFFSET($AM$3,0,0,'Données projet'!$E$10+1,1))-AVERAGE(OFFSET($H$3,0,0,'Données projet'!$E$10+1,1))</f>
        <v>222.48114295382305</v>
      </c>
      <c r="AO71" s="62">
        <f t="shared" si="90"/>
        <v>261.55066338953611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12.064857564557872</v>
      </c>
      <c r="AV71" s="23">
        <f>EXP(-LN(2)/25)*AV70+(1-EXP(-LN(2)/25))/(LN(2)/25)*Calculateur!AQ71*Calculateur!AS71*VLOOKUP('Données projet'!$B$10,Paramètres!$A$1:$I$89,3,0)*0.475*44/12</f>
        <v>3.410135052146539</v>
      </c>
      <c r="AW71" s="23">
        <f>EXP(-LN(2)/2)*AW70+(1-EXP(-LN(2)/2))/(LN(2)/2)*AQ71*AT71*VLOOKUP('Données projet'!$B$10,Paramètres!$A$1:$I$89,3,0)*0.475*44/12</f>
        <v>1.112773255559194E-5</v>
      </c>
      <c r="AX71" s="23">
        <f t="shared" si="60"/>
        <v>15.475003744436968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50.590799999999909</v>
      </c>
      <c r="D72" s="12">
        <f t="shared" si="86"/>
        <v>14.766231872668596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504.51042147323056</v>
      </c>
      <c r="H72" s="70">
        <f t="shared" si="56"/>
        <v>407.16349717823095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7.5</v>
      </c>
      <c r="N72" s="14">
        <f>IF('Données projet'!$A$36&gt;35,N71+M72-V71,IF(A72&lt;'Données projet'!$A$36,$K$205^A72,IF(A72='Données projet'!$A$36,'Données projet'!$B$36,N71+M72-V71)))</f>
        <v>337.5</v>
      </c>
      <c r="O72" s="14">
        <f>N72*VLOOKUP('Données projet'!$B$9,Paramètres!$A$1:$I$89,3,0)*VLOOKUP('Données projet'!$B$9,Paramètres!$A$1:$I$89,5,0)</f>
        <v>157.95000000000002</v>
      </c>
      <c r="P72" s="14">
        <f t="shared" si="87"/>
        <v>40.379785735878301</v>
      </c>
      <c r="Q72" s="22">
        <f t="shared" si="54"/>
        <v>345.42437682332138</v>
      </c>
      <c r="R72" s="62">
        <f t="shared" si="55"/>
        <v>638.75771015665464</v>
      </c>
      <c r="S72" s="62">
        <f ca="1">AVERAGE(OFFSET($R$3,0,0,'Données projet'!$E$9+1,1))-AVERAGE(OFFSET($H$3,0,0,'Données projet'!$E$9+1,1))</f>
        <v>145.91567711893987</v>
      </c>
      <c r="T72" s="62">
        <f t="shared" si="88"/>
        <v>136.44398554363522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4.5999999999999996</v>
      </c>
      <c r="AI72" s="14">
        <f>IF('Données projet'!$A$62&gt;35,AI71+AH72-AQ71,IF(A72&lt;'Données projet'!$A$62,$AF$205^A72,IF(A72='Données projet'!$A$62,'Données projet'!$B$62,AI71+AH72-AQ71)))</f>
        <v>222.39999999999995</v>
      </c>
      <c r="AJ72" s="14">
        <f>AI72*VLOOKUP('Données projet'!$B$10,Paramètres!$A$1:$I$89,3,0)*VLOOKUP('Données projet'!$B$10,Paramètres!$A$1:$I$89,5,0)</f>
        <v>194.28863999999999</v>
      </c>
      <c r="AK72" s="14">
        <f t="shared" si="89"/>
        <v>48.486875029770822</v>
      </c>
      <c r="AL72" s="22">
        <f t="shared" si="58"/>
        <v>422.83402201018413</v>
      </c>
      <c r="AM72" s="62">
        <f t="shared" si="59"/>
        <v>716.16735534351744</v>
      </c>
      <c r="AN72" s="62">
        <f ca="1">AVERAGE(OFFSET($AM$3,0,0,'Données projet'!$E$10+1,1))-AVERAGE(OFFSET($H$3,0,0,'Données projet'!$E$10+1,1))</f>
        <v>222.48114295382305</v>
      </c>
      <c r="AO72" s="62">
        <f t="shared" si="90"/>
        <v>261.55066338953611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11.828273066553383</v>
      </c>
      <c r="AV72" s="23">
        <f>EXP(-LN(2)/25)*AV71+(1-EXP(-LN(2)/25))/(LN(2)/25)*Calculateur!AQ72*Calculateur!AS72*VLOOKUP('Données projet'!$B$10,Paramètres!$A$1:$I$89,3,0)*0.475*44/12</f>
        <v>3.3168847298143835</v>
      </c>
      <c r="AW72" s="23">
        <f>EXP(-LN(2)/2)*AW71+(1-EXP(-LN(2)/2))/(LN(2)/2)*AQ72*AT72*VLOOKUP('Données projet'!$B$10,Paramètres!$A$1:$I$89,3,0)*0.475*44/12</f>
        <v>7.8684951492893712E-6</v>
      </c>
      <c r="AX72" s="23">
        <f t="shared" si="60"/>
        <v>15.145165664862915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51.323999999999906</v>
      </c>
      <c r="D73" s="12">
        <f t="shared" si="86"/>
        <v>14.955166599500004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511.62865445228005</v>
      </c>
      <c r="H73" s="70">
        <f t="shared" si="56"/>
        <v>408.76954849412897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345</v>
      </c>
      <c r="L73" s="13">
        <f>VLOOKUP(A73,'Données projet'!$A$35:$I$55,9,0)</f>
        <v>7.5</v>
      </c>
      <c r="M73" s="13">
        <f t="array" ref="M73">INDEX(L:L,MIN(IF(ISNUMBER(L73:L269),ROW(L73:L269),"")))</f>
        <v>7.5</v>
      </c>
      <c r="N73" s="14">
        <f>IF('Données projet'!$A$36&gt;35,N72+M73-V72,IF(A73&lt;'Données projet'!$A$36,$K$205^A73,IF(A73='Données projet'!$A$36,'Données projet'!$B$36,N72+M73-V72)))</f>
        <v>345</v>
      </c>
      <c r="O73" s="14">
        <f>N73*VLOOKUP('Données projet'!$B$9,Paramètres!$A$1:$I$89,3,0)*VLOOKUP('Données projet'!$B$9,Paramètres!$A$1:$I$89,5,0)</f>
        <v>161.45999999999998</v>
      </c>
      <c r="P73" s="14">
        <f t="shared" si="87"/>
        <v>41.171648186302534</v>
      </c>
      <c r="Q73" s="22">
        <f t="shared" si="54"/>
        <v>352.9167872578102</v>
      </c>
      <c r="R73" s="62">
        <f t="shared" si="55"/>
        <v>646.25012059114351</v>
      </c>
      <c r="S73" s="62">
        <f ca="1">AVERAGE(OFFSET($R$3,0,0,'Données projet'!$E$9+1,1))-AVERAGE(OFFSET($H$3,0,0,'Données projet'!$E$9+1,1))</f>
        <v>145.91567711893987</v>
      </c>
      <c r="T73" s="62">
        <f t="shared" si="88"/>
        <v>136.44398554363522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69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227</v>
      </c>
      <c r="AG73" s="13">
        <f>VLOOKUP(A73,'Données projet'!$A$61:$I$81,9,0)</f>
        <v>4.5999999999999996</v>
      </c>
      <c r="AH73" s="13">
        <f t="array" ref="AH73">INDEX(AG:AG,MIN(IF(ISNUMBER(AG73:AG269),ROW(AG73:AG269),"")))</f>
        <v>4.5999999999999996</v>
      </c>
      <c r="AI73" s="14">
        <f>IF('Données projet'!$A$62&gt;35,AI72+AH73-AQ72,IF(A73&lt;'Données projet'!$A$62,$AF$205^A73,IF(A73='Données projet'!$A$62,'Données projet'!$B$62,AI72+AH73-AQ72)))</f>
        <v>226.99999999999994</v>
      </c>
      <c r="AJ73" s="14">
        <f>AI73*VLOOKUP('Données projet'!$B$10,Paramètres!$A$1:$I$89,3,0)*VLOOKUP('Données projet'!$B$10,Paramètres!$A$1:$I$89,5,0)</f>
        <v>198.30719999999997</v>
      </c>
      <c r="AK73" s="14">
        <f t="shared" si="89"/>
        <v>49.371957679623371</v>
      </c>
      <c r="AL73" s="22">
        <f t="shared" si="58"/>
        <v>431.37453295867726</v>
      </c>
      <c r="AM73" s="62">
        <f t="shared" si="59"/>
        <v>724.70786629201052</v>
      </c>
      <c r="AN73" s="62">
        <f ca="1">AVERAGE(OFFSET($AM$3,0,0,'Données projet'!$E$10+1,1))-AVERAGE(OFFSET($H$3,0,0,'Données projet'!$E$10+1,1))</f>
        <v>222.48114295382305</v>
      </c>
      <c r="AO73" s="62">
        <f t="shared" si="90"/>
        <v>261.55066338953611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17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11.596327846252466</v>
      </c>
      <c r="AV73" s="23">
        <f>EXP(-LN(2)/25)*AV72+(1-EXP(-LN(2)/25))/(LN(2)/25)*Calculateur!AQ73*Calculateur!AS73*VLOOKUP('Données projet'!$B$10,Paramètres!$A$1:$I$89,3,0)*0.475*44/12</f>
        <v>3.2261843424502223</v>
      </c>
      <c r="AW73" s="23">
        <f>EXP(-LN(2)/2)*AW72+(1-EXP(-LN(2)/2))/(LN(2)/2)*AQ73*AT73*VLOOKUP('Données projet'!$B$10,Paramètres!$A$1:$I$89,3,0)*0.475*44/12</f>
        <v>5.5638662777959702E-6</v>
      </c>
      <c r="AX73" s="23">
        <f t="shared" si="60"/>
        <v>14.822517752568967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52.057199999999902</v>
      </c>
      <c r="D74" s="12">
        <f t="shared" si="86"/>
        <v>15.14378740464756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518.74446417622607</v>
      </c>
      <c r="H74" s="70">
        <f t="shared" si="56"/>
        <v>410.3750530630943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7.7</v>
      </c>
      <c r="N74" s="14">
        <f>IF('Données projet'!$A$36&gt;35,N73+M74-V73,IF(A74&lt;'Données projet'!$A$36,$K$205^A74,IF(A74='Données projet'!$A$36,'Données projet'!$B$36,N73+M74-V73)))</f>
        <v>283.7</v>
      </c>
      <c r="O74" s="14">
        <f>N74*VLOOKUP('Données projet'!$B$9,Paramètres!$A$1:$I$89,3,0)*VLOOKUP('Données projet'!$B$9,Paramètres!$A$1:$I$89,5,0)</f>
        <v>132.77160000000001</v>
      </c>
      <c r="P74" s="14">
        <f t="shared" si="87"/>
        <v>34.63600628318656</v>
      </c>
      <c r="Q74" s="22">
        <f t="shared" si="54"/>
        <v>291.56824760988326</v>
      </c>
      <c r="R74" s="62">
        <f t="shared" si="55"/>
        <v>584.90158094321657</v>
      </c>
      <c r="S74" s="62">
        <f ca="1">AVERAGE(OFFSET($R$3,0,0,'Données projet'!$E$9+1,1))-AVERAGE(OFFSET($H$3,0,0,'Données projet'!$E$9+1,1))</f>
        <v>145.91567711893987</v>
      </c>
      <c r="T74" s="62">
        <f t="shared" si="88"/>
        <v>136.44398554363522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</v>
      </c>
      <c r="AI74" s="14">
        <f>IF('Données projet'!$A$62&gt;35,AI73+AH74-AQ73,IF(A74&lt;'Données projet'!$A$62,$AF$205^A74,IF(A74='Données projet'!$A$62,'Données projet'!$B$62,AI73+AH74-AQ73)))</f>
        <v>213.99999999999994</v>
      </c>
      <c r="AJ74" s="14">
        <f>AI74*VLOOKUP('Données projet'!$B$10,Paramètres!$A$1:$I$89,3,0)*VLOOKUP('Données projet'!$B$10,Paramètres!$A$1:$I$89,5,0)</f>
        <v>186.95039999999997</v>
      </c>
      <c r="AK74" s="14">
        <f t="shared" si="89"/>
        <v>46.865095976617653</v>
      </c>
      <c r="AL74" s="22">
        <f t="shared" si="58"/>
        <v>407.22865549260905</v>
      </c>
      <c r="AM74" s="62">
        <f t="shared" si="59"/>
        <v>700.56198882594231</v>
      </c>
      <c r="AN74" s="62">
        <f ca="1">AVERAGE(OFFSET($AM$3,0,0,'Données projet'!$E$10+1,1))-AVERAGE(OFFSET($H$3,0,0,'Données projet'!$E$10+1,1))</f>
        <v>222.48114295382305</v>
      </c>
      <c r="AO74" s="62">
        <f t="shared" si="90"/>
        <v>261.55066338953611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11.368930930249034</v>
      </c>
      <c r="AV74" s="23">
        <f>EXP(-LN(2)/25)*AV73+(1-EXP(-LN(2)/25))/(LN(2)/25)*Calculateur!AQ74*Calculateur!AS74*VLOOKUP('Données projet'!$B$10,Paramètres!$A$1:$I$89,3,0)*0.475*44/12</f>
        <v>3.1379641619482599</v>
      </c>
      <c r="AW74" s="23">
        <f>EXP(-LN(2)/2)*AW73+(1-EXP(-LN(2)/2))/(LN(2)/2)*AQ74*AT74*VLOOKUP('Données projet'!$B$10,Paramètres!$A$1:$I$89,3,0)*0.475*44/12</f>
        <v>3.9342475746446856E-6</v>
      </c>
      <c r="AX74" s="23">
        <f t="shared" si="60"/>
        <v>14.506899026444868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52.790399999999899</v>
      </c>
      <c r="D75" s="12">
        <f t="shared" si="86"/>
        <v>15.332099220482363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525.85788871951229</v>
      </c>
      <c r="H75" s="70">
        <f t="shared" si="56"/>
        <v>411.98001947567326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7.7</v>
      </c>
      <c r="N75" s="14">
        <f>IF('Données projet'!$A$36&gt;35,N74+M75-V74,IF(A75&lt;'Données projet'!$A$36,$K$205^A75,IF(A75='Données projet'!$A$36,'Données projet'!$B$36,N74+M75-V74)))</f>
        <v>291.39999999999998</v>
      </c>
      <c r="O75" s="14">
        <f>N75*VLOOKUP('Données projet'!$B$9,Paramètres!$A$1:$I$89,3,0)*VLOOKUP('Données projet'!$B$9,Paramètres!$A$1:$I$89,5,0)</f>
        <v>136.37519999999998</v>
      </c>
      <c r="P75" s="14">
        <f t="shared" si="87"/>
        <v>35.465351191683979</v>
      </c>
      <c r="Q75" s="22">
        <f t="shared" si="54"/>
        <v>299.28895999218292</v>
      </c>
      <c r="R75" s="62">
        <f t="shared" si="55"/>
        <v>592.62229332551624</v>
      </c>
      <c r="S75" s="62">
        <f ca="1">AVERAGE(OFFSET($R$3,0,0,'Données projet'!$E$9+1,1))-AVERAGE(OFFSET($H$3,0,0,'Données projet'!$E$9+1,1))</f>
        <v>145.91567711893987</v>
      </c>
      <c r="T75" s="62">
        <f t="shared" si="88"/>
        <v>136.44398554363522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</v>
      </c>
      <c r="AI75" s="14">
        <f>IF('Données projet'!$A$62&gt;35,AI74+AH75-AQ74,IF(A75&lt;'Données projet'!$A$62,$AF$205^A75,IF(A75='Données projet'!$A$62,'Données projet'!$B$62,AI74+AH75-AQ74)))</f>
        <v>217.99999999999994</v>
      </c>
      <c r="AJ75" s="14">
        <f>AI75*VLOOKUP('Données projet'!$B$10,Paramètres!$A$1:$I$89,3,0)*VLOOKUP('Données projet'!$B$10,Paramètres!$A$1:$I$89,5,0)</f>
        <v>190.44479999999999</v>
      </c>
      <c r="AK75" s="14">
        <f t="shared" si="89"/>
        <v>47.638278428909231</v>
      </c>
      <c r="AL75" s="22">
        <f t="shared" si="58"/>
        <v>414.66136159701688</v>
      </c>
      <c r="AM75" s="62">
        <f t="shared" si="59"/>
        <v>707.99469493035019</v>
      </c>
      <c r="AN75" s="62">
        <f ca="1">AVERAGE(OFFSET($AM$3,0,0,'Données projet'!$E$10+1,1))-AVERAGE(OFFSET($H$3,0,0,'Données projet'!$E$10+1,1))</f>
        <v>222.48114295382305</v>
      </c>
      <c r="AO75" s="62">
        <f t="shared" si="90"/>
        <v>261.55066338953611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11.145993129070007</v>
      </c>
      <c r="AV75" s="23">
        <f>EXP(-LN(2)/25)*AV74+(1-EXP(-LN(2)/25))/(LN(2)/25)*Calculateur!AQ75*Calculateur!AS75*VLOOKUP('Données projet'!$B$10,Paramètres!$A$1:$I$89,3,0)*0.475*44/12</f>
        <v>3.0521563669214213</v>
      </c>
      <c r="AW75" s="23">
        <f>EXP(-LN(2)/2)*AW74+(1-EXP(-LN(2)/2))/(LN(2)/2)*AQ75*AT75*VLOOKUP('Données projet'!$B$10,Paramètres!$A$1:$I$89,3,0)*0.475*44/12</f>
        <v>2.7819331388979851E-6</v>
      </c>
      <c r="AX75" s="23">
        <f t="shared" si="60"/>
        <v>14.198152277924567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53.523599999999895</v>
      </c>
      <c r="D76" s="12">
        <f t="shared" si="86"/>
        <v>15.520106834494458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532.9689650382021</v>
      </c>
      <c r="H76" s="70">
        <f t="shared" si="56"/>
        <v>413.58445607007764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7.7</v>
      </c>
      <c r="N76" s="14">
        <f>IF('Données projet'!$A$36&gt;35,N75+M76-V75,IF(A76&lt;'Données projet'!$A$36,$K$205^A76,IF(A76='Données projet'!$A$36,'Données projet'!$B$36,N75+M76-V75)))</f>
        <v>299.09999999999997</v>
      </c>
      <c r="O76" s="14">
        <f>N76*VLOOKUP('Données projet'!$B$9,Paramètres!$A$1:$I$89,3,0)*VLOOKUP('Données projet'!$B$9,Paramètres!$A$1:$I$89,5,0)</f>
        <v>139.97879999999998</v>
      </c>
      <c r="P76" s="14">
        <f t="shared" si="87"/>
        <v>36.292148829903653</v>
      </c>
      <c r="Q76" s="22">
        <f t="shared" si="54"/>
        <v>307.00523587874881</v>
      </c>
      <c r="R76" s="62">
        <f t="shared" si="55"/>
        <v>600.33856921208212</v>
      </c>
      <c r="S76" s="62">
        <f ca="1">AVERAGE(OFFSET($R$3,0,0,'Données projet'!$E$9+1,1))-AVERAGE(OFFSET($H$3,0,0,'Données projet'!$E$9+1,1))</f>
        <v>145.91567711893987</v>
      </c>
      <c r="T76" s="62">
        <f t="shared" si="88"/>
        <v>136.44398554363522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</v>
      </c>
      <c r="AI76" s="14">
        <f>IF('Données projet'!$A$62&gt;35,AI75+AH76-AQ75,IF(A76&lt;'Données projet'!$A$62,$AF$205^A76,IF(A76='Données projet'!$A$62,'Données projet'!$B$62,AI75+AH76-AQ75)))</f>
        <v>221.99999999999994</v>
      </c>
      <c r="AJ76" s="14">
        <f>AI76*VLOOKUP('Données projet'!$B$10,Paramètres!$A$1:$I$89,3,0)*VLOOKUP('Données projet'!$B$10,Paramètres!$A$1:$I$89,5,0)</f>
        <v>193.93919999999997</v>
      </c>
      <c r="AK76" s="14">
        <f t="shared" si="89"/>
        <v>48.409811198069342</v>
      </c>
      <c r="AL76" s="22">
        <f t="shared" si="58"/>
        <v>422.091194503304</v>
      </c>
      <c r="AM76" s="62">
        <f t="shared" si="59"/>
        <v>715.42452783663725</v>
      </c>
      <c r="AN76" s="62">
        <f ca="1">AVERAGE(OFFSET($AM$3,0,0,'Données projet'!$E$10+1,1))-AVERAGE(OFFSET($H$3,0,0,'Données projet'!$E$10+1,1))</f>
        <v>222.48114295382305</v>
      </c>
      <c r="AO76" s="62">
        <f t="shared" si="90"/>
        <v>261.55066338953611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10.927427002193468</v>
      </c>
      <c r="AV76" s="23">
        <f>EXP(-LN(2)/25)*AV75+(1-EXP(-LN(2)/25))/(LN(2)/25)*Calculateur!AQ76*Calculateur!AS76*VLOOKUP('Données projet'!$B$10,Paramètres!$A$1:$I$89,3,0)*0.475*44/12</f>
        <v>2.9686949905620277</v>
      </c>
      <c r="AW76" s="23">
        <f>EXP(-LN(2)/2)*AW75+(1-EXP(-LN(2)/2))/(LN(2)/2)*AQ76*AT76*VLOOKUP('Données projet'!$B$10,Paramètres!$A$1:$I$89,3,0)*0.475*44/12</f>
        <v>1.9671237873223428E-6</v>
      </c>
      <c r="AX76" s="23">
        <f t="shared" si="60"/>
        <v>13.896123959879283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54.256799999999892</v>
      </c>
      <c r="D77" s="12">
        <f t="shared" si="86"/>
        <v>15.707814895473696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540.07772901769079</v>
      </c>
      <c r="H77" s="70">
        <f t="shared" si="56"/>
        <v>415.1883709429498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7.7</v>
      </c>
      <c r="N77" s="14">
        <f>IF('Données projet'!$A$36&gt;35,N76+M77-V76,IF(A77&lt;'Données projet'!$A$36,$K$205^A77,IF(A77='Données projet'!$A$36,'Données projet'!$B$36,N76+M77-V76)))</f>
        <v>306.79999999999995</v>
      </c>
      <c r="O77" s="14">
        <f>N77*VLOOKUP('Données projet'!$B$9,Paramètres!$A$1:$I$89,3,0)*VLOOKUP('Données projet'!$B$9,Paramètres!$A$1:$I$89,5,0)</f>
        <v>143.58239999999998</v>
      </c>
      <c r="P77" s="14">
        <f t="shared" si="87"/>
        <v>37.116472314400653</v>
      </c>
      <c r="Q77" s="22">
        <f t="shared" si="54"/>
        <v>314.71720261424775</v>
      </c>
      <c r="R77" s="62">
        <f t="shared" si="55"/>
        <v>608.05053594758101</v>
      </c>
      <c r="S77" s="62">
        <f ca="1">AVERAGE(OFFSET($R$3,0,0,'Données projet'!$E$9+1,1))-AVERAGE(OFFSET($H$3,0,0,'Données projet'!$E$9+1,1))</f>
        <v>145.91567711893987</v>
      </c>
      <c r="T77" s="62">
        <f t="shared" si="88"/>
        <v>136.44398554363522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</v>
      </c>
      <c r="AI77" s="14">
        <f>IF('Données projet'!$A$62&gt;35,AI76+AH77-AQ76,IF(A77&lt;'Données projet'!$A$62,$AF$205^A77,IF(A77='Données projet'!$A$62,'Données projet'!$B$62,AI76+AH77-AQ76)))</f>
        <v>225.99999999999994</v>
      </c>
      <c r="AJ77" s="14">
        <f>AI77*VLOOKUP('Données projet'!$B$10,Paramètres!$A$1:$I$89,3,0)*VLOOKUP('Données projet'!$B$10,Paramètres!$A$1:$I$89,5,0)</f>
        <v>197.43359999999996</v>
      </c>
      <c r="AK77" s="14">
        <f t="shared" si="89"/>
        <v>49.179727436837609</v>
      </c>
      <c r="AL77" s="22">
        <f t="shared" si="58"/>
        <v>429.51821195249204</v>
      </c>
      <c r="AM77" s="62">
        <f t="shared" si="59"/>
        <v>722.8515452858253</v>
      </c>
      <c r="AN77" s="62">
        <f ca="1">AVERAGE(OFFSET($AM$3,0,0,'Données projet'!$E$10+1,1))-AVERAGE(OFFSET($H$3,0,0,'Données projet'!$E$10+1,1))</f>
        <v>222.48114295382305</v>
      </c>
      <c r="AO77" s="62">
        <f t="shared" si="90"/>
        <v>261.55066338953611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10.713146823752805</v>
      </c>
      <c r="AV77" s="23">
        <f>EXP(-LN(2)/25)*AV76+(1-EXP(-LN(2)/25))/(LN(2)/25)*Calculateur!AQ77*Calculateur!AS77*VLOOKUP('Données projet'!$B$10,Paramètres!$A$1:$I$89,3,0)*0.475*44/12</f>
        <v>2.8875158699282246</v>
      </c>
      <c r="AW77" s="23">
        <f>EXP(-LN(2)/2)*AW76+(1-EXP(-LN(2)/2))/(LN(2)/2)*AQ77*AT77*VLOOKUP('Données projet'!$B$10,Paramètres!$A$1:$I$89,3,0)*0.475*44/12</f>
        <v>1.3909665694489925E-6</v>
      </c>
      <c r="AX77" s="23">
        <f t="shared" si="60"/>
        <v>13.600664084647597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54.989999999999888</v>
      </c>
      <c r="D78" s="12">
        <f t="shared" si="86"/>
        <v>15.895227919346986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547.18421551776544</v>
      </c>
      <c r="H78" s="70">
        <f t="shared" si="56"/>
        <v>416.79177195952911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7.7</v>
      </c>
      <c r="N78" s="14">
        <f>IF('Données projet'!$A$36&gt;35,N77+M78-V77,IF(A78&lt;'Données projet'!$A$36,$K$205^A78,IF(A78='Données projet'!$A$36,'Données projet'!$B$36,N77+M78-V77)))</f>
        <v>314.49999999999994</v>
      </c>
      <c r="O78" s="14">
        <f>N78*VLOOKUP('Données projet'!$B$9,Paramètres!$A$1:$I$89,3,0)*VLOOKUP('Données projet'!$B$9,Paramètres!$A$1:$I$89,5,0)</f>
        <v>147.18599999999998</v>
      </c>
      <c r="P78" s="14">
        <f t="shared" si="87"/>
        <v>37.938390882441361</v>
      </c>
      <c r="Q78" s="22">
        <f t="shared" si="54"/>
        <v>322.42498078691864</v>
      </c>
      <c r="R78" s="62">
        <f t="shared" si="55"/>
        <v>615.75831412025195</v>
      </c>
      <c r="S78" s="62">
        <f ca="1">AVERAGE(OFFSET($R$3,0,0,'Données projet'!$E$9+1,1))-AVERAGE(OFFSET($H$3,0,0,'Données projet'!$E$9+1,1))</f>
        <v>145.91567711893987</v>
      </c>
      <c r="T78" s="62">
        <f t="shared" si="88"/>
        <v>136.44398554363522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230</v>
      </c>
      <c r="AG78" s="13">
        <f>VLOOKUP(A78,'Données projet'!$A$61:$I$81,9,0)</f>
        <v>4</v>
      </c>
      <c r="AH78" s="13">
        <f t="array" ref="AH78">INDEX(AG:AG,MIN(IF(ISNUMBER(AG78:AG274),ROW(AG78:AG274),"")))</f>
        <v>4</v>
      </c>
      <c r="AI78" s="14">
        <f>IF('Données projet'!$A$62&gt;35,AI77+AH78-AQ77,IF(A78&lt;'Données projet'!$A$62,$AF$205^A78,IF(A78='Données projet'!$A$62,'Données projet'!$B$62,AI77+AH78-AQ77)))</f>
        <v>229.99999999999994</v>
      </c>
      <c r="AJ78" s="14">
        <f>AI78*VLOOKUP('Données projet'!$B$10,Paramètres!$A$1:$I$89,3,0)*VLOOKUP('Données projet'!$B$10,Paramètres!$A$1:$I$89,5,0)</f>
        <v>200.92799999999997</v>
      </c>
      <c r="AK78" s="14">
        <f t="shared" si="89"/>
        <v>49.948059057189042</v>
      </c>
      <c r="AL78" s="22">
        <f t="shared" si="58"/>
        <v>436.94246952460418</v>
      </c>
      <c r="AM78" s="62">
        <f t="shared" si="59"/>
        <v>730.27580285793749</v>
      </c>
      <c r="AN78" s="62">
        <f ca="1">AVERAGE(OFFSET($AM$3,0,0,'Données projet'!$E$10+1,1))-AVERAGE(OFFSET($H$3,0,0,'Données projet'!$E$10+1,1))</f>
        <v>222.48114295382305</v>
      </c>
      <c r="AO78" s="62">
        <f t="shared" si="90"/>
        <v>261.55066338953611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15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10.503068548913358</v>
      </c>
      <c r="AV78" s="23">
        <f>EXP(-LN(2)/25)*AV77+(1-EXP(-LN(2)/25))/(LN(2)/25)*Calculateur!AQ78*Calculateur!AS78*VLOOKUP('Données projet'!$B$10,Paramètres!$A$1:$I$89,3,0)*0.475*44/12</f>
        <v>2.8085565966171773</v>
      </c>
      <c r="AW78" s="23">
        <f>EXP(-LN(2)/2)*AW77+(1-EXP(-LN(2)/2))/(LN(2)/2)*AQ78*AT78*VLOOKUP('Données projet'!$B$10,Paramètres!$A$1:$I$89,3,0)*0.475*44/12</f>
        <v>9.835618936611714E-7</v>
      </c>
      <c r="AX78" s="23">
        <f t="shared" si="60"/>
        <v>13.311626129092428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55.723199999999885</v>
      </c>
      <c r="D79" s="12">
        <f t="shared" si="86"/>
        <v>16.08235029469542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554.28845841519194</v>
      </c>
      <c r="H79" s="70">
        <f t="shared" si="56"/>
        <v>418.394666763261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7.7</v>
      </c>
      <c r="N79" s="14">
        <f>IF('Données projet'!$A$36&gt;35,N78+M79-V78,IF(A79&lt;'Données projet'!$A$36,$K$205^A79,IF(A79='Données projet'!$A$36,'Données projet'!$B$36,N78+M79-V78)))</f>
        <v>322.19999999999993</v>
      </c>
      <c r="O79" s="14">
        <f>N79*VLOOKUP('Données projet'!$B$9,Paramètres!$A$1:$I$89,3,0)*VLOOKUP('Données projet'!$B$9,Paramètres!$A$1:$I$89,5,0)</f>
        <v>150.78959999999998</v>
      </c>
      <c r="P79" s="14">
        <f t="shared" si="87"/>
        <v>38.757970187689722</v>
      </c>
      <c r="Q79" s="22">
        <f t="shared" si="54"/>
        <v>330.12868474355952</v>
      </c>
      <c r="R79" s="62">
        <f t="shared" si="55"/>
        <v>623.46201807689283</v>
      </c>
      <c r="S79" s="62">
        <f ca="1">AVERAGE(OFFSET($R$3,0,0,'Données projet'!$E$9+1,1))-AVERAGE(OFFSET($H$3,0,0,'Données projet'!$E$9+1,1))</f>
        <v>145.91567711893987</v>
      </c>
      <c r="T79" s="62">
        <f t="shared" si="88"/>
        <v>136.44398554363522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3.4</v>
      </c>
      <c r="AI79" s="14">
        <f>IF('Données projet'!$A$62&gt;35,AI78+AH79-AQ78,IF(A79&lt;'Données projet'!$A$62,$AF$205^A79,IF(A79='Données projet'!$A$62,'Données projet'!$B$62,AI78+AH79-AQ78)))</f>
        <v>218.39999999999995</v>
      </c>
      <c r="AJ79" s="14">
        <f>AI79*VLOOKUP('Données projet'!$B$10,Paramètres!$A$1:$I$89,3,0)*VLOOKUP('Données projet'!$B$10,Paramètres!$A$1:$I$89,5,0)</f>
        <v>190.79423999999997</v>
      </c>
      <c r="AK79" s="14">
        <f t="shared" si="89"/>
        <v>47.715505384501107</v>
      </c>
      <c r="AL79" s="22">
        <f t="shared" si="58"/>
        <v>415.40447321133934</v>
      </c>
      <c r="AM79" s="62">
        <f t="shared" si="59"/>
        <v>708.73780654467259</v>
      </c>
      <c r="AN79" s="62">
        <f ca="1">AVERAGE(OFFSET($AM$3,0,0,'Données projet'!$E$10+1,1))-AVERAGE(OFFSET($H$3,0,0,'Données projet'!$E$10+1,1))</f>
        <v>222.48114295382305</v>
      </c>
      <c r="AO79" s="62">
        <f t="shared" si="90"/>
        <v>261.55066338953611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10.297109780908418</v>
      </c>
      <c r="AV79" s="23">
        <f>EXP(-LN(2)/25)*AV78+(1-EXP(-LN(2)/25))/(LN(2)/25)*Calculateur!AQ79*Calculateur!AS79*VLOOKUP('Données projet'!$B$10,Paramètres!$A$1:$I$89,3,0)*0.475*44/12</f>
        <v>2.7317564687871081</v>
      </c>
      <c r="AW79" s="23">
        <f>EXP(-LN(2)/2)*AW78+(1-EXP(-LN(2)/2))/(LN(2)/2)*AQ79*AT79*VLOOKUP('Données projet'!$B$10,Paramètres!$A$1:$I$89,3,0)*0.475*44/12</f>
        <v>6.9548328472449627E-7</v>
      </c>
      <c r="AX79" s="23">
        <f t="shared" si="60"/>
        <v>13.028866945178811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56.456399999999881</v>
      </c>
      <c r="D80" s="12">
        <f t="shared" si="86"/>
        <v>16.269186287972673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561.39049064399876</v>
      </c>
      <c r="H80" s="70">
        <f t="shared" si="56"/>
        <v>419.99706278488549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7.7</v>
      </c>
      <c r="N80" s="14">
        <f>IF('Données projet'!$A$36&gt;35,N79+M80-V79,IF(A80&lt;'Données projet'!$A$36,$K$205^A80,IF(A80='Données projet'!$A$36,'Données projet'!$B$36,N79+M80-V79)))</f>
        <v>329.89999999999992</v>
      </c>
      <c r="O80" s="14">
        <f>N80*VLOOKUP('Données projet'!$B$9,Paramètres!$A$1:$I$89,3,0)*VLOOKUP('Données projet'!$B$9,Paramètres!$A$1:$I$89,5,0)</f>
        <v>154.39319999999995</v>
      </c>
      <c r="P80" s="14">
        <f t="shared" si="87"/>
        <v>39.575272566832489</v>
      </c>
      <c r="Q80" s="22">
        <f t="shared" si="54"/>
        <v>337.82842305389983</v>
      </c>
      <c r="R80" s="62">
        <f t="shared" si="55"/>
        <v>631.16175638723314</v>
      </c>
      <c r="S80" s="62">
        <f ca="1">AVERAGE(OFFSET($R$3,0,0,'Données projet'!$E$9+1,1))-AVERAGE(OFFSET($H$3,0,0,'Données projet'!$E$9+1,1))</f>
        <v>145.91567711893987</v>
      </c>
      <c r="T80" s="62">
        <f t="shared" si="88"/>
        <v>136.44398554363522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3.4</v>
      </c>
      <c r="AI80" s="14">
        <f>IF('Données projet'!$A$62&gt;35,AI79+AH80-AQ79,IF(A80&lt;'Données projet'!$A$62,$AF$205^A80,IF(A80='Données projet'!$A$62,'Données projet'!$B$62,AI79+AH80-AQ79)))</f>
        <v>221.79999999999995</v>
      </c>
      <c r="AJ80" s="14">
        <f>AI80*VLOOKUP('Données projet'!$B$10,Paramètres!$A$1:$I$89,3,0)*VLOOKUP('Données projet'!$B$10,Paramètres!$A$1:$I$89,5,0)</f>
        <v>193.76447999999999</v>
      </c>
      <c r="AK80" s="14">
        <f t="shared" si="89"/>
        <v>48.371273222646451</v>
      </c>
      <c r="AL80" s="22">
        <f t="shared" si="58"/>
        <v>421.71977019610921</v>
      </c>
      <c r="AM80" s="62">
        <f t="shared" si="59"/>
        <v>715.05310352944252</v>
      </c>
      <c r="AN80" s="62">
        <f ca="1">AVERAGE(OFFSET($AM$3,0,0,'Données projet'!$E$10+1,1))-AVERAGE(OFFSET($H$3,0,0,'Données projet'!$E$10+1,1))</f>
        <v>222.48114295382305</v>
      </c>
      <c r="AO80" s="62">
        <f t="shared" si="90"/>
        <v>261.55066338953611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10.095189738721611</v>
      </c>
      <c r="AV80" s="23">
        <f>EXP(-LN(2)/25)*AV79+(1-EXP(-LN(2)/25))/(LN(2)/25)*Calculateur!AQ80*Calculateur!AS80*VLOOKUP('Données projet'!$B$10,Paramètres!$A$1:$I$89,3,0)*0.475*44/12</f>
        <v>2.6570564444912956</v>
      </c>
      <c r="AW80" s="23">
        <f>EXP(-LN(2)/2)*AW79+(1-EXP(-LN(2)/2))/(LN(2)/2)*AQ80*AT80*VLOOKUP('Données projet'!$B$10,Paramètres!$A$1:$I$89,3,0)*0.475*44/12</f>
        <v>4.917809468305857E-7</v>
      </c>
      <c r="AX80" s="23">
        <f t="shared" si="60"/>
        <v>12.752246674993854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57.189599999999878</v>
      </c>
      <c r="D81" s="12">
        <f t="shared" si="86"/>
        <v>16.455740048444692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568.49034423360729</v>
      </c>
      <c r="H81" s="70">
        <f t="shared" si="56"/>
        <v>421.5989672510409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7.7</v>
      </c>
      <c r="N81" s="14">
        <f>IF('Données projet'!$A$36&gt;35,N80+M81-V80,IF(A81&lt;'Données projet'!$A$36,$K$205^A81,IF(A81='Données projet'!$A$36,'Données projet'!$B$36,N80+M81-V80)))</f>
        <v>337.59999999999991</v>
      </c>
      <c r="O81" s="14">
        <f>N81*VLOOKUP('Données projet'!$B$9,Paramètres!$A$1:$I$89,3,0)*VLOOKUP('Données projet'!$B$9,Paramètres!$A$1:$I$89,5,0)</f>
        <v>157.99679999999995</v>
      </c>
      <c r="P81" s="14">
        <f t="shared" si="87"/>
        <v>40.390357280610026</v>
      </c>
      <c r="Q81" s="22">
        <f t="shared" si="54"/>
        <v>345.52429893039567</v>
      </c>
      <c r="R81" s="62">
        <f t="shared" si="55"/>
        <v>638.85763226372899</v>
      </c>
      <c r="S81" s="62">
        <f ca="1">AVERAGE(OFFSET($R$3,0,0,'Données projet'!$E$9+1,1))-AVERAGE(OFFSET($H$3,0,0,'Données projet'!$E$9+1,1))</f>
        <v>145.91567711893987</v>
      </c>
      <c r="T81" s="62">
        <f t="shared" si="88"/>
        <v>136.44398554363522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3.4</v>
      </c>
      <c r="AI81" s="14">
        <f>IF('Données projet'!$A$62&gt;35,AI80+AH81-AQ80,IF(A81&lt;'Données projet'!$A$62,$AF$205^A81,IF(A81='Données projet'!$A$62,'Données projet'!$B$62,AI80+AH81-AQ80)))</f>
        <v>225.19999999999996</v>
      </c>
      <c r="AJ81" s="14">
        <f>AI81*VLOOKUP('Données projet'!$B$10,Paramètres!$A$1:$I$89,3,0)*VLOOKUP('Données projet'!$B$10,Paramètres!$A$1:$I$89,5,0)</f>
        <v>196.73472000000001</v>
      </c>
      <c r="AK81" s="14">
        <f t="shared" si="89"/>
        <v>49.025871962429896</v>
      </c>
      <c r="AL81" s="22">
        <f t="shared" si="58"/>
        <v>428.03303100123208</v>
      </c>
      <c r="AM81" s="62">
        <f t="shared" si="59"/>
        <v>721.36636433456533</v>
      </c>
      <c r="AN81" s="62">
        <f ca="1">AVERAGE(OFFSET($AM$3,0,0,'Données projet'!$E$10+1,1))-AVERAGE(OFFSET($H$3,0,0,'Données projet'!$E$10+1,1))</f>
        <v>222.48114295382305</v>
      </c>
      <c r="AO81" s="62">
        <f t="shared" si="90"/>
        <v>261.55066338953611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9.8972292254030236</v>
      </c>
      <c r="AV81" s="23">
        <f>EXP(-LN(2)/25)*AV80+(1-EXP(-LN(2)/25))/(LN(2)/25)*Calculateur!AQ81*Calculateur!AS81*VLOOKUP('Données projet'!$B$10,Paramètres!$A$1:$I$89,3,0)*0.475*44/12</f>
        <v>2.5843990962881556</v>
      </c>
      <c r="AW81" s="23">
        <f>EXP(-LN(2)/2)*AW80+(1-EXP(-LN(2)/2))/(LN(2)/2)*AQ81*AT81*VLOOKUP('Données projet'!$B$10,Paramètres!$A$1:$I$89,3,0)*0.475*44/12</f>
        <v>3.4774164236224814E-7</v>
      </c>
      <c r="AX81" s="23">
        <f t="shared" si="60"/>
        <v>12.481628669432821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57.922799999999874</v>
      </c>
      <c r="D82" s="12">
        <f t="shared" si="86"/>
        <v>16.642015612868772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575.58805034495106</v>
      </c>
      <c r="H82" s="70">
        <f t="shared" si="56"/>
        <v>423.2003871924129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7.7</v>
      </c>
      <c r="N82" s="14">
        <f>IF('Données projet'!$A$36&gt;35,N81+M82-V81,IF(A82&lt;'Données projet'!$A$36,$K$205^A82,IF(A82='Données projet'!$A$36,'Données projet'!$B$36,N81+M82-V81)))</f>
        <v>345.2999999999999</v>
      </c>
      <c r="O82" s="14">
        <f>N82*VLOOKUP('Données projet'!$B$9,Paramètres!$A$1:$I$89,3,0)*VLOOKUP('Données projet'!$B$9,Paramètres!$A$1:$I$89,5,0)</f>
        <v>161.60039999999995</v>
      </c>
      <c r="P82" s="14">
        <f t="shared" si="87"/>
        <v>41.203280732237822</v>
      </c>
      <c r="Q82" s="22">
        <f t="shared" si="54"/>
        <v>353.21641060864749</v>
      </c>
      <c r="R82" s="62">
        <f t="shared" si="55"/>
        <v>646.54974394198075</v>
      </c>
      <c r="S82" s="62">
        <f ca="1">AVERAGE(OFFSET($R$3,0,0,'Données projet'!$E$9+1,1))-AVERAGE(OFFSET($H$3,0,0,'Données projet'!$E$9+1,1))</f>
        <v>145.91567711893987</v>
      </c>
      <c r="T82" s="62">
        <f t="shared" si="88"/>
        <v>136.44398554363522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3.4</v>
      </c>
      <c r="AI82" s="14">
        <f>IF('Données projet'!$A$62&gt;35,AI81+AH82-AQ81,IF(A82&lt;'Données projet'!$A$62,$AF$205^A82,IF(A82='Données projet'!$A$62,'Données projet'!$B$62,AI81+AH82-AQ81)))</f>
        <v>228.59999999999997</v>
      </c>
      <c r="AJ82" s="14">
        <f>AI82*VLOOKUP('Données projet'!$B$10,Paramètres!$A$1:$I$89,3,0)*VLOOKUP('Données projet'!$B$10,Paramètres!$A$1:$I$89,5,0)</f>
        <v>199.70496</v>
      </c>
      <c r="AK82" s="14">
        <f t="shared" si="89"/>
        <v>49.679321293278612</v>
      </c>
      <c r="AL82" s="22">
        <f t="shared" si="58"/>
        <v>434.34428991912688</v>
      </c>
      <c r="AM82" s="62">
        <f t="shared" si="59"/>
        <v>727.67762325246019</v>
      </c>
      <c r="AN82" s="62">
        <f ca="1">AVERAGE(OFFSET($AM$3,0,0,'Données projet'!$E$10+1,1))-AVERAGE(OFFSET($H$3,0,0,'Données projet'!$E$10+1,1))</f>
        <v>222.48114295382305</v>
      </c>
      <c r="AO82" s="62">
        <f t="shared" si="90"/>
        <v>261.55066338953611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9.7031505970066227</v>
      </c>
      <c r="AV82" s="23">
        <f>EXP(-LN(2)/25)*AV81+(1-EXP(-LN(2)/25))/(LN(2)/25)*Calculateur!AQ82*Calculateur!AS82*VLOOKUP('Données projet'!$B$10,Paramètres!$A$1:$I$89,3,0)*0.475*44/12</f>
        <v>2.5137285670925142</v>
      </c>
      <c r="AW82" s="23">
        <f>EXP(-LN(2)/2)*AW81+(1-EXP(-LN(2)/2))/(LN(2)/2)*AQ82*AT82*VLOOKUP('Données projet'!$B$10,Paramètres!$A$1:$I$89,3,0)*0.475*44/12</f>
        <v>2.4589047341529285E-7</v>
      </c>
      <c r="AX82" s="23">
        <f t="shared" si="60"/>
        <v>12.216879409989611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58.655999999999871</v>
      </c>
      <c r="D83" s="12">
        <f t="shared" si="86"/>
        <v>16.82801690992903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582.68363930471423</v>
      </c>
      <c r="H83" s="70">
        <f t="shared" si="56"/>
        <v>424.80132945145942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353</v>
      </c>
      <c r="L83" s="13">
        <f>VLOOKUP(A83,'Données projet'!$A$35:$I$55,9,0)</f>
        <v>7.7</v>
      </c>
      <c r="M83" s="13">
        <f t="array" ref="M83">INDEX(L:L,MIN(IF(ISNUMBER(L83:L279),ROW(L83:L279),"")))</f>
        <v>7.7</v>
      </c>
      <c r="N83" s="14">
        <f>IF('Données projet'!$A$36&gt;35,N82+M83-V82,IF(A83&lt;'Données projet'!$A$36,$K$205^A83,IF(A83='Données projet'!$A$36,'Données projet'!$B$36,N82+M83-V82)))</f>
        <v>352.99999999999989</v>
      </c>
      <c r="O83" s="14">
        <f>N83*VLOOKUP('Données projet'!$B$9,Paramètres!$A$1:$I$89,3,0)*VLOOKUP('Données projet'!$B$9,Paramètres!$A$1:$I$89,5,0)</f>
        <v>165.20399999999995</v>
      </c>
      <c r="P83" s="14">
        <f t="shared" si="87"/>
        <v>42.014096665795854</v>
      </c>
      <c r="Q83" s="22">
        <f t="shared" si="54"/>
        <v>360.90485169292765</v>
      </c>
      <c r="R83" s="62">
        <f t="shared" si="55"/>
        <v>654.23818502626091</v>
      </c>
      <c r="S83" s="62">
        <f ca="1">AVERAGE(OFFSET($R$3,0,0,'Données projet'!$E$9+1,1))-AVERAGE(OFFSET($H$3,0,0,'Données projet'!$E$9+1,1))</f>
        <v>145.91567711893987</v>
      </c>
      <c r="T83" s="62">
        <f t="shared" si="88"/>
        <v>136.44398554363522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71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232</v>
      </c>
      <c r="AG83" s="13">
        <f>VLOOKUP(A83,'Données projet'!$A$61:$I$81,9,0)</f>
        <v>3.4</v>
      </c>
      <c r="AH83" s="13">
        <f t="array" ref="AH83">INDEX(AG:AG,MIN(IF(ISNUMBER(AG83:AG279),ROW(AG83:AG279),"")))</f>
        <v>3.4</v>
      </c>
      <c r="AI83" s="14">
        <f>IF('Données projet'!$A$62&gt;35,AI82+AH83-AQ82,IF(A83&lt;'Données projet'!$A$62,$AF$205^A83,IF(A83='Données projet'!$A$62,'Données projet'!$B$62,AI82+AH83-AQ82)))</f>
        <v>231.99999999999997</v>
      </c>
      <c r="AJ83" s="14">
        <f>AI83*VLOOKUP('Données projet'!$B$10,Paramètres!$A$1:$I$89,3,0)*VLOOKUP('Données projet'!$B$10,Paramètres!$A$1:$I$89,5,0)</f>
        <v>202.67519999999999</v>
      </c>
      <c r="AK83" s="14">
        <f t="shared" si="89"/>
        <v>50.33164028531364</v>
      </c>
      <c r="AL83" s="22">
        <f t="shared" si="58"/>
        <v>440.65358016358783</v>
      </c>
      <c r="AM83" s="62">
        <f t="shared" si="59"/>
        <v>733.98691349692115</v>
      </c>
      <c r="AN83" s="62">
        <f ca="1">AVERAGE(OFFSET($AM$3,0,0,'Données projet'!$E$10+1,1))-AVERAGE(OFFSET($H$3,0,0,'Données projet'!$E$10+1,1))</f>
        <v>222.48114295382305</v>
      </c>
      <c r="AO83" s="62">
        <f t="shared" si="90"/>
        <v>261.55066338953611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13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9.5128777321368005</v>
      </c>
      <c r="AV83" s="23">
        <f>EXP(-LN(2)/25)*AV82+(1-EXP(-LN(2)/25))/(LN(2)/25)*Calculateur!AQ83*Calculateur!AS83*VLOOKUP('Données projet'!$B$10,Paramètres!$A$1:$I$89,3,0)*0.475*44/12</f>
        <v>2.4449905272341295</v>
      </c>
      <c r="AW83" s="23">
        <f>EXP(-LN(2)/2)*AW82+(1-EXP(-LN(2)/2))/(LN(2)/2)*AQ83*AT83*VLOOKUP('Données projet'!$B$10,Paramètres!$A$1:$I$89,3,0)*0.475*44/12</f>
        <v>1.7387082118112407E-7</v>
      </c>
      <c r="AX83" s="23">
        <f t="shared" si="60"/>
        <v>11.957868433241751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59.389199999999867</v>
      </c>
      <c r="D84" s="12">
        <f t="shared" si="86"/>
        <v>17.013747764443796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589.77714063781082</v>
      </c>
      <c r="H84" s="70">
        <f t="shared" si="56"/>
        <v>426.40180068973939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8.3000000000000007</v>
      </c>
      <c r="N84" s="14">
        <f>IF('Données projet'!$A$36&gt;35,N83+M84-V83,IF(A84&lt;'Données projet'!$A$36,$K$205^A84,IF(A84='Données projet'!$A$36,'Données projet'!$B$36,N83+M84-V83)))</f>
        <v>290.2999999999999</v>
      </c>
      <c r="O84" s="14">
        <f>N84*VLOOKUP('Données projet'!$B$9,Paramètres!$A$1:$I$89,3,0)*VLOOKUP('Données projet'!$B$9,Paramètres!$A$1:$I$89,5,0)</f>
        <v>135.86039999999994</v>
      </c>
      <c r="P84" s="14">
        <f t="shared" si="87"/>
        <v>35.347031059244749</v>
      </c>
      <c r="Q84" s="22">
        <f t="shared" si="54"/>
        <v>298.18627576151783</v>
      </c>
      <c r="R84" s="62">
        <f t="shared" si="55"/>
        <v>591.51960909485115</v>
      </c>
      <c r="S84" s="62">
        <f ca="1">AVERAGE(OFFSET($R$3,0,0,'Données projet'!$E$9+1,1))-AVERAGE(OFFSET($H$3,0,0,'Données projet'!$E$9+1,1))</f>
        <v>145.91567711893987</v>
      </c>
      <c r="T84" s="62">
        <f t="shared" si="88"/>
        <v>136.44398554363522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3</v>
      </c>
      <c r="AI84" s="14">
        <f>IF('Données projet'!$A$62&gt;35,AI83+AH84-AQ83,IF(A84&lt;'Données projet'!$A$62,$AF$205^A84,IF(A84='Données projet'!$A$62,'Données projet'!$B$62,AI83+AH84-AQ83)))</f>
        <v>221.99999999999997</v>
      </c>
      <c r="AJ84" s="14">
        <f>AI84*VLOOKUP('Données projet'!$B$10,Paramètres!$A$1:$I$89,3,0)*VLOOKUP('Données projet'!$B$10,Paramètres!$A$1:$I$89,5,0)</f>
        <v>193.9392</v>
      </c>
      <c r="AK84" s="14">
        <f t="shared" si="89"/>
        <v>48.409811198069384</v>
      </c>
      <c r="AL84" s="22">
        <f t="shared" si="58"/>
        <v>422.09119450330417</v>
      </c>
      <c r="AM84" s="62">
        <f t="shared" si="59"/>
        <v>715.42452783663748</v>
      </c>
      <c r="AN84" s="62">
        <f ca="1">AVERAGE(OFFSET($AM$3,0,0,'Données projet'!$E$10+1,1))-AVERAGE(OFFSET($H$3,0,0,'Données projet'!$E$10+1,1))</f>
        <v>222.48114295382305</v>
      </c>
      <c r="AO84" s="62">
        <f t="shared" si="90"/>
        <v>261.55066338953611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9.326336002092086</v>
      </c>
      <c r="AV84" s="23">
        <f>EXP(-LN(2)/25)*AV83+(1-EXP(-LN(2)/25))/(LN(2)/25)*Calculateur!AQ84*Calculateur!AS84*VLOOKUP('Données projet'!$B$10,Paramètres!$A$1:$I$89,3,0)*0.475*44/12</f>
        <v>2.3781321326904483</v>
      </c>
      <c r="AW84" s="23">
        <f>EXP(-LN(2)/2)*AW83+(1-EXP(-LN(2)/2))/(LN(2)/2)*AQ84*AT84*VLOOKUP('Données projet'!$B$10,Paramètres!$A$1:$I$89,3,0)*0.475*44/12</f>
        <v>1.2294523670764643E-7</v>
      </c>
      <c r="AX84" s="23">
        <f t="shared" si="60"/>
        <v>11.70446825772777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60.122399999999864</v>
      </c>
      <c r="D85" s="12">
        <f t="shared" si="86"/>
        <v>17.199211901359213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596.86858309821048</v>
      </c>
      <c r="H85" s="70">
        <f t="shared" si="56"/>
        <v>428.001807394867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8.3000000000000007</v>
      </c>
      <c r="N85" s="14">
        <f>IF('Données projet'!$A$36&gt;35,N84+M85-V84,IF(A85&lt;'Données projet'!$A$36,$K$205^A85,IF(A85='Données projet'!$A$36,'Données projet'!$B$36,N84+M85-V84)))</f>
        <v>298.59999999999991</v>
      </c>
      <c r="O85" s="14">
        <f>N85*VLOOKUP('Données projet'!$B$9,Paramètres!$A$1:$I$89,3,0)*VLOOKUP('Données projet'!$B$9,Paramètres!$A$1:$I$89,5,0)</f>
        <v>139.74479999999997</v>
      </c>
      <c r="P85" s="14">
        <f t="shared" si="87"/>
        <v>36.238536552104364</v>
      </c>
      <c r="Q85" s="22">
        <f t="shared" si="54"/>
        <v>306.50431116158171</v>
      </c>
      <c r="R85" s="62">
        <f t="shared" si="55"/>
        <v>599.83764449491503</v>
      </c>
      <c r="S85" s="62">
        <f ca="1">AVERAGE(OFFSET($R$3,0,0,'Données projet'!$E$9+1,1))-AVERAGE(OFFSET($H$3,0,0,'Données projet'!$E$9+1,1))</f>
        <v>145.91567711893987</v>
      </c>
      <c r="T85" s="62">
        <f t="shared" si="88"/>
        <v>136.44398554363522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3</v>
      </c>
      <c r="AI85" s="14">
        <f>IF('Données projet'!$A$62&gt;35,AI84+AH85-AQ84,IF(A85&lt;'Données projet'!$A$62,$AF$205^A85,IF(A85='Données projet'!$A$62,'Données projet'!$B$62,AI84+AH85-AQ84)))</f>
        <v>224.99999999999997</v>
      </c>
      <c r="AJ85" s="14">
        <f>AI85*VLOOKUP('Données projet'!$B$10,Paramètres!$A$1:$I$89,3,0)*VLOOKUP('Données projet'!$B$10,Paramètres!$A$1:$I$89,5,0)</f>
        <v>196.56</v>
      </c>
      <c r="AK85" s="14">
        <f t="shared" si="89"/>
        <v>48.987398161128091</v>
      </c>
      <c r="AL85" s="22">
        <f t="shared" si="58"/>
        <v>427.66171846396475</v>
      </c>
      <c r="AM85" s="62">
        <f t="shared" si="59"/>
        <v>720.99505179729806</v>
      </c>
      <c r="AN85" s="62">
        <f ca="1">AVERAGE(OFFSET($AM$3,0,0,'Données projet'!$E$10+1,1))-AVERAGE(OFFSET($H$3,0,0,'Données projet'!$E$10+1,1))</f>
        <v>222.48114295382305</v>
      </c>
      <c r="AO85" s="62">
        <f t="shared" si="90"/>
        <v>261.55066338953611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9.1434522415943285</v>
      </c>
      <c r="AV85" s="23">
        <f>EXP(-LN(2)/25)*AV84+(1-EXP(-LN(2)/25))/(LN(2)/25)*Calculateur!AQ85*Calculateur!AS85*VLOOKUP('Données projet'!$B$10,Paramètres!$A$1:$I$89,3,0)*0.475*44/12</f>
        <v>2.3131019844614946</v>
      </c>
      <c r="AW85" s="23">
        <f>EXP(-LN(2)/2)*AW84+(1-EXP(-LN(2)/2))/(LN(2)/2)*AQ85*AT85*VLOOKUP('Données projet'!$B$10,Paramètres!$A$1:$I$89,3,0)*0.475*44/12</f>
        <v>8.6935410590562034E-8</v>
      </c>
      <c r="AX85" s="23">
        <f t="shared" si="60"/>
        <v>11.456554312991234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60.85559999999986</v>
      </c>
      <c r="D86" s="12">
        <f t="shared" si="86"/>
        <v>17.384412949542618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603.95799469822259</v>
      </c>
      <c r="H86" s="70">
        <f t="shared" si="56"/>
        <v>429.60135588711978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8.3000000000000007</v>
      </c>
      <c r="N86" s="14">
        <f>IF('Données projet'!$A$36&gt;35,N85+M86-V85,IF(A86&lt;'Données projet'!$A$36,$K$205^A86,IF(A86='Données projet'!$A$36,'Données projet'!$B$36,N85+M86-V85)))</f>
        <v>306.89999999999992</v>
      </c>
      <c r="O86" s="14">
        <f>N86*VLOOKUP('Données projet'!$B$9,Paramètres!$A$1:$I$89,3,0)*VLOOKUP('Données projet'!$B$9,Paramètres!$A$1:$I$89,5,0)</f>
        <v>143.62919999999997</v>
      </c>
      <c r="P86" s="14">
        <f t="shared" si="87"/>
        <v>37.127161849234348</v>
      </c>
      <c r="Q86" s="22">
        <f t="shared" si="54"/>
        <v>314.81733022074974</v>
      </c>
      <c r="R86" s="62">
        <f t="shared" si="55"/>
        <v>608.15066355408305</v>
      </c>
      <c r="S86" s="62">
        <f ca="1">AVERAGE(OFFSET($R$3,0,0,'Données projet'!$E$9+1,1))-AVERAGE(OFFSET($H$3,0,0,'Données projet'!$E$9+1,1))</f>
        <v>145.91567711893987</v>
      </c>
      <c r="T86" s="62">
        <f t="shared" si="88"/>
        <v>136.44398554363522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3</v>
      </c>
      <c r="AI86" s="14">
        <f>IF('Données projet'!$A$62&gt;35,AI85+AH86-AQ85,IF(A86&lt;'Données projet'!$A$62,$AF$205^A86,IF(A86='Données projet'!$A$62,'Données projet'!$B$62,AI85+AH86-AQ85)))</f>
        <v>227.99999999999997</v>
      </c>
      <c r="AJ86" s="14">
        <f>AI86*VLOOKUP('Données projet'!$B$10,Paramètres!$A$1:$I$89,3,0)*VLOOKUP('Données projet'!$B$10,Paramètres!$A$1:$I$89,5,0)</f>
        <v>199.1808</v>
      </c>
      <c r="AK86" s="14">
        <f t="shared" si="89"/>
        <v>49.564089376413683</v>
      </c>
      <c r="AL86" s="22">
        <f t="shared" si="58"/>
        <v>433.23068233058711</v>
      </c>
      <c r="AM86" s="62">
        <f t="shared" si="59"/>
        <v>726.56401566392037</v>
      </c>
      <c r="AN86" s="62">
        <f ca="1">AVERAGE(OFFSET($AM$3,0,0,'Données projet'!$E$10+1,1))-AVERAGE(OFFSET($H$3,0,0,'Données projet'!$E$10+1,1))</f>
        <v>222.48114295382305</v>
      </c>
      <c r="AO86" s="62">
        <f t="shared" si="90"/>
        <v>261.55066338953611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8.9641547200918517</v>
      </c>
      <c r="AV86" s="23">
        <f>EXP(-LN(2)/25)*AV85+(1-EXP(-LN(2)/25))/(LN(2)/25)*Calculateur!AQ86*Calculateur!AS86*VLOOKUP('Données projet'!$B$10,Paramètres!$A$1:$I$89,3,0)*0.475*44/12</f>
        <v>2.2498500890556485</v>
      </c>
      <c r="AW86" s="23">
        <f>EXP(-LN(2)/2)*AW85+(1-EXP(-LN(2)/2))/(LN(2)/2)*AQ86*AT86*VLOOKUP('Données projet'!$B$10,Paramètres!$A$1:$I$89,3,0)*0.475*44/12</f>
        <v>6.1472618353823213E-8</v>
      </c>
      <c r="AX86" s="23">
        <f t="shared" si="60"/>
        <v>11.214004870620119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61.588799999999857</v>
      </c>
      <c r="D87" s="12">
        <f t="shared" si="86"/>
        <v>17.569354445387791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611.04540273632574</v>
      </c>
      <c r="H87" s="70">
        <f t="shared" si="56"/>
        <v>431.20045232571681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8.3000000000000007</v>
      </c>
      <c r="N87" s="14">
        <f>IF('Données projet'!$A$36&gt;35,N86+M87-V86,IF(A87&lt;'Données projet'!$A$36,$K$205^A87,IF(A87='Données projet'!$A$36,'Données projet'!$B$36,N86+M87-V86)))</f>
        <v>315.19999999999993</v>
      </c>
      <c r="O87" s="14">
        <f>N87*VLOOKUP('Données projet'!$B$9,Paramètres!$A$1:$I$89,3,0)*VLOOKUP('Données projet'!$B$9,Paramètres!$A$1:$I$89,5,0)</f>
        <v>147.51359999999997</v>
      </c>
      <c r="P87" s="14">
        <f t="shared" si="87"/>
        <v>38.012993796041464</v>
      </c>
      <c r="Q87" s="22">
        <f t="shared" si="54"/>
        <v>323.12548419477213</v>
      </c>
      <c r="R87" s="62">
        <f t="shared" si="55"/>
        <v>616.45881752810544</v>
      </c>
      <c r="S87" s="62">
        <f ca="1">AVERAGE(OFFSET($R$3,0,0,'Données projet'!$E$9+1,1))-AVERAGE(OFFSET($H$3,0,0,'Données projet'!$E$9+1,1))</f>
        <v>145.91567711893987</v>
      </c>
      <c r="T87" s="62">
        <f t="shared" si="88"/>
        <v>136.44398554363522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3</v>
      </c>
      <c r="AI87" s="14">
        <f>IF('Données projet'!$A$62&gt;35,AI86+AH87-AQ86,IF(A87&lt;'Données projet'!$A$62,$AF$205^A87,IF(A87='Données projet'!$A$62,'Données projet'!$B$62,AI86+AH87-AQ86)))</f>
        <v>230.99999999999997</v>
      </c>
      <c r="AJ87" s="14">
        <f>AI87*VLOOKUP('Données projet'!$B$10,Paramètres!$A$1:$I$89,3,0)*VLOOKUP('Données projet'!$B$10,Paramètres!$A$1:$I$89,5,0)</f>
        <v>201.80159999999998</v>
      </c>
      <c r="AK87" s="14">
        <f t="shared" si="89"/>
        <v>50.139897992681668</v>
      </c>
      <c r="AL87" s="22">
        <f t="shared" si="58"/>
        <v>438.7981090039205</v>
      </c>
      <c r="AM87" s="62">
        <f t="shared" si="59"/>
        <v>732.13144233725382</v>
      </c>
      <c r="AN87" s="62">
        <f ca="1">AVERAGE(OFFSET($AM$3,0,0,'Données projet'!$E$10+1,1))-AVERAGE(OFFSET($H$3,0,0,'Données projet'!$E$10+1,1))</f>
        <v>222.48114295382305</v>
      </c>
      <c r="AO87" s="62">
        <f t="shared" si="90"/>
        <v>261.55066338953611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8.7883731136253491</v>
      </c>
      <c r="AV87" s="23">
        <f>EXP(-LN(2)/25)*AV86+(1-EXP(-LN(2)/25))/(LN(2)/25)*Calculateur!AQ87*Calculateur!AS87*VLOOKUP('Données projet'!$B$10,Paramètres!$A$1:$I$89,3,0)*0.475*44/12</f>
        <v>2.1883278200559477</v>
      </c>
      <c r="AW87" s="23">
        <f>EXP(-LN(2)/2)*AW86+(1-EXP(-LN(2)/2))/(LN(2)/2)*AQ87*AT87*VLOOKUP('Données projet'!$B$10,Paramètres!$A$1:$I$89,3,0)*0.475*44/12</f>
        <v>4.3467705295281017E-8</v>
      </c>
      <c r="AX87" s="23">
        <f t="shared" si="60"/>
        <v>10.976700977149003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62.321999999999854</v>
      </c>
      <c r="D88" s="12">
        <f t="shared" si="86"/>
        <v>17.754039836243663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618.13083382363436</v>
      </c>
      <c r="H88" s="70">
        <f t="shared" si="56"/>
        <v>432.79910271479082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8.3000000000000007</v>
      </c>
      <c r="N88" s="14">
        <f>IF('Données projet'!$A$36&gt;35,N87+M88-V87,IF(A88&lt;'Données projet'!$A$36,$K$205^A88,IF(A88='Données projet'!$A$36,'Données projet'!$B$36,N87+M88-V87)))</f>
        <v>323.49999999999994</v>
      </c>
      <c r="O88" s="14">
        <f>N88*VLOOKUP('Données projet'!$B$9,Paramètres!$A$1:$I$89,3,0)*VLOOKUP('Données projet'!$B$9,Paramètres!$A$1:$I$89,5,0)</f>
        <v>151.39799999999997</v>
      </c>
      <c r="P88" s="14">
        <f t="shared" si="87"/>
        <v>38.896114403754709</v>
      </c>
      <c r="Q88" s="22">
        <f t="shared" si="54"/>
        <v>331.42891591987274</v>
      </c>
      <c r="R88" s="62">
        <f t="shared" si="55"/>
        <v>624.76224925320605</v>
      </c>
      <c r="S88" s="62">
        <f ca="1">AVERAGE(OFFSET($R$3,0,0,'Données projet'!$E$9+1,1))-AVERAGE(OFFSET($H$3,0,0,'Données projet'!$E$9+1,1))</f>
        <v>145.91567711893987</v>
      </c>
      <c r="T88" s="62">
        <f t="shared" si="88"/>
        <v>136.44398554363522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234</v>
      </c>
      <c r="AG88" s="13">
        <f>VLOOKUP(A88,'Données projet'!$A$61:$I$81,9,0)</f>
        <v>3</v>
      </c>
      <c r="AH88" s="13">
        <f t="array" ref="AH88">INDEX(AG:AG,MIN(IF(ISNUMBER(AG88:AG284),ROW(AG88:AG284),"")))</f>
        <v>3</v>
      </c>
      <c r="AI88" s="14">
        <f>IF('Données projet'!$A$62&gt;35,AI87+AH88-AQ87,IF(A88&lt;'Données projet'!$A$62,$AF$205^A88,IF(A88='Données projet'!$A$62,'Données projet'!$B$62,AI87+AH88-AQ87)))</f>
        <v>233.99999999999997</v>
      </c>
      <c r="AJ88" s="14">
        <f>AI88*VLOOKUP('Données projet'!$B$10,Paramètres!$A$1:$I$89,3,0)*VLOOKUP('Données projet'!$B$10,Paramètres!$A$1:$I$89,5,0)</f>
        <v>204.42239999999998</v>
      </c>
      <c r="AK88" s="14">
        <f t="shared" si="89"/>
        <v>50.714836797527262</v>
      </c>
      <c r="AL88" s="22">
        <f t="shared" si="58"/>
        <v>444.36402075569328</v>
      </c>
      <c r="AM88" s="62">
        <f t="shared" si="59"/>
        <v>737.69735408902659</v>
      </c>
      <c r="AN88" s="62">
        <f ca="1">AVERAGE(OFFSET($AM$3,0,0,'Données projet'!$E$10+1,1))-AVERAGE(OFFSET($H$3,0,0,'Données projet'!$E$10+1,1))</f>
        <v>222.48114295382305</v>
      </c>
      <c r="AO88" s="62">
        <f t="shared" si="90"/>
        <v>261.55066338953611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12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8.6160384772454623</v>
      </c>
      <c r="AV88" s="23">
        <f>EXP(-LN(2)/25)*AV87+(1-EXP(-LN(2)/25))/(LN(2)/25)*Calculateur!AQ88*Calculateur!AS88*VLOOKUP('Données projet'!$B$10,Paramètres!$A$1:$I$89,3,0)*0.475*44/12</f>
        <v>2.1284878807373593</v>
      </c>
      <c r="AW88" s="23">
        <f>EXP(-LN(2)/2)*AW87+(1-EXP(-LN(2)/2))/(LN(2)/2)*AQ88*AT88*VLOOKUP('Données projet'!$B$10,Paramètres!$A$1:$I$89,3,0)*0.475*44/12</f>
        <v>3.0736309176911606E-8</v>
      </c>
      <c r="AX88" s="23">
        <f t="shared" si="60"/>
        <v>10.74452638871913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63.05519999999985</v>
      </c>
      <c r="D89" s="12">
        <f t="shared" si="86"/>
        <v>17.93847248367711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625.21431390908526</v>
      </c>
      <c r="H89" s="70">
        <f t="shared" si="56"/>
        <v>434.39731290907071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8.3000000000000007</v>
      </c>
      <c r="N89" s="14">
        <f>IF('Données projet'!$A$36&gt;35,N88+M89-V88,IF(A89&lt;'Données projet'!$A$36,$K$205^A89,IF(A89='Données projet'!$A$36,'Données projet'!$B$36,N88+M89-V88)))</f>
        <v>331.79999999999995</v>
      </c>
      <c r="O89" s="14">
        <f>N89*VLOOKUP('Données projet'!$B$9,Paramètres!$A$1:$I$89,3,0)*VLOOKUP('Données projet'!$B$9,Paramètres!$A$1:$I$89,5,0)</f>
        <v>155.28239999999997</v>
      </c>
      <c r="P89" s="14">
        <f t="shared" si="87"/>
        <v>39.776601235546408</v>
      </c>
      <c r="Q89" s="22">
        <f t="shared" si="54"/>
        <v>339.72776048524321</v>
      </c>
      <c r="R89" s="62">
        <f t="shared" si="55"/>
        <v>633.06109381857652</v>
      </c>
      <c r="S89" s="62">
        <f ca="1">AVERAGE(OFFSET($R$3,0,0,'Données projet'!$E$9+1,1))-AVERAGE(OFFSET($H$3,0,0,'Données projet'!$E$9+1,1))</f>
        <v>145.91567711893987</v>
      </c>
      <c r="T89" s="62">
        <f t="shared" si="88"/>
        <v>136.44398554363522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2.8</v>
      </c>
      <c r="AI89" s="14">
        <f>IF('Données projet'!$A$62&gt;35,AI88+AH89-AQ88,IF(A89&lt;'Données projet'!$A$62,$AF$205^A89,IF(A89='Données projet'!$A$62,'Données projet'!$B$62,AI88+AH89-AQ88)))</f>
        <v>224.79999999999998</v>
      </c>
      <c r="AJ89" s="14">
        <f>AI89*VLOOKUP('Données projet'!$B$10,Paramètres!$A$1:$I$89,3,0)*VLOOKUP('Données projet'!$B$10,Paramètres!$A$1:$I$89,5,0)</f>
        <v>196.38528000000002</v>
      </c>
      <c r="AK89" s="14">
        <f t="shared" si="89"/>
        <v>48.948920378863868</v>
      </c>
      <c r="AL89" s="22">
        <f t="shared" si="58"/>
        <v>427.29039899318792</v>
      </c>
      <c r="AM89" s="62">
        <f t="shared" si="59"/>
        <v>720.62373232652124</v>
      </c>
      <c r="AN89" s="62">
        <f ca="1">AVERAGE(OFFSET($AM$3,0,0,'Données projet'!$E$10+1,1))-AVERAGE(OFFSET($H$3,0,0,'Données projet'!$E$10+1,1))</f>
        <v>222.48114295382305</v>
      </c>
      <c r="AO89" s="62">
        <f t="shared" si="90"/>
        <v>261.55066338953611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8.447083217971235</v>
      </c>
      <c r="AV89" s="23">
        <f>EXP(-LN(2)/25)*AV88+(1-EXP(-LN(2)/25))/(LN(2)/25)*Calculateur!AQ89*Calculateur!AS89*VLOOKUP('Données projet'!$B$10,Paramètres!$A$1:$I$89,3,0)*0.475*44/12</f>
        <v>2.0702842677062834</v>
      </c>
      <c r="AW89" s="23">
        <f>EXP(-LN(2)/2)*AW88+(1-EXP(-LN(2)/2))/(LN(2)/2)*AQ89*AT89*VLOOKUP('Données projet'!$B$10,Paramètres!$A$1:$I$89,3,0)*0.475*44/12</f>
        <v>2.1733852647640508E-8</v>
      </c>
      <c r="AX89" s="23">
        <f t="shared" si="60"/>
        <v>10.51736750741137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63.788399999999847</v>
      </c>
      <c r="D90" s="12">
        <f t="shared" si="86"/>
        <v>18.122655666579583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632.29586830342021</v>
      </c>
      <c r="H90" s="70">
        <f t="shared" si="56"/>
        <v>435.99508861929246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8.3000000000000007</v>
      </c>
      <c r="N90" s="14">
        <f>IF('Données projet'!$A$36&gt;35,N89+M90-V89,IF(A90&lt;'Données projet'!$A$36,$K$205^A90,IF(A90='Données projet'!$A$36,'Données projet'!$B$36,N89+M90-V89)))</f>
        <v>340.09999999999997</v>
      </c>
      <c r="O90" s="14">
        <f>N90*VLOOKUP('Données projet'!$B$9,Paramètres!$A$1:$I$89,3,0)*VLOOKUP('Données projet'!$B$9,Paramètres!$A$1:$I$89,5,0)</f>
        <v>159.16679999999997</v>
      </c>
      <c r="P90" s="14">
        <f t="shared" si="87"/>
        <v>40.654527752930747</v>
      </c>
      <c r="Q90" s="22">
        <f t="shared" si="54"/>
        <v>348.02214583635424</v>
      </c>
      <c r="R90" s="62">
        <f t="shared" si="55"/>
        <v>641.35547916968756</v>
      </c>
      <c r="S90" s="62">
        <f ca="1">AVERAGE(OFFSET($R$3,0,0,'Données projet'!$E$9+1,1))-AVERAGE(OFFSET($H$3,0,0,'Données projet'!$E$9+1,1))</f>
        <v>145.91567711893987</v>
      </c>
      <c r="T90" s="62">
        <f t="shared" si="88"/>
        <v>136.44398554363522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2.8</v>
      </c>
      <c r="AI90" s="14">
        <f>IF('Données projet'!$A$62&gt;35,AI89+AH90-AQ89,IF(A90&lt;'Données projet'!$A$62,$AF$205^A90,IF(A90='Données projet'!$A$62,'Données projet'!$B$62,AI89+AH90-AQ89)))</f>
        <v>227.6</v>
      </c>
      <c r="AJ90" s="14">
        <f>AI90*VLOOKUP('Données projet'!$B$10,Paramètres!$A$1:$I$89,3,0)*VLOOKUP('Données projet'!$B$10,Paramètres!$A$1:$I$89,5,0)</f>
        <v>198.83136000000002</v>
      </c>
      <c r="AK90" s="14">
        <f t="shared" si="89"/>
        <v>49.48724849224233</v>
      </c>
      <c r="AL90" s="22">
        <f t="shared" si="58"/>
        <v>432.4882431239887</v>
      </c>
      <c r="AM90" s="62">
        <f t="shared" si="59"/>
        <v>725.82157645732195</v>
      </c>
      <c r="AN90" s="62">
        <f ca="1">AVERAGE(OFFSET($AM$3,0,0,'Données projet'!$E$10+1,1))-AVERAGE(OFFSET($H$3,0,0,'Données projet'!$E$10+1,1))</f>
        <v>222.48114295382305</v>
      </c>
      <c r="AO90" s="62">
        <f t="shared" si="90"/>
        <v>261.55066338953611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8.2814410682788431</v>
      </c>
      <c r="AV90" s="23">
        <f>EXP(-LN(2)/25)*AV89+(1-EXP(-LN(2)/25))/(LN(2)/25)*Calculateur!AQ90*Calculateur!AS90*VLOOKUP('Données projet'!$B$10,Paramètres!$A$1:$I$89,3,0)*0.475*44/12</f>
        <v>2.0136722355343371</v>
      </c>
      <c r="AW90" s="23">
        <f>EXP(-LN(2)/2)*AW89+(1-EXP(-LN(2)/2))/(LN(2)/2)*AQ90*AT90*VLOOKUP('Données projet'!$B$10,Paramètres!$A$1:$I$89,3,0)*0.475*44/12</f>
        <v>1.5368154588455803E-8</v>
      </c>
      <c r="AX90" s="23">
        <f t="shared" si="60"/>
        <v>10.295113319181334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64.52159999999985</v>
      </c>
      <c r="D91" s="12">
        <f t="shared" si="86"/>
        <v>18.30659258412695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639.37552170203151</v>
      </c>
      <c r="H91" s="70">
        <f t="shared" si="56"/>
        <v>437.59243541735412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8.3000000000000007</v>
      </c>
      <c r="N91" s="14">
        <f>IF('Données projet'!$A$36&gt;35,N90+M91-V90,IF(A91&lt;'Données projet'!$A$36,$K$205^A91,IF(A91='Données projet'!$A$36,'Données projet'!$B$36,N90+M91-V90)))</f>
        <v>348.4</v>
      </c>
      <c r="O91" s="14">
        <f>N91*VLOOKUP('Données projet'!$B$9,Paramètres!$A$1:$I$89,3,0)*VLOOKUP('Données projet'!$B$9,Paramètres!$A$1:$I$89,5,0)</f>
        <v>163.05119999999999</v>
      </c>
      <c r="P91" s="14">
        <f t="shared" si="87"/>
        <v>41.529963627394977</v>
      </c>
      <c r="Q91" s="22">
        <f t="shared" si="54"/>
        <v>356.31219331771285</v>
      </c>
      <c r="R91" s="62">
        <f t="shared" si="55"/>
        <v>649.64552665104611</v>
      </c>
      <c r="S91" s="62">
        <f ca="1">AVERAGE(OFFSET($R$3,0,0,'Données projet'!$E$9+1,1))-AVERAGE(OFFSET($H$3,0,0,'Données projet'!$E$9+1,1))</f>
        <v>145.91567711893987</v>
      </c>
      <c r="T91" s="62">
        <f t="shared" si="88"/>
        <v>136.44398554363522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2.8</v>
      </c>
      <c r="AI91" s="14">
        <f>IF('Données projet'!$A$62&gt;35,AI90+AH91-AQ90,IF(A91&lt;'Données projet'!$A$62,$AF$205^A91,IF(A91='Données projet'!$A$62,'Données projet'!$B$62,AI90+AH91-AQ90)))</f>
        <v>230.4</v>
      </c>
      <c r="AJ91" s="14">
        <f>AI91*VLOOKUP('Données projet'!$B$10,Paramètres!$A$1:$I$89,3,0)*VLOOKUP('Données projet'!$B$10,Paramètres!$A$1:$I$89,5,0)</f>
        <v>201.27744000000004</v>
      </c>
      <c r="AK91" s="14">
        <f t="shared" si="89"/>
        <v>50.024806258462775</v>
      </c>
      <c r="AL91" s="22">
        <f t="shared" si="58"/>
        <v>437.68474556682276</v>
      </c>
      <c r="AM91" s="62">
        <f t="shared" si="59"/>
        <v>731.01807890015607</v>
      </c>
      <c r="AN91" s="62">
        <f ca="1">AVERAGE(OFFSET($AM$3,0,0,'Données projet'!$E$10+1,1))-AVERAGE(OFFSET($H$3,0,0,'Données projet'!$E$10+1,1))</f>
        <v>222.48114295382305</v>
      </c>
      <c r="AO91" s="62">
        <f t="shared" si="90"/>
        <v>261.55066338953611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8.1190470601101836</v>
      </c>
      <c r="AV91" s="23">
        <f>EXP(-LN(2)/25)*AV90+(1-EXP(-LN(2)/25))/(LN(2)/25)*Calculateur!AQ91*Calculateur!AS91*VLOOKUP('Données projet'!$B$10,Paramètres!$A$1:$I$89,3,0)*0.475*44/12</f>
        <v>1.95860826235923</v>
      </c>
      <c r="AW91" s="23">
        <f>EXP(-LN(2)/2)*AW90+(1-EXP(-LN(2)/2))/(LN(2)/2)*AQ91*AT91*VLOOKUP('Données projet'!$B$10,Paramètres!$A$1:$I$89,3,0)*0.475*44/12</f>
        <v>1.0866926323820254E-8</v>
      </c>
      <c r="AX91" s="23">
        <f t="shared" si="60"/>
        <v>10.07765533333634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65.254799999999847</v>
      </c>
      <c r="D92" s="12">
        <f t="shared" si="86"/>
        <v>18.490286358600777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646.45329820674169</v>
      </c>
      <c r="H92" s="70">
        <f t="shared" si="56"/>
        <v>439.1893587412294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8.3000000000000007</v>
      </c>
      <c r="N92" s="14">
        <f>IF('Données projet'!$A$36&gt;35,N91+M92-V91,IF(A92&lt;'Données projet'!$A$36,$K$205^A92,IF(A92='Données projet'!$A$36,'Données projet'!$B$36,N91+M92-V91)))</f>
        <v>356.7</v>
      </c>
      <c r="O92" s="14">
        <f>N92*VLOOKUP('Données projet'!$B$9,Paramètres!$A$1:$I$89,3,0)*VLOOKUP('Données projet'!$B$9,Paramètres!$A$1:$I$89,5,0)</f>
        <v>166.93559999999997</v>
      </c>
      <c r="P92" s="14">
        <f t="shared" si="87"/>
        <v>42.402975021498193</v>
      </c>
      <c r="Q92" s="22">
        <f t="shared" si="54"/>
        <v>364.59801816244266</v>
      </c>
      <c r="R92" s="62">
        <f t="shared" si="55"/>
        <v>657.93135149577597</v>
      </c>
      <c r="S92" s="62">
        <f ca="1">AVERAGE(OFFSET($R$3,0,0,'Données projet'!$E$9+1,1))-AVERAGE(OFFSET($H$3,0,0,'Données projet'!$E$9+1,1))</f>
        <v>145.91567711893987</v>
      </c>
      <c r="T92" s="62">
        <f t="shared" si="88"/>
        <v>136.44398554363522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2.8</v>
      </c>
      <c r="AI92" s="14">
        <f>IF('Données projet'!$A$62&gt;35,AI91+AH92-AQ91,IF(A92&lt;'Données projet'!$A$62,$AF$205^A92,IF(A92='Données projet'!$A$62,'Données projet'!$B$62,AI91+AH92-AQ91)))</f>
        <v>233.20000000000002</v>
      </c>
      <c r="AJ92" s="14">
        <f>AI92*VLOOKUP('Données projet'!$B$10,Paramètres!$A$1:$I$89,3,0)*VLOOKUP('Données projet'!$B$10,Paramètres!$A$1:$I$89,5,0)</f>
        <v>203.72352000000004</v>
      </c>
      <c r="AK92" s="14">
        <f t="shared" si="89"/>
        <v>50.561604122231515</v>
      </c>
      <c r="AL92" s="22">
        <f t="shared" si="58"/>
        <v>442.87992451288659</v>
      </c>
      <c r="AM92" s="62">
        <f t="shared" si="59"/>
        <v>736.2132578462199</v>
      </c>
      <c r="AN92" s="62">
        <f ca="1">AVERAGE(OFFSET($AM$3,0,0,'Données projet'!$E$10+1,1))-AVERAGE(OFFSET($H$3,0,0,'Données projet'!$E$10+1,1))</f>
        <v>222.48114295382305</v>
      </c>
      <c r="AO92" s="62">
        <f t="shared" si="90"/>
        <v>261.55066338953611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7.9598374993911474</v>
      </c>
      <c r="AV92" s="23">
        <f>EXP(-LN(2)/25)*AV91+(1-EXP(-LN(2)/25))/(LN(2)/25)*Calculateur!AQ92*Calculateur!AS92*VLOOKUP('Données projet'!$B$10,Paramètres!$A$1:$I$89,3,0)*0.475*44/12</f>
        <v>1.9050500164262849</v>
      </c>
      <c r="AW92" s="23">
        <f>EXP(-LN(2)/2)*AW91+(1-EXP(-LN(2)/2))/(LN(2)/2)*AQ92*AT92*VLOOKUP('Données projet'!$B$10,Paramètres!$A$1:$I$89,3,0)*0.475*44/12</f>
        <v>7.6840772942279016E-9</v>
      </c>
      <c r="AX92" s="23">
        <f t="shared" si="60"/>
        <v>9.8648875235015101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65.987999999999843</v>
      </c>
      <c r="D93" s="12">
        <f t="shared" si="86"/>
        <v>18.673740038079401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653.52922134657672</v>
      </c>
      <c r="H93" s="70">
        <f t="shared" si="56"/>
        <v>440.78586389965466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365</v>
      </c>
      <c r="L93" s="13">
        <f>VLOOKUP(A93,'Données projet'!$A$35:$I$55,9,0)</f>
        <v>8.3000000000000007</v>
      </c>
      <c r="M93" s="13">
        <f t="array" ref="M93">INDEX(L:L,MIN(IF(ISNUMBER(L93:L289),ROW(L93:L289),"")))</f>
        <v>8.3000000000000007</v>
      </c>
      <c r="N93" s="14">
        <f>IF('Données projet'!$A$36&gt;35,N92+M93-V92,IF(A93&lt;'Données projet'!$A$36,$K$205^A93,IF(A93='Données projet'!$A$36,'Données projet'!$B$36,N92+M93-V92)))</f>
        <v>365</v>
      </c>
      <c r="O93" s="14">
        <f>N93*VLOOKUP('Données projet'!$B$9,Paramètres!$A$1:$I$89,3,0)*VLOOKUP('Données projet'!$B$9,Paramètres!$A$1:$I$89,5,0)</f>
        <v>170.82000000000002</v>
      </c>
      <c r="P93" s="14">
        <f t="shared" si="87"/>
        <v>43.273624843069463</v>
      </c>
      <c r="Q93" s="22">
        <f t="shared" si="54"/>
        <v>372.87972993501268</v>
      </c>
      <c r="R93" s="62">
        <f t="shared" si="55"/>
        <v>666.21306326834599</v>
      </c>
      <c r="S93" s="62">
        <f ca="1">AVERAGE(OFFSET($R$3,0,0,'Données projet'!$E$9+1,1))-AVERAGE(OFFSET($H$3,0,0,'Données projet'!$E$9+1,1))</f>
        <v>145.91567711893987</v>
      </c>
      <c r="T93" s="62">
        <f t="shared" si="88"/>
        <v>136.44398554363522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73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236</v>
      </c>
      <c r="AG93" s="13">
        <f>VLOOKUP(A93,'Données projet'!$A$61:$I$81,9,0)</f>
        <v>2.8</v>
      </c>
      <c r="AH93" s="13">
        <f t="array" ref="AH93">INDEX(AG:AG,MIN(IF(ISNUMBER(AG93:AG289),ROW(AG93:AG289),"")))</f>
        <v>2.8</v>
      </c>
      <c r="AI93" s="14">
        <f>IF('Données projet'!$A$62&gt;35,AI92+AH93-AQ92,IF(A93&lt;'Données projet'!$A$62,$AF$205^A93,IF(A93='Données projet'!$A$62,'Données projet'!$B$62,AI92+AH93-AQ92)))</f>
        <v>236.00000000000003</v>
      </c>
      <c r="AJ93" s="14">
        <f>AI93*VLOOKUP('Données projet'!$B$10,Paramètres!$A$1:$I$89,3,0)*VLOOKUP('Données projet'!$B$10,Paramètres!$A$1:$I$89,5,0)</f>
        <v>206.16960000000006</v>
      </c>
      <c r="AK93" s="14">
        <f t="shared" si="89"/>
        <v>51.097652263007333</v>
      </c>
      <c r="AL93" s="22">
        <f t="shared" si="58"/>
        <v>448.07379769140448</v>
      </c>
      <c r="AM93" s="62">
        <f t="shared" si="59"/>
        <v>741.40713102473774</v>
      </c>
      <c r="AN93" s="62">
        <f ca="1">AVERAGE(OFFSET($AM$3,0,0,'Données projet'!$E$10+1,1))-AVERAGE(OFFSET($H$3,0,0,'Données projet'!$E$10+1,1))</f>
        <v>222.48114295382305</v>
      </c>
      <c r="AO93" s="62">
        <f t="shared" si="90"/>
        <v>261.55066338953611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236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7.8037499410495679</v>
      </c>
      <c r="AV93" s="23">
        <f>EXP(-LN(2)/25)*AV92+(1-EXP(-LN(2)/25))/(LN(2)/25)*Calculateur!AQ93*Calculateur!AS93*VLOOKUP('Données projet'!$B$10,Paramètres!$A$1:$I$89,3,0)*0.475*44/12</f>
        <v>1.8529563235448818</v>
      </c>
      <c r="AW93" s="23">
        <f>EXP(-LN(2)/2)*AW92+(1-EXP(-LN(2)/2))/(LN(2)/2)*AQ93*AT93*VLOOKUP('Données projet'!$B$10,Paramètres!$A$1:$I$89,3,0)*0.475*44/12</f>
        <v>5.4334631619101271E-9</v>
      </c>
      <c r="AX93" s="23">
        <f t="shared" si="60"/>
        <v>9.6567062700279127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66.72119999999984</v>
      </c>
      <c r="D94" s="12">
        <f t="shared" si="86"/>
        <v>18.85695659900588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660.60331409758817</v>
      </c>
      <c r="H94" s="70">
        <f t="shared" si="56"/>
        <v>442.38195607660163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8.3000000000000007</v>
      </c>
      <c r="N94" s="14">
        <f>IF('Données projet'!$A$36&gt;35,N93+M94-V93,IF(A94&lt;'Données projet'!$A$36,$K$205^A94,IF(A94='Données projet'!$A$36,'Données projet'!$B$36,N93+M94-V93)))</f>
        <v>300.3</v>
      </c>
      <c r="O94" s="14">
        <f>N94*VLOOKUP('Données projet'!$B$9,Paramètres!$A$1:$I$89,3,0)*VLOOKUP('Données projet'!$B$9,Paramètres!$A$1:$I$89,5,0)</f>
        <v>140.54040000000001</v>
      </c>
      <c r="P94" s="14">
        <f t="shared" si="87"/>
        <v>36.420775774849901</v>
      </c>
      <c r="Q94" s="22">
        <f t="shared" si="54"/>
        <v>308.20738114119689</v>
      </c>
      <c r="R94" s="62">
        <f t="shared" si="55"/>
        <v>601.5407144745302</v>
      </c>
      <c r="S94" s="62">
        <f ca="1">AVERAGE(OFFSET($R$3,0,0,'Données projet'!$E$9+1,1))-AVERAGE(OFFSET($H$3,0,0,'Données projet'!$E$9+1,1))</f>
        <v>145.91567711893987</v>
      </c>
      <c r="T94" s="62">
        <f t="shared" si="88"/>
        <v>136.44398554363522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2.8421709430404007E-14</v>
      </c>
      <c r="AJ94" s="14">
        <f>AI94*VLOOKUP('Données projet'!$B$10,Paramètres!$A$1:$I$89,3,0)*VLOOKUP('Données projet'!$B$10,Paramètres!$A$1:$I$89,5,0)</f>
        <v>2.4829205358400945E-14</v>
      </c>
      <c r="AK94" s="14">
        <f t="shared" si="89"/>
        <v>4.3867331143352915E-13</v>
      </c>
      <c r="AL94" s="22">
        <f t="shared" si="58"/>
        <v>8.0726688341261168E-13</v>
      </c>
      <c r="AM94" s="62">
        <f t="shared" si="59"/>
        <v>293.33333333333411</v>
      </c>
      <c r="AN94" s="62">
        <f ca="1">AVERAGE(OFFSET($AM$3,0,0,'Données projet'!$E$10+1,1))-AVERAGE(OFFSET($H$3,0,0,'Données projet'!$E$10+1,1))</f>
        <v>222.48114295382305</v>
      </c>
      <c r="AO94" s="62">
        <f t="shared" si="90"/>
        <v>261.55066338953611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7.6507231645230567</v>
      </c>
      <c r="AV94" s="23">
        <f>EXP(-LN(2)/25)*AV93+(1-EXP(-LN(2)/25))/(LN(2)/25)*Calculateur!AQ94*Calculateur!AS94*VLOOKUP('Données projet'!$B$10,Paramètres!$A$1:$I$89,3,0)*0.475*44/12</f>
        <v>1.8022871354348089</v>
      </c>
      <c r="AW94" s="23">
        <f>EXP(-LN(2)/2)*AW93+(1-EXP(-LN(2)/2))/(LN(2)/2)*AQ94*AT94*VLOOKUP('Données projet'!$B$10,Paramètres!$A$1:$I$89,3,0)*0.475*44/12</f>
        <v>3.8420386471139508E-9</v>
      </c>
      <c r="AX94" s="23">
        <f t="shared" si="60"/>
        <v>9.4530103037999034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67.454399999999836</v>
      </c>
      <c r="D95" s="12">
        <f t="shared" si="86"/>
        <v>19.03993894863974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667.67559890177927</v>
      </c>
      <c r="H95" s="70">
        <f t="shared" si="56"/>
        <v>443.97764033554722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8.3000000000000007</v>
      </c>
      <c r="N95" s="14">
        <f>IF('Données projet'!$A$36&gt;35,N94+M95-V94,IF(A95&lt;'Données projet'!$A$36,$K$205^A95,IF(A95='Données projet'!$A$36,'Données projet'!$B$36,N94+M95-V94)))</f>
        <v>308.60000000000002</v>
      </c>
      <c r="O95" s="14">
        <f>N95*VLOOKUP('Données projet'!$B$9,Paramètres!$A$1:$I$89,3,0)*VLOOKUP('Données projet'!$B$9,Paramètres!$A$1:$I$89,5,0)</f>
        <v>144.4248</v>
      </c>
      <c r="P95" s="14">
        <f t="shared" si="87"/>
        <v>37.308822031923654</v>
      </c>
      <c r="Q95" s="22">
        <f t="shared" si="54"/>
        <v>316.51939170560036</v>
      </c>
      <c r="R95" s="62">
        <f t="shared" si="55"/>
        <v>609.85272503893361</v>
      </c>
      <c r="S95" s="62">
        <f ca="1">AVERAGE(OFFSET($R$3,0,0,'Données projet'!$E$9+1,1))-AVERAGE(OFFSET($H$3,0,0,'Données projet'!$E$9+1,1))</f>
        <v>145.91567711893987</v>
      </c>
      <c r="T95" s="62">
        <f t="shared" si="88"/>
        <v>136.44398554363522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2.8421709430404007E-14</v>
      </c>
      <c r="AJ95" s="14">
        <f>AI95*VLOOKUP('Données projet'!$B$10,Paramètres!$A$1:$I$89,3,0)*VLOOKUP('Données projet'!$B$10,Paramètres!$A$1:$I$89,5,0)</f>
        <v>2.4829205358400945E-14</v>
      </c>
      <c r="AK95" s="14">
        <f t="shared" si="89"/>
        <v>4.3867331143352915E-13</v>
      </c>
      <c r="AL95" s="22">
        <f t="shared" si="58"/>
        <v>8.0726688341261168E-13</v>
      </c>
      <c r="AM95" s="62">
        <f t="shared" si="59"/>
        <v>293.33333333333411</v>
      </c>
      <c r="AN95" s="62">
        <f ca="1">AVERAGE(OFFSET($AM$3,0,0,'Données projet'!$E$10+1,1))-AVERAGE(OFFSET($H$3,0,0,'Données projet'!$E$10+1,1))</f>
        <v>222.48114295382305</v>
      </c>
      <c r="AO95" s="62">
        <f t="shared" si="90"/>
        <v>261.55066338953611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7.5006971497471131</v>
      </c>
      <c r="AV95" s="23">
        <f>EXP(-LN(2)/25)*AV94+(1-EXP(-LN(2)/25))/(LN(2)/25)*Calculateur!AQ95*Calculateur!AS95*VLOOKUP('Données projet'!$B$10,Paramètres!$A$1:$I$89,3,0)*0.475*44/12</f>
        <v>1.7530034989381829</v>
      </c>
      <c r="AW95" s="23">
        <f>EXP(-LN(2)/2)*AW94+(1-EXP(-LN(2)/2))/(LN(2)/2)*AQ95*AT95*VLOOKUP('Données projet'!$B$10,Paramètres!$A$1:$I$89,3,0)*0.475*44/12</f>
        <v>2.7167315809550636E-9</v>
      </c>
      <c r="AX95" s="23">
        <f t="shared" si="60"/>
        <v>9.2537006514020277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68.187599999999833</v>
      </c>
      <c r="D96" s="12">
        <f t="shared" si="86"/>
        <v>19.222689927399379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674.74609768518701</v>
      </c>
      <c r="H96" s="70">
        <f t="shared" si="56"/>
        <v>445.57292162355361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8.3000000000000007</v>
      </c>
      <c r="N96" s="14">
        <f>IF('Données projet'!$A$36&gt;35,N95+M96-V95,IF(A96&lt;'Données projet'!$A$36,$K$205^A96,IF(A96='Données projet'!$A$36,'Données projet'!$B$36,N95+M96-V95)))</f>
        <v>316.90000000000003</v>
      </c>
      <c r="O96" s="14">
        <f>N96*VLOOKUP('Données projet'!$B$9,Paramètres!$A$1:$I$89,3,0)*VLOOKUP('Données projet'!$B$9,Paramètres!$A$1:$I$89,5,0)</f>
        <v>148.3092</v>
      </c>
      <c r="P96" s="14">
        <f t="shared" si="87"/>
        <v>38.194092116566551</v>
      </c>
      <c r="Q96" s="22">
        <f t="shared" si="54"/>
        <v>324.82656710302007</v>
      </c>
      <c r="R96" s="62">
        <f t="shared" si="55"/>
        <v>618.15990043635338</v>
      </c>
      <c r="S96" s="62">
        <f ca="1">AVERAGE(OFFSET($R$3,0,0,'Données projet'!$E$9+1,1))-AVERAGE(OFFSET($H$3,0,0,'Données projet'!$E$9+1,1))</f>
        <v>145.91567711893987</v>
      </c>
      <c r="T96" s="62">
        <f t="shared" si="88"/>
        <v>136.44398554363522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2.8421709430404007E-14</v>
      </c>
      <c r="AJ96" s="14">
        <f>AI96*VLOOKUP('Données projet'!$B$10,Paramètres!$A$1:$I$89,3,0)*VLOOKUP('Données projet'!$B$10,Paramètres!$A$1:$I$89,5,0)</f>
        <v>2.4829205358400945E-14</v>
      </c>
      <c r="AK96" s="14">
        <f t="shared" si="89"/>
        <v>4.3867331143352915E-13</v>
      </c>
      <c r="AL96" s="22">
        <f t="shared" si="58"/>
        <v>8.0726688341261168E-13</v>
      </c>
      <c r="AM96" s="62">
        <f t="shared" si="59"/>
        <v>293.33333333333411</v>
      </c>
      <c r="AN96" s="62">
        <f ca="1">AVERAGE(OFFSET($AM$3,0,0,'Données projet'!$E$10+1,1))-AVERAGE(OFFSET($H$3,0,0,'Données projet'!$E$10+1,1))</f>
        <v>222.48114295382305</v>
      </c>
      <c r="AO96" s="62">
        <f t="shared" si="90"/>
        <v>261.55066338953611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7.353613053614092</v>
      </c>
      <c r="AV96" s="23">
        <f>EXP(-LN(2)/25)*AV95+(1-EXP(-LN(2)/25))/(LN(2)/25)*Calculateur!AQ96*Calculateur!AS96*VLOOKUP('Données projet'!$B$10,Paramètres!$A$1:$I$89,3,0)*0.475*44/12</f>
        <v>1.7050675260732708</v>
      </c>
      <c r="AW96" s="23">
        <f>EXP(-LN(2)/2)*AW95+(1-EXP(-LN(2)/2))/(LN(2)/2)*AQ96*AT96*VLOOKUP('Données projet'!$B$10,Paramètres!$A$1:$I$89,3,0)*0.475*44/12</f>
        <v>1.9210193235569754E-9</v>
      </c>
      <c r="AX96" s="23">
        <f t="shared" si="60"/>
        <v>9.0586805816083817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68.920799999999829</v>
      </c>
      <c r="D97" s="12">
        <f t="shared" si="86"/>
        <v>19.405212311100474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681.81483187516017</v>
      </c>
      <c r="H97" s="70">
        <f t="shared" si="56"/>
        <v>447.16780477516636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8.3000000000000007</v>
      </c>
      <c r="N97" s="14">
        <f>IF('Données projet'!$A$36&gt;35,N96+M97-V96,IF(A97&lt;'Données projet'!$A$36,$K$205^A97,IF(A97='Données projet'!$A$36,'Données projet'!$B$36,N96+M97-V96)))</f>
        <v>325.20000000000005</v>
      </c>
      <c r="O97" s="14">
        <f>N97*VLOOKUP('Données projet'!$B$9,Paramètres!$A$1:$I$89,3,0)*VLOOKUP('Données projet'!$B$9,Paramètres!$A$1:$I$89,5,0)</f>
        <v>152.19360000000003</v>
      </c>
      <c r="P97" s="14">
        <f t="shared" si="87"/>
        <v>39.076667098894909</v>
      </c>
      <c r="Q97" s="22">
        <f t="shared" si="54"/>
        <v>333.1290485305754</v>
      </c>
      <c r="R97" s="62">
        <f t="shared" si="55"/>
        <v>626.46238186390872</v>
      </c>
      <c r="S97" s="62">
        <f ca="1">AVERAGE(OFFSET($R$3,0,0,'Données projet'!$E$9+1,1))-AVERAGE(OFFSET($H$3,0,0,'Données projet'!$E$9+1,1))</f>
        <v>145.91567711893987</v>
      </c>
      <c r="T97" s="62">
        <f t="shared" si="88"/>
        <v>136.44398554363522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2.8421709430404007E-14</v>
      </c>
      <c r="AJ97" s="14">
        <f>AI97*VLOOKUP('Données projet'!$B$10,Paramètres!$A$1:$I$89,3,0)*VLOOKUP('Données projet'!$B$10,Paramètres!$A$1:$I$89,5,0)</f>
        <v>2.4829205358400945E-14</v>
      </c>
      <c r="AK97" s="14">
        <f t="shared" si="89"/>
        <v>4.3867331143352915E-13</v>
      </c>
      <c r="AL97" s="22">
        <f t="shared" si="58"/>
        <v>8.0726688341261168E-13</v>
      </c>
      <c r="AM97" s="62">
        <f t="shared" si="59"/>
        <v>293.33333333333411</v>
      </c>
      <c r="AN97" s="62">
        <f ca="1">AVERAGE(OFFSET($AM$3,0,0,'Données projet'!$E$10+1,1))-AVERAGE(OFFSET($H$3,0,0,'Données projet'!$E$10+1,1))</f>
        <v>222.48114295382305</v>
      </c>
      <c r="AO97" s="62">
        <f t="shared" si="90"/>
        <v>261.55066338953611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7.2094131868937996</v>
      </c>
      <c r="AV97" s="23">
        <f>EXP(-LN(2)/25)*AV96+(1-EXP(-LN(2)/25))/(LN(2)/25)*Calculateur!AQ97*Calculateur!AS97*VLOOKUP('Données projet'!$B$10,Paramètres!$A$1:$I$89,3,0)*0.475*44/12</f>
        <v>1.6584423649071931</v>
      </c>
      <c r="AW97" s="23">
        <f>EXP(-LN(2)/2)*AW96+(1-EXP(-LN(2)/2))/(LN(2)/2)*AQ97*AT97*VLOOKUP('Données projet'!$B$10,Paramètres!$A$1:$I$89,3,0)*0.475*44/12</f>
        <v>1.3583657904775318E-9</v>
      </c>
      <c r="AX97" s="23">
        <f t="shared" si="60"/>
        <v>8.8678555531593588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69.653999999999826</v>
      </c>
      <c r="D98" s="12">
        <f t="shared" si="86"/>
        <v>19.58750881309674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688.88182241688583</v>
      </c>
      <c r="H98" s="70">
        <f t="shared" si="56"/>
        <v>448.76229451614319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8.3000000000000007</v>
      </c>
      <c r="N98" s="14">
        <f>IF('Données projet'!$A$36&gt;35,N97+M98-V97,IF(A98&lt;'Données projet'!$A$36,$K$205^A98,IF(A98='Données projet'!$A$36,'Données projet'!$B$36,N97+M98-V97)))</f>
        <v>333.50000000000006</v>
      </c>
      <c r="O98" s="14">
        <f>N98*VLOOKUP('Données projet'!$B$9,Paramètres!$A$1:$I$89,3,0)*VLOOKUP('Données projet'!$B$9,Paramètres!$A$1:$I$89,5,0)</f>
        <v>156.07800000000003</v>
      </c>
      <c r="P98" s="14">
        <f t="shared" si="87"/>
        <v>39.956623674978466</v>
      </c>
      <c r="Q98" s="22">
        <f t="shared" si="54"/>
        <v>341.42696956725422</v>
      </c>
      <c r="R98" s="62">
        <f t="shared" si="55"/>
        <v>634.76030290058748</v>
      </c>
      <c r="S98" s="62">
        <f ca="1">AVERAGE(OFFSET($R$3,0,0,'Données projet'!$E$9+1,1))-AVERAGE(OFFSET($H$3,0,0,'Données projet'!$E$9+1,1))</f>
        <v>145.91567711893987</v>
      </c>
      <c r="T98" s="62">
        <f t="shared" si="88"/>
        <v>136.44398554363522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2.8421709430404007E-14</v>
      </c>
      <c r="AJ98" s="14">
        <f>AI98*VLOOKUP('Données projet'!$B$10,Paramètres!$A$1:$I$89,3,0)*VLOOKUP('Données projet'!$B$10,Paramètres!$A$1:$I$89,5,0)</f>
        <v>2.4829205358400945E-14</v>
      </c>
      <c r="AK98" s="14">
        <f t="shared" si="89"/>
        <v>4.3867331143352915E-13</v>
      </c>
      <c r="AL98" s="22">
        <f t="shared" si="58"/>
        <v>8.0726688341261168E-13</v>
      </c>
      <c r="AM98" s="62">
        <f t="shared" si="59"/>
        <v>293.33333333333411</v>
      </c>
      <c r="AN98" s="62">
        <f ca="1">AVERAGE(OFFSET($AM$3,0,0,'Données projet'!$E$10+1,1))-AVERAGE(OFFSET($H$3,0,0,'Données projet'!$E$10+1,1))</f>
        <v>222.48114295382305</v>
      </c>
      <c r="AO98" s="62">
        <f t="shared" si="90"/>
        <v>261.55066338953611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7.068040991606658</v>
      </c>
      <c r="AV98" s="23">
        <f>EXP(-LN(2)/25)*AV97+(1-EXP(-LN(2)/25))/(LN(2)/25)*Calculateur!AQ98*Calculateur!AS98*VLOOKUP('Données projet'!$B$10,Paramètres!$A$1:$I$89,3,0)*0.475*44/12</f>
        <v>1.6130921712251123</v>
      </c>
      <c r="AW98" s="23">
        <f>EXP(-LN(2)/2)*AW97+(1-EXP(-LN(2)/2))/(LN(2)/2)*AQ98*AT98*VLOOKUP('Données projet'!$B$10,Paramètres!$A$1:$I$89,3,0)*0.475*44/12</f>
        <v>9.605096617784877E-10</v>
      </c>
      <c r="AX98" s="23">
        <f t="shared" si="60"/>
        <v>8.6811331637922802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70.387199999999822</v>
      </c>
      <c r="D99" s="12">
        <f t="shared" si="86"/>
        <v>19.769582086327762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695.9470897891955</v>
      </c>
      <c r="H99" s="70">
        <f t="shared" si="56"/>
        <v>450.35639546702049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8.3000000000000007</v>
      </c>
      <c r="N99" s="14">
        <f>IF('Données projet'!$A$36&gt;35,N98+M99-V98,IF(A99&lt;'Données projet'!$A$36,$K$205^A99,IF(A99='Données projet'!$A$36,'Données projet'!$B$36,N98+M99-V98)))</f>
        <v>341.80000000000007</v>
      </c>
      <c r="O99" s="14">
        <f>N99*VLOOKUP('Données projet'!$B$9,Paramètres!$A$1:$I$89,3,0)*VLOOKUP('Données projet'!$B$9,Paramètres!$A$1:$I$89,5,0)</f>
        <v>159.96240000000003</v>
      </c>
      <c r="P99" s="14">
        <f t="shared" si="87"/>
        <v>40.834034505739851</v>
      </c>
      <c r="Q99" s="22">
        <f t="shared" ref="Q99:Q130" si="107">(O99+P99)*0.475*44/12</f>
        <v>349.7204567641636</v>
      </c>
      <c r="R99" s="62">
        <f t="shared" si="55"/>
        <v>643.05379009749686</v>
      </c>
      <c r="S99" s="62">
        <f ca="1">AVERAGE(OFFSET($R$3,0,0,'Données projet'!$E$9+1,1))-AVERAGE(OFFSET($H$3,0,0,'Données projet'!$E$9+1,1))</f>
        <v>145.91567711893987</v>
      </c>
      <c r="T99" s="62">
        <f t="shared" si="88"/>
        <v>136.44398554363522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2.8421709430404007E-14</v>
      </c>
      <c r="AJ99" s="14">
        <f>AI99*VLOOKUP('Données projet'!$B$10,Paramètres!$A$1:$I$89,3,0)*VLOOKUP('Données projet'!$B$10,Paramètres!$A$1:$I$89,5,0)</f>
        <v>2.4829205358400945E-14</v>
      </c>
      <c r="AK99" s="14">
        <f t="shared" si="89"/>
        <v>4.3867331143352915E-13</v>
      </c>
      <c r="AL99" s="22">
        <f t="shared" si="58"/>
        <v>8.0726688341261168E-13</v>
      </c>
      <c r="AM99" s="62">
        <f t="shared" si="59"/>
        <v>293.33333333333411</v>
      </c>
      <c r="AN99" s="62">
        <f ca="1">AVERAGE(OFFSET($AM$3,0,0,'Données projet'!$E$10+1,1))-AVERAGE(OFFSET($H$3,0,0,'Données projet'!$E$10+1,1))</f>
        <v>222.48114295382305</v>
      </c>
      <c r="AO99" s="62">
        <f t="shared" si="90"/>
        <v>261.55066338953611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6.9294410188405724</v>
      </c>
      <c r="AV99" s="23">
        <f>EXP(-LN(2)/25)*AV98+(1-EXP(-LN(2)/25))/(LN(2)/25)*Calculateur!AQ99*Calculateur!AS99*VLOOKUP('Données projet'!$B$10,Paramètres!$A$1:$I$89,3,0)*0.475*44/12</f>
        <v>1.5689820809741311</v>
      </c>
      <c r="AW99" s="23">
        <f>EXP(-LN(2)/2)*AW98+(1-EXP(-LN(2)/2))/(LN(2)/2)*AQ99*AT99*VLOOKUP('Données projet'!$B$10,Paramètres!$A$1:$I$89,3,0)*0.475*44/12</f>
        <v>6.7918289523876589E-10</v>
      </c>
      <c r="AX99" s="23">
        <f t="shared" si="60"/>
        <v>8.4984231004938859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71.120399999999819</v>
      </c>
      <c r="D100" s="12">
        <f t="shared" si="86"/>
        <v>19.951434725279164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703.01065401969754</v>
      </c>
      <c r="H100" s="70">
        <f t="shared" si="56"/>
        <v>451.95011214652754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8.3000000000000007</v>
      </c>
      <c r="N100" s="14">
        <f>IF('Données projet'!$A$36&gt;35,N99+M100-V99,IF(A100&lt;'Données projet'!$A$36,$K$205^A100,IF(A100='Données projet'!$A$36,'Données projet'!$B$36,N99+M100-V99)))</f>
        <v>350.10000000000008</v>
      </c>
      <c r="O100" s="14">
        <f>N100*VLOOKUP('Données projet'!$B$9,Paramètres!$A$1:$I$89,3,0)*VLOOKUP('Données projet'!$B$9,Paramètres!$A$1:$I$89,5,0)</f>
        <v>163.84680000000003</v>
      </c>
      <c r="P100" s="14">
        <f t="shared" si="87"/>
        <v>41.708968522008732</v>
      </c>
      <c r="Q100" s="22">
        <f t="shared" si="107"/>
        <v>358.00963017583189</v>
      </c>
      <c r="R100" s="62">
        <f t="shared" si="55"/>
        <v>651.3429635091652</v>
      </c>
      <c r="S100" s="62">
        <f ca="1">AVERAGE(OFFSET($R$3,0,0,'Données projet'!$E$9+1,1))-AVERAGE(OFFSET($H$3,0,0,'Données projet'!$E$9+1,1))</f>
        <v>145.91567711893987</v>
      </c>
      <c r="T100" s="62">
        <f t="shared" si="88"/>
        <v>136.44398554363522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2.8421709430404007E-14</v>
      </c>
      <c r="AJ100" s="14">
        <f>AI100*VLOOKUP('Données projet'!$B$10,Paramètres!$A$1:$I$89,3,0)*VLOOKUP('Données projet'!$B$10,Paramètres!$A$1:$I$89,5,0)</f>
        <v>2.4829205358400945E-14</v>
      </c>
      <c r="AK100" s="14">
        <f t="shared" si="89"/>
        <v>4.3867331143352915E-13</v>
      </c>
      <c r="AL100" s="22">
        <f t="shared" si="58"/>
        <v>8.0726688341261168E-13</v>
      </c>
      <c r="AM100" s="62">
        <f t="shared" si="59"/>
        <v>293.33333333333411</v>
      </c>
      <c r="AN100" s="62">
        <f ca="1">AVERAGE(OFFSET($AM$3,0,0,'Données projet'!$E$10+1,1))-AVERAGE(OFFSET($H$3,0,0,'Données projet'!$E$10+1,1))</f>
        <v>222.48114295382305</v>
      </c>
      <c r="AO100" s="62">
        <f t="shared" si="90"/>
        <v>261.55066338953611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6.7935589070027937</v>
      </c>
      <c r="AV100" s="23">
        <f>EXP(-LN(2)/25)*AV99+(1-EXP(-LN(2)/25))/(LN(2)/25)*Calculateur!AQ100*Calculateur!AS100*VLOOKUP('Données projet'!$B$10,Paramètres!$A$1:$I$89,3,0)*0.475*44/12</f>
        <v>1.5260781834607118</v>
      </c>
      <c r="AW100" s="23">
        <f>EXP(-LN(2)/2)*AW99+(1-EXP(-LN(2)/2))/(LN(2)/2)*AQ100*AT100*VLOOKUP('Données projet'!$B$10,Paramètres!$A$1:$I$89,3,0)*0.475*44/12</f>
        <v>4.8025483088924385E-10</v>
      </c>
      <c r="AX100" s="23">
        <f t="shared" si="60"/>
        <v>8.3196370909437594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71.853599999999815</v>
      </c>
      <c r="D101" s="12">
        <f t="shared" si="86"/>
        <v>20.133069267859618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710.07253469926593</v>
      </c>
      <c r="H101" s="70">
        <f t="shared" si="56"/>
        <v>453.54344897485515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8.3000000000000007</v>
      </c>
      <c r="N101" s="14">
        <f>IF('Données projet'!$A$36&gt;35,N100+M101-V100,IF(A101&lt;'Données projet'!$A$36,$K$205^A101,IF(A101='Données projet'!$A$36,'Données projet'!$B$36,N100+M101-V100)))</f>
        <v>358.40000000000009</v>
      </c>
      <c r="O101" s="14">
        <f>N101*VLOOKUP('Données projet'!$B$9,Paramètres!$A$1:$I$89,3,0)*VLOOKUP('Données projet'!$B$9,Paramètres!$A$1:$I$89,5,0)</f>
        <v>167.73120000000006</v>
      </c>
      <c r="P101" s="14">
        <f t="shared" si="87"/>
        <v>42.581491199832655</v>
      </c>
      <c r="Q101" s="22">
        <f t="shared" si="107"/>
        <v>366.29460383970871</v>
      </c>
      <c r="R101" s="62">
        <f t="shared" si="55"/>
        <v>659.62793717304203</v>
      </c>
      <c r="S101" s="62">
        <f ca="1">AVERAGE(OFFSET($R$3,0,0,'Données projet'!$E$9+1,1))-AVERAGE(OFFSET($H$3,0,0,'Données projet'!$E$9+1,1))</f>
        <v>145.91567711893987</v>
      </c>
      <c r="T101" s="62">
        <f t="shared" si="88"/>
        <v>136.44398554363522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2.8421709430404007E-14</v>
      </c>
      <c r="AJ101" s="14">
        <f>AI101*VLOOKUP('Données projet'!$B$10,Paramètres!$A$1:$I$89,3,0)*VLOOKUP('Données projet'!$B$10,Paramètres!$A$1:$I$89,5,0)</f>
        <v>2.4829205358400945E-14</v>
      </c>
      <c r="AK101" s="14">
        <f t="shared" si="89"/>
        <v>4.3867331143352915E-13</v>
      </c>
      <c r="AL101" s="22">
        <f t="shared" si="58"/>
        <v>8.0726688341261168E-13</v>
      </c>
      <c r="AM101" s="62">
        <f t="shared" si="59"/>
        <v>293.33333333333411</v>
      </c>
      <c r="AN101" s="62">
        <f ca="1">AVERAGE(OFFSET($AM$3,0,0,'Données projet'!$E$10+1,1))-AVERAGE(OFFSET($H$3,0,0,'Données projet'!$E$10+1,1))</f>
        <v>222.48114295382305</v>
      </c>
      <c r="AO101" s="62">
        <f t="shared" si="90"/>
        <v>261.55066338953611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6.6603413604982498</v>
      </c>
      <c r="AV101" s="23">
        <f>EXP(-LN(2)/25)*AV100+(1-EXP(-LN(2)/25))/(LN(2)/25)*Calculateur!AQ101*Calculateur!AS101*VLOOKUP('Données projet'!$B$10,Paramètres!$A$1:$I$89,3,0)*0.475*44/12</f>
        <v>1.484347495281015</v>
      </c>
      <c r="AW101" s="23">
        <f>EXP(-LN(2)/2)*AW100+(1-EXP(-LN(2)/2))/(LN(2)/2)*AQ101*AT101*VLOOKUP('Données projet'!$B$10,Paramètres!$A$1:$I$89,3,0)*0.475*44/12</f>
        <v>3.3959144761938294E-10</v>
      </c>
      <c r="AX101" s="23">
        <f t="shared" si="60"/>
        <v>8.1446888561188562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72.586799999999812</v>
      </c>
      <c r="D102" s="12">
        <f t="shared" si="86"/>
        <v>20.314488197199012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717.13275099592067</v>
      </c>
      <c r="H102" s="70">
        <f t="shared" si="56"/>
        <v>455.13641027678796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8.3000000000000007</v>
      </c>
      <c r="N102" s="14">
        <f>IF('Données projet'!$A$36&gt;35,N101+M102-V101,IF(A102&lt;'Données projet'!$A$36,$K$205^A102,IF(A102='Données projet'!$A$36,'Données projet'!$B$36,N101+M102-V101)))</f>
        <v>366.7000000000001</v>
      </c>
      <c r="O102" s="14">
        <f>N102*VLOOKUP('Données projet'!$B$9,Paramètres!$A$1:$I$89,3,0)*VLOOKUP('Données projet'!$B$9,Paramètres!$A$1:$I$89,5,0)</f>
        <v>171.61560000000006</v>
      </c>
      <c r="P102" s="14">
        <f t="shared" si="87"/>
        <v>43.45166480956653</v>
      </c>
      <c r="Q102" s="22">
        <f t="shared" si="107"/>
        <v>374.57548620999506</v>
      </c>
      <c r="R102" s="62">
        <f t="shared" si="55"/>
        <v>667.90881954332838</v>
      </c>
      <c r="S102" s="62">
        <f ca="1">AVERAGE(OFFSET($R$3,0,0,'Données projet'!$E$9+1,1))-AVERAGE(OFFSET($H$3,0,0,'Données projet'!$E$9+1,1))</f>
        <v>145.91567711893987</v>
      </c>
      <c r="T102" s="62">
        <f t="shared" si="88"/>
        <v>136.44398554363522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2.8421709430404007E-14</v>
      </c>
      <c r="AJ102" s="14">
        <f>AI102*VLOOKUP('Données projet'!$B$10,Paramètres!$A$1:$I$89,3,0)*VLOOKUP('Données projet'!$B$10,Paramètres!$A$1:$I$89,5,0)</f>
        <v>2.4829205358400945E-14</v>
      </c>
      <c r="AK102" s="14">
        <f t="shared" si="89"/>
        <v>4.3867331143352915E-13</v>
      </c>
      <c r="AL102" s="22">
        <f t="shared" si="58"/>
        <v>8.0726688341261168E-13</v>
      </c>
      <c r="AM102" s="62">
        <f t="shared" si="59"/>
        <v>293.33333333333411</v>
      </c>
      <c r="AN102" s="62">
        <f ca="1">AVERAGE(OFFSET($AM$3,0,0,'Données projet'!$E$10+1,1))-AVERAGE(OFFSET($H$3,0,0,'Données projet'!$E$10+1,1))</f>
        <v>222.48114295382305</v>
      </c>
      <c r="AO102" s="62">
        <f t="shared" si="90"/>
        <v>261.55066338953611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6.5297361288259799</v>
      </c>
      <c r="AV102" s="23">
        <f>EXP(-LN(2)/25)*AV101+(1-EXP(-LN(2)/25))/(LN(2)/25)*Calculateur!AQ102*Calculateur!AS102*VLOOKUP('Données projet'!$B$10,Paramètres!$A$1:$I$89,3,0)*0.475*44/12</f>
        <v>1.4437579349641134</v>
      </c>
      <c r="AW102" s="23">
        <f>EXP(-LN(2)/2)*AW101+(1-EXP(-LN(2)/2))/(LN(2)/2)*AQ102*AT102*VLOOKUP('Données projet'!$B$10,Paramètres!$A$1:$I$89,3,0)*0.475*44/12</f>
        <v>2.4012741544462192E-10</v>
      </c>
      <c r="AX102" s="23">
        <f t="shared" si="60"/>
        <v>7.9734940640302208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73.319999999999808</v>
      </c>
      <c r="D103" s="12">
        <f t="shared" si="86"/>
        <v>20.495693943372022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724.19132166813336</v>
      </c>
      <c r="H103" s="70">
        <f t="shared" si="56"/>
        <v>456.72900028470588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375</v>
      </c>
      <c r="L103" s="13">
        <f>VLOOKUP(A103,'Données projet'!$A$35:$I$55,9,0)</f>
        <v>8.3000000000000007</v>
      </c>
      <c r="M103" s="13">
        <f t="array" ref="M103">INDEX(L:L,MIN(IF(ISNUMBER(L103:L299),ROW(L103:L299),"")))</f>
        <v>8.3000000000000007</v>
      </c>
      <c r="N103" s="14">
        <f>IF('Données projet'!$A$36&gt;35,N102+M103-V102,IF(A103&lt;'Données projet'!$A$36,$K$205^A103,IF(A103='Données projet'!$A$36,'Données projet'!$B$36,N102+M103-V102)))</f>
        <v>375.00000000000011</v>
      </c>
      <c r="O103" s="14">
        <f>N103*VLOOKUP('Données projet'!$B$9,Paramètres!$A$1:$I$89,3,0)*VLOOKUP('Données projet'!$B$9,Paramètres!$A$1:$I$89,5,0)</f>
        <v>175.50000000000006</v>
      </c>
      <c r="P103" s="14">
        <f t="shared" si="87"/>
        <v>44.319548641773906</v>
      </c>
      <c r="Q103" s="22">
        <f t="shared" si="107"/>
        <v>382.85238055108965</v>
      </c>
      <c r="R103" s="62">
        <f t="shared" si="55"/>
        <v>676.18571388442297</v>
      </c>
      <c r="S103" s="62">
        <f ca="1">AVERAGE(OFFSET($R$3,0,0,'Données projet'!$E$9+1,1))-AVERAGE(OFFSET($H$3,0,0,'Données projet'!$E$9+1,1))</f>
        <v>145.91567711893987</v>
      </c>
      <c r="T103" s="62">
        <f t="shared" si="88"/>
        <v>136.44398554363522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375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2.8421709430404007E-14</v>
      </c>
      <c r="AJ103" s="14">
        <f>AI103*VLOOKUP('Données projet'!$B$10,Paramètres!$A$1:$I$89,3,0)*VLOOKUP('Données projet'!$B$10,Paramètres!$A$1:$I$89,5,0)</f>
        <v>2.4829205358400945E-14</v>
      </c>
      <c r="AK103" s="14">
        <f t="shared" si="89"/>
        <v>4.3867331143352915E-13</v>
      </c>
      <c r="AL103" s="22">
        <f t="shared" si="58"/>
        <v>8.0726688341261168E-13</v>
      </c>
      <c r="AM103" s="62">
        <f t="shared" si="59"/>
        <v>293.33333333333411</v>
      </c>
      <c r="AN103" s="62">
        <f ca="1">AVERAGE(OFFSET($AM$3,0,0,'Données projet'!$E$10+1,1))-AVERAGE(OFFSET($H$3,0,0,'Données projet'!$E$10+1,1))</f>
        <v>222.48114295382305</v>
      </c>
      <c r="AO103" s="62">
        <f t="shared" si="90"/>
        <v>261.55066338953611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6.4016919860854777</v>
      </c>
      <c r="AV103" s="23">
        <f>EXP(-LN(2)/25)*AV102+(1-EXP(-LN(2)/25))/(LN(2)/25)*Calculateur!AQ103*Calculateur!AS103*VLOOKUP('Données projet'!$B$10,Paramètres!$A$1:$I$89,3,0)*0.475*44/12</f>
        <v>1.4042782983085897</v>
      </c>
      <c r="AW103" s="23">
        <f>EXP(-LN(2)/2)*AW102+(1-EXP(-LN(2)/2))/(LN(2)/2)*AQ103*AT103*VLOOKUP('Données projet'!$B$10,Paramètres!$A$1:$I$89,3,0)*0.475*44/12</f>
        <v>1.6979572380969147E-10</v>
      </c>
      <c r="AX103" s="23">
        <f t="shared" si="60"/>
        <v>7.8059702845638634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74.053199999999805</v>
      </c>
      <c r="D104" s="12">
        <f t="shared" si="86"/>
        <v>20.676688885050506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731.24826507758144</v>
      </c>
      <c r="H104" s="70">
        <f t="shared" si="56"/>
        <v>458.32122314146261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5.3205440053716299E-14</v>
      </c>
      <c r="P104" s="14">
        <f t="shared" si="87"/>
        <v>8.602146238565607E-13</v>
      </c>
      <c r="Q104" s="22">
        <f t="shared" si="107"/>
        <v>1.590873277977066E-12</v>
      </c>
      <c r="R104" s="62">
        <f t="shared" si="55"/>
        <v>293.33333333333491</v>
      </c>
      <c r="S104" s="62">
        <f ca="1">AVERAGE(OFFSET($R$3,0,0,'Données projet'!$E$9+1,1))-AVERAGE(OFFSET($H$3,0,0,'Données projet'!$E$9+1,1))</f>
        <v>145.91567711893987</v>
      </c>
      <c r="T104" s="62">
        <f t="shared" si="88"/>
        <v>136.44398554363522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2.8421709430404007E-14</v>
      </c>
      <c r="AJ104" s="14">
        <f>AI104*VLOOKUP('Données projet'!$B$10,Paramètres!$A$1:$I$89,3,0)*VLOOKUP('Données projet'!$B$10,Paramètres!$A$1:$I$89,5,0)</f>
        <v>2.4829205358400945E-14</v>
      </c>
      <c r="AK104" s="14">
        <f t="shared" si="89"/>
        <v>4.3867331143352915E-13</v>
      </c>
      <c r="AL104" s="22">
        <f t="shared" si="58"/>
        <v>8.0726688341261168E-13</v>
      </c>
      <c r="AM104" s="62">
        <f t="shared" si="59"/>
        <v>293.33333333333411</v>
      </c>
      <c r="AN104" s="62">
        <f ca="1">AVERAGE(OFFSET($AM$3,0,0,'Données projet'!$E$10+1,1))-AVERAGE(OFFSET($H$3,0,0,'Données projet'!$E$10+1,1))</f>
        <v>222.48114295382305</v>
      </c>
      <c r="AO104" s="62">
        <f t="shared" si="90"/>
        <v>261.55066338953611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6.2761587108849008</v>
      </c>
      <c r="AV104" s="23">
        <f>EXP(-LN(2)/25)*AV103+(1-EXP(-LN(2)/25))/(LN(2)/25)*Calculateur!AQ104*Calculateur!AS104*VLOOKUP('Données projet'!$B$10,Paramètres!$A$1:$I$89,3,0)*0.475*44/12</f>
        <v>1.3658782343935552</v>
      </c>
      <c r="AW104" s="23">
        <f>EXP(-LN(2)/2)*AW103+(1-EXP(-LN(2)/2))/(LN(2)/2)*AQ104*AT104*VLOOKUP('Données projet'!$B$10,Paramètres!$A$1:$I$89,3,0)*0.475*44/12</f>
        <v>1.2006370772231096E-10</v>
      </c>
      <c r="AX104" s="23">
        <f t="shared" si="60"/>
        <v>7.6420369453985195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74.786399999999801</v>
      </c>
      <c r="D105" s="12">
        <f t="shared" si="86"/>
        <v>20.857475351088922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738.30359920138665</v>
      </c>
      <c r="H105" s="70">
        <f t="shared" si="56"/>
        <v>459.91308290314612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5.3205440053716299E-14</v>
      </c>
      <c r="P105" s="14">
        <f t="shared" si="87"/>
        <v>8.602146238565607E-13</v>
      </c>
      <c r="Q105" s="22">
        <f t="shared" si="107"/>
        <v>1.590873277977066E-12</v>
      </c>
      <c r="R105" s="62">
        <f t="shared" si="55"/>
        <v>293.33333333333491</v>
      </c>
      <c r="S105" s="62">
        <f ca="1">AVERAGE(OFFSET($R$3,0,0,'Données projet'!$E$9+1,1))-AVERAGE(OFFSET($H$3,0,0,'Données projet'!$E$9+1,1))</f>
        <v>145.91567711893987</v>
      </c>
      <c r="T105" s="62">
        <f t="shared" si="88"/>
        <v>136.44398554363522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2.8421709430404007E-14</v>
      </c>
      <c r="AJ105" s="14">
        <f>AI105*VLOOKUP('Données projet'!$B$10,Paramètres!$A$1:$I$89,3,0)*VLOOKUP('Données projet'!$B$10,Paramètres!$A$1:$I$89,5,0)</f>
        <v>2.4829205358400945E-14</v>
      </c>
      <c r="AK105" s="14">
        <f t="shared" si="89"/>
        <v>4.3867331143352915E-13</v>
      </c>
      <c r="AL105" s="22">
        <f t="shared" si="58"/>
        <v>8.0726688341261168E-13</v>
      </c>
      <c r="AM105" s="62">
        <f t="shared" si="59"/>
        <v>293.33333333333411</v>
      </c>
      <c r="AN105" s="62">
        <f ca="1">AVERAGE(OFFSET($AM$3,0,0,'Données projet'!$E$10+1,1))-AVERAGE(OFFSET($H$3,0,0,'Données projet'!$E$10+1,1))</f>
        <v>222.48114295382305</v>
      </c>
      <c r="AO105" s="62">
        <f t="shared" si="90"/>
        <v>261.55066338953611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6.1530870666432698</v>
      </c>
      <c r="AV105" s="23">
        <f>EXP(-LN(2)/25)*AV104+(1-EXP(-LN(2)/25))/(LN(2)/25)*Calculateur!AQ105*Calculateur!AS105*VLOOKUP('Données projet'!$B$10,Paramètres!$A$1:$I$89,3,0)*0.475*44/12</f>
        <v>1.3285282222456487</v>
      </c>
      <c r="AW105" s="23">
        <f>EXP(-LN(2)/2)*AW104+(1-EXP(-LN(2)/2))/(LN(2)/2)*AQ105*AT105*VLOOKUP('Données projet'!$B$10,Paramètres!$A$1:$I$89,3,0)*0.475*44/12</f>
        <v>8.4897861904845736E-11</v>
      </c>
      <c r="AX105" s="23">
        <f t="shared" si="60"/>
        <v>7.4816152889738161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75.519599999999798</v>
      </c>
      <c r="D106" s="12">
        <f t="shared" si="86"/>
        <v>21.038055622045484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745.35734164385815</v>
      </c>
      <c r="H106" s="70">
        <f t="shared" si="56"/>
        <v>461.50458354172883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5.3205440053716299E-14</v>
      </c>
      <c r="P106" s="14">
        <f t="shared" si="87"/>
        <v>8.602146238565607E-13</v>
      </c>
      <c r="Q106" s="22">
        <f t="shared" si="107"/>
        <v>1.590873277977066E-12</v>
      </c>
      <c r="R106" s="62">
        <f t="shared" si="55"/>
        <v>293.33333333333491</v>
      </c>
      <c r="S106" s="62">
        <f ca="1">AVERAGE(OFFSET($R$3,0,0,'Données projet'!$E$9+1,1))-AVERAGE(OFFSET($H$3,0,0,'Données projet'!$E$9+1,1))</f>
        <v>145.91567711893987</v>
      </c>
      <c r="T106" s="62">
        <f t="shared" si="88"/>
        <v>136.44398554363522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2.8421709430404007E-14</v>
      </c>
      <c r="AJ106" s="14">
        <f>AI106*VLOOKUP('Données projet'!$B$10,Paramètres!$A$1:$I$89,3,0)*VLOOKUP('Données projet'!$B$10,Paramètres!$A$1:$I$89,5,0)</f>
        <v>2.4829205358400945E-14</v>
      </c>
      <c r="AK106" s="14">
        <f t="shared" si="89"/>
        <v>4.3867331143352915E-13</v>
      </c>
      <c r="AL106" s="22">
        <f t="shared" si="58"/>
        <v>8.0726688341261168E-13</v>
      </c>
      <c r="AM106" s="62">
        <f t="shared" si="59"/>
        <v>293.33333333333411</v>
      </c>
      <c r="AN106" s="62">
        <f ca="1">AVERAGE(OFFSET($AM$3,0,0,'Données projet'!$E$10+1,1))-AVERAGE(OFFSET($H$3,0,0,'Données projet'!$E$10+1,1))</f>
        <v>222.48114295382305</v>
      </c>
      <c r="AO106" s="62">
        <f t="shared" si="90"/>
        <v>261.55066338953611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6.0324287822789264</v>
      </c>
      <c r="AV106" s="23">
        <f>EXP(-LN(2)/25)*AV105+(1-EXP(-LN(2)/25))/(LN(2)/25)*Calculateur!AQ106*Calculateur!AS106*VLOOKUP('Données projet'!$B$10,Paramètres!$A$1:$I$89,3,0)*0.475*44/12</f>
        <v>1.2921995481440787</v>
      </c>
      <c r="AW106" s="23">
        <f>EXP(-LN(2)/2)*AW105+(1-EXP(-LN(2)/2))/(LN(2)/2)*AQ106*AT106*VLOOKUP('Données projet'!$B$10,Paramètres!$A$1:$I$89,3,0)*0.475*44/12</f>
        <v>6.0031853861155481E-11</v>
      </c>
      <c r="AX106" s="23">
        <f t="shared" si="60"/>
        <v>7.3246283304830371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76.252799999999795</v>
      </c>
      <c r="D107" s="12">
        <f t="shared" si="86"/>
        <v>21.21843193164279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752.40950964776732</v>
      </c>
      <c r="H107" s="70">
        <f t="shared" si="56"/>
        <v>463.09572894761084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5.3205440053716299E-14</v>
      </c>
      <c r="P107" s="14">
        <f t="shared" si="87"/>
        <v>8.602146238565607E-13</v>
      </c>
      <c r="Q107" s="22">
        <f t="shared" si="107"/>
        <v>1.590873277977066E-12</v>
      </c>
      <c r="R107" s="62">
        <f t="shared" si="55"/>
        <v>293.33333333333491</v>
      </c>
      <c r="S107" s="62">
        <f ca="1">AVERAGE(OFFSET($R$3,0,0,'Données projet'!$E$9+1,1))-AVERAGE(OFFSET($H$3,0,0,'Données projet'!$E$9+1,1))</f>
        <v>145.91567711893987</v>
      </c>
      <c r="T107" s="62">
        <f t="shared" si="88"/>
        <v>136.44398554363522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2.8421709430404007E-14</v>
      </c>
      <c r="AJ107" s="14">
        <f>AI107*VLOOKUP('Données projet'!$B$10,Paramètres!$A$1:$I$89,3,0)*VLOOKUP('Données projet'!$B$10,Paramètres!$A$1:$I$89,5,0)</f>
        <v>2.4829205358400945E-14</v>
      </c>
      <c r="AK107" s="14">
        <f t="shared" si="89"/>
        <v>4.3867331143352915E-13</v>
      </c>
      <c r="AL107" s="22">
        <f t="shared" si="58"/>
        <v>8.0726688341261168E-13</v>
      </c>
      <c r="AM107" s="62">
        <f t="shared" si="59"/>
        <v>293.33333333333411</v>
      </c>
      <c r="AN107" s="62">
        <f ca="1">AVERAGE(OFFSET($AM$3,0,0,'Données projet'!$E$10+1,1))-AVERAGE(OFFSET($H$3,0,0,'Données projet'!$E$10+1,1))</f>
        <v>222.48114295382305</v>
      </c>
      <c r="AO107" s="62">
        <f t="shared" si="90"/>
        <v>261.55066338953611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5.9141365332766815</v>
      </c>
      <c r="AV107" s="23">
        <f>EXP(-LN(2)/25)*AV106+(1-EXP(-LN(2)/25))/(LN(2)/25)*Calculateur!AQ107*Calculateur!AS107*VLOOKUP('Données projet'!$B$10,Paramètres!$A$1:$I$89,3,0)*0.475*44/12</f>
        <v>1.256864283546258</v>
      </c>
      <c r="AW107" s="23">
        <f>EXP(-LN(2)/2)*AW106+(1-EXP(-LN(2)/2))/(LN(2)/2)*AQ107*AT107*VLOOKUP('Données projet'!$B$10,Paramètres!$A$1:$I$89,3,0)*0.475*44/12</f>
        <v>4.2448930952422868E-11</v>
      </c>
      <c r="AX107" s="23">
        <f t="shared" si="60"/>
        <v>7.171000816865388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76.985999999999791</v>
      </c>
      <c r="D108" s="12">
        <f t="shared" si="86"/>
        <v>21.398606468170534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759.4601201051745</v>
      </c>
      <c r="H108" s="70">
        <f t="shared" si="56"/>
        <v>464.68652293206327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5.3205440053716299E-14</v>
      </c>
      <c r="P108" s="14">
        <f t="shared" si="87"/>
        <v>8.602146238565607E-13</v>
      </c>
      <c r="Q108" s="22">
        <f t="shared" si="107"/>
        <v>1.590873277977066E-12</v>
      </c>
      <c r="R108" s="62">
        <f t="shared" si="55"/>
        <v>293.33333333333491</v>
      </c>
      <c r="S108" s="62">
        <f ca="1">AVERAGE(OFFSET($R$3,0,0,'Données projet'!$E$9+1,1))-AVERAGE(OFFSET($H$3,0,0,'Données projet'!$E$9+1,1))</f>
        <v>145.91567711893987</v>
      </c>
      <c r="T108" s="62">
        <f t="shared" si="88"/>
        <v>136.44398554363522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2.8421709430404007E-14</v>
      </c>
      <c r="AJ108" s="14">
        <f>AI108*VLOOKUP('Données projet'!$B$10,Paramètres!$A$1:$I$89,3,0)*VLOOKUP('Données projet'!$B$10,Paramètres!$A$1:$I$89,5,0)</f>
        <v>2.4829205358400945E-14</v>
      </c>
      <c r="AK108" s="14">
        <f t="shared" si="89"/>
        <v>4.3867331143352915E-13</v>
      </c>
      <c r="AL108" s="22">
        <f t="shared" si="58"/>
        <v>8.0726688341261168E-13</v>
      </c>
      <c r="AM108" s="62">
        <f t="shared" si="59"/>
        <v>293.33333333333411</v>
      </c>
      <c r="AN108" s="62">
        <f ca="1">AVERAGE(OFFSET($AM$3,0,0,'Données projet'!$E$10+1,1))-AVERAGE(OFFSET($H$3,0,0,'Données projet'!$E$10+1,1))</f>
        <v>222.48114295382305</v>
      </c>
      <c r="AO108" s="62">
        <f t="shared" si="90"/>
        <v>261.55066338953611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5.7981639231262232</v>
      </c>
      <c r="AV108" s="23">
        <f>EXP(-LN(2)/25)*AV107+(1-EXP(-LN(2)/25))/(LN(2)/25)*Calculateur!AQ108*Calculateur!AS108*VLOOKUP('Données projet'!$B$10,Paramètres!$A$1:$I$89,3,0)*0.475*44/12</f>
        <v>1.2224952636170656</v>
      </c>
      <c r="AW108" s="23">
        <f>EXP(-LN(2)/2)*AW107+(1-EXP(-LN(2)/2))/(LN(2)/2)*AQ108*AT108*VLOOKUP('Données projet'!$B$10,Paramètres!$A$1:$I$89,3,0)*0.475*44/12</f>
        <v>3.0015926930577741E-11</v>
      </c>
      <c r="AX108" s="23">
        <f t="shared" si="60"/>
        <v>7.0206591867733046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77.719199999999788</v>
      </c>
      <c r="D109" s="12">
        <f t="shared" si="86"/>
        <v>21.578581375833281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766.50918956783426</v>
      </c>
      <c r="H109" s="70">
        <f t="shared" si="56"/>
        <v>466.27696922957591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5.3205440053716299E-14</v>
      </c>
      <c r="P109" s="14">
        <f t="shared" si="87"/>
        <v>8.602146238565607E-13</v>
      </c>
      <c r="Q109" s="22">
        <f t="shared" si="107"/>
        <v>1.590873277977066E-12</v>
      </c>
      <c r="R109" s="62">
        <f t="shared" si="55"/>
        <v>293.33333333333491</v>
      </c>
      <c r="S109" s="62">
        <f ca="1">AVERAGE(OFFSET($R$3,0,0,'Données projet'!$E$9+1,1))-AVERAGE(OFFSET($H$3,0,0,'Données projet'!$E$9+1,1))</f>
        <v>145.91567711893987</v>
      </c>
      <c r="T109" s="62">
        <f t="shared" si="88"/>
        <v>136.44398554363522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2.8421709430404007E-14</v>
      </c>
      <c r="AJ109" s="14">
        <f>AI109*VLOOKUP('Données projet'!$B$10,Paramètres!$A$1:$I$89,3,0)*VLOOKUP('Données projet'!$B$10,Paramètres!$A$1:$I$89,5,0)</f>
        <v>2.4829205358400945E-14</v>
      </c>
      <c r="AK109" s="14">
        <f t="shared" si="89"/>
        <v>4.3867331143352915E-13</v>
      </c>
      <c r="AL109" s="22">
        <f t="shared" si="58"/>
        <v>8.0726688341261168E-13</v>
      </c>
      <c r="AM109" s="62">
        <f t="shared" si="59"/>
        <v>293.33333333333411</v>
      </c>
      <c r="AN109" s="62">
        <f ca="1">AVERAGE(OFFSET($AM$3,0,0,'Données projet'!$E$10+1,1))-AVERAGE(OFFSET($H$3,0,0,'Données projet'!$E$10+1,1))</f>
        <v>222.48114295382305</v>
      </c>
      <c r="AO109" s="62">
        <f t="shared" si="90"/>
        <v>261.55066338953611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5.6844654651245072</v>
      </c>
      <c r="AV109" s="23">
        <f>EXP(-LN(2)/25)*AV108+(1-EXP(-LN(2)/25))/(LN(2)/25)*Calculateur!AQ109*Calculateur!AS109*VLOOKUP('Données projet'!$B$10,Paramètres!$A$1:$I$89,3,0)*0.475*44/12</f>
        <v>1.189066066345225</v>
      </c>
      <c r="AW109" s="23">
        <f>EXP(-LN(2)/2)*AW108+(1-EXP(-LN(2)/2))/(LN(2)/2)*AQ109*AT109*VLOOKUP('Données projet'!$B$10,Paramètres!$A$1:$I$89,3,0)*0.475*44/12</f>
        <v>2.1224465476211434E-11</v>
      </c>
      <c r="AX109" s="23">
        <f t="shared" si="60"/>
        <v>6.8735315314909569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78.452399999999784</v>
      </c>
      <c r="D110" s="12">
        <f t="shared" si="86"/>
        <v>21.758358756045919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773.55673425719488</v>
      </c>
      <c r="H110" s="70">
        <f t="shared" si="56"/>
        <v>467.86707150011296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5.3205440053716299E-14</v>
      </c>
      <c r="P110" s="14">
        <f t="shared" si="87"/>
        <v>8.602146238565607E-13</v>
      </c>
      <c r="Q110" s="22">
        <f t="shared" si="107"/>
        <v>1.590873277977066E-12</v>
      </c>
      <c r="R110" s="62">
        <f t="shared" si="55"/>
        <v>293.33333333333491</v>
      </c>
      <c r="S110" s="62">
        <f ca="1">AVERAGE(OFFSET($R$3,0,0,'Données projet'!$E$9+1,1))-AVERAGE(OFFSET($H$3,0,0,'Données projet'!$E$9+1,1))</f>
        <v>145.91567711893987</v>
      </c>
      <c r="T110" s="62">
        <f t="shared" si="88"/>
        <v>136.44398554363522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2.8421709430404007E-14</v>
      </c>
      <c r="AJ110" s="14">
        <f>AI110*VLOOKUP('Données projet'!$B$10,Paramètres!$A$1:$I$89,3,0)*VLOOKUP('Données projet'!$B$10,Paramètres!$A$1:$I$89,5,0)</f>
        <v>2.4829205358400945E-14</v>
      </c>
      <c r="AK110" s="14">
        <f t="shared" si="89"/>
        <v>4.3867331143352915E-13</v>
      </c>
      <c r="AL110" s="22">
        <f t="shared" si="58"/>
        <v>8.0726688341261168E-13</v>
      </c>
      <c r="AM110" s="62">
        <f t="shared" si="59"/>
        <v>293.33333333333411</v>
      </c>
      <c r="AN110" s="62">
        <f ca="1">AVERAGE(OFFSET($AM$3,0,0,'Données projet'!$E$10+1,1))-AVERAGE(OFFSET($H$3,0,0,'Données projet'!$E$10+1,1))</f>
        <v>222.48114295382305</v>
      </c>
      <c r="AO110" s="62">
        <f t="shared" si="90"/>
        <v>261.55066338953611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5.5729965645349937</v>
      </c>
      <c r="AV110" s="23">
        <f>EXP(-LN(2)/25)*AV109+(1-EXP(-LN(2)/25))/(LN(2)/25)*Calculateur!AQ110*Calculateur!AS110*VLOOKUP('Données projet'!$B$10,Paramètres!$A$1:$I$89,3,0)*0.475*44/12</f>
        <v>1.156550992230748</v>
      </c>
      <c r="AW110" s="23">
        <f>EXP(-LN(2)/2)*AW109+(1-EXP(-LN(2)/2))/(LN(2)/2)*AQ110*AT110*VLOOKUP('Données projet'!$B$10,Paramètres!$A$1:$I$89,3,0)*0.475*44/12</f>
        <v>1.500796346528887E-11</v>
      </c>
      <c r="AX110" s="23">
        <f t="shared" si="60"/>
        <v>6.7295475567807488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79.185599999999781</v>
      </c>
      <c r="D111" s="12">
        <f t="shared" si="86"/>
        <v>21.937940668679364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780.60277007401453</v>
      </c>
      <c r="H111" s="70">
        <f t="shared" si="56"/>
        <v>469.45683333128278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5.3205440053716299E-14</v>
      </c>
      <c r="P111" s="14">
        <f t="shared" si="87"/>
        <v>8.602146238565607E-13</v>
      </c>
      <c r="Q111" s="22">
        <f t="shared" si="107"/>
        <v>1.590873277977066E-12</v>
      </c>
      <c r="R111" s="62">
        <f t="shared" si="55"/>
        <v>293.33333333333491</v>
      </c>
      <c r="S111" s="62">
        <f ca="1">AVERAGE(OFFSET($R$3,0,0,'Données projet'!$E$9+1,1))-AVERAGE(OFFSET($H$3,0,0,'Données projet'!$E$9+1,1))</f>
        <v>145.91567711893987</v>
      </c>
      <c r="T111" s="62">
        <f t="shared" si="88"/>
        <v>136.44398554363522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2.8421709430404007E-14</v>
      </c>
      <c r="AJ111" s="14">
        <f>AI111*VLOOKUP('Données projet'!$B$10,Paramètres!$A$1:$I$89,3,0)*VLOOKUP('Données projet'!$B$10,Paramètres!$A$1:$I$89,5,0)</f>
        <v>2.4829205358400945E-14</v>
      </c>
      <c r="AK111" s="14">
        <f t="shared" si="89"/>
        <v>4.3867331143352915E-13</v>
      </c>
      <c r="AL111" s="22">
        <f t="shared" si="58"/>
        <v>8.0726688341261168E-13</v>
      </c>
      <c r="AM111" s="62">
        <f t="shared" si="59"/>
        <v>293.33333333333411</v>
      </c>
      <c r="AN111" s="62">
        <f ca="1">AVERAGE(OFFSET($AM$3,0,0,'Données projet'!$E$10+1,1))-AVERAGE(OFFSET($H$3,0,0,'Données projet'!$E$10+1,1))</f>
        <v>222.48114295382305</v>
      </c>
      <c r="AO111" s="62">
        <f t="shared" si="90"/>
        <v>261.55066338953611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5.4637135010967244</v>
      </c>
      <c r="AV111" s="23">
        <f>EXP(-LN(2)/25)*AV110+(1-EXP(-LN(2)/25))/(LN(2)/25)*Calculateur!AQ111*Calculateur!AS111*VLOOKUP('Données projet'!$B$10,Paramètres!$A$1:$I$89,3,0)*0.475*44/12</f>
        <v>1.1249250445278247</v>
      </c>
      <c r="AW111" s="23">
        <f>EXP(-LN(2)/2)*AW110+(1-EXP(-LN(2)/2))/(LN(2)/2)*AQ111*AT111*VLOOKUP('Données projet'!$B$10,Paramètres!$A$1:$I$89,3,0)*0.475*44/12</f>
        <v>1.0612232738105717E-11</v>
      </c>
      <c r="AX111" s="23">
        <f t="shared" si="60"/>
        <v>6.5886385456351615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79.918799999999777</v>
      </c>
      <c r="D112" s="12">
        <f t="shared" si="86"/>
        <v>22.117329133258693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787.64731260760925</v>
      </c>
      <c r="H112" s="70">
        <f t="shared" si="56"/>
        <v>471.04625824042512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5.3205440053716299E-14</v>
      </c>
      <c r="P112" s="14">
        <f t="shared" si="87"/>
        <v>8.602146238565607E-13</v>
      </c>
      <c r="Q112" s="22">
        <f t="shared" si="107"/>
        <v>1.590873277977066E-12</v>
      </c>
      <c r="R112" s="62">
        <f t="shared" si="55"/>
        <v>293.33333333333491</v>
      </c>
      <c r="S112" s="62">
        <f ca="1">AVERAGE(OFFSET($R$3,0,0,'Données projet'!$E$9+1,1))-AVERAGE(OFFSET($H$3,0,0,'Données projet'!$E$9+1,1))</f>
        <v>145.91567711893987</v>
      </c>
      <c r="T112" s="62">
        <f t="shared" si="88"/>
        <v>136.44398554363522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2.8421709430404007E-14</v>
      </c>
      <c r="AJ112" s="14">
        <f>AI112*VLOOKUP('Données projet'!$B$10,Paramètres!$A$1:$I$89,3,0)*VLOOKUP('Données projet'!$B$10,Paramètres!$A$1:$I$89,5,0)</f>
        <v>2.4829205358400945E-14</v>
      </c>
      <c r="AK112" s="14">
        <f t="shared" si="89"/>
        <v>4.3867331143352915E-13</v>
      </c>
      <c r="AL112" s="22">
        <f t="shared" si="58"/>
        <v>8.0726688341261168E-13</v>
      </c>
      <c r="AM112" s="62">
        <f t="shared" si="59"/>
        <v>293.33333333333411</v>
      </c>
      <c r="AN112" s="62">
        <f ca="1">AVERAGE(OFFSET($AM$3,0,0,'Données projet'!$E$10+1,1))-AVERAGE(OFFSET($H$3,0,0,'Données projet'!$E$10+1,1))</f>
        <v>222.48114295382305</v>
      </c>
      <c r="AO112" s="62">
        <f t="shared" si="90"/>
        <v>261.55066338953611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5.3565734118763926</v>
      </c>
      <c r="AV112" s="23">
        <f>EXP(-LN(2)/25)*AV111+(1-EXP(-LN(2)/25))/(LN(2)/25)*Calculateur!AQ112*Calculateur!AS112*VLOOKUP('Données projet'!$B$10,Paramètres!$A$1:$I$89,3,0)*0.475*44/12</f>
        <v>1.0941639100279743</v>
      </c>
      <c r="AW112" s="23">
        <f>EXP(-LN(2)/2)*AW111+(1-EXP(-LN(2)/2))/(LN(2)/2)*AQ112*AT112*VLOOKUP('Données projet'!$B$10,Paramètres!$A$1:$I$89,3,0)*0.475*44/12</f>
        <v>7.5039817326444352E-12</v>
      </c>
      <c r="AX112" s="23">
        <f t="shared" si="60"/>
        <v>6.4507373219118707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80.651999999999774</v>
      </c>
      <c r="D113" s="12">
        <f t="shared" si="86"/>
        <v>22.296526130116188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794.69037714475496</v>
      </c>
      <c r="H113" s="70">
        <f t="shared" si="56"/>
        <v>472.6353496766186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5.3205440053716299E-14</v>
      </c>
      <c r="P113" s="14">
        <f t="shared" si="87"/>
        <v>8.602146238565607E-13</v>
      </c>
      <c r="Q113" s="22">
        <f t="shared" si="107"/>
        <v>1.590873277977066E-12</v>
      </c>
      <c r="R113" s="62">
        <f t="shared" si="55"/>
        <v>293.33333333333491</v>
      </c>
      <c r="S113" s="62">
        <f ca="1">AVERAGE(OFFSET($R$3,0,0,'Données projet'!$E$9+1,1))-AVERAGE(OFFSET($H$3,0,0,'Données projet'!$E$9+1,1))</f>
        <v>145.91567711893987</v>
      </c>
      <c r="T113" s="62">
        <f t="shared" si="88"/>
        <v>136.44398554363522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2.8421709430404007E-14</v>
      </c>
      <c r="AJ113" s="14">
        <f>AI113*VLOOKUP('Données projet'!$B$10,Paramètres!$A$1:$I$89,3,0)*VLOOKUP('Données projet'!$B$10,Paramètres!$A$1:$I$89,5,0)</f>
        <v>2.4829205358400945E-14</v>
      </c>
      <c r="AK113" s="14">
        <f t="shared" si="89"/>
        <v>4.3867331143352915E-13</v>
      </c>
      <c r="AL113" s="22">
        <f t="shared" si="58"/>
        <v>8.0726688341261168E-13</v>
      </c>
      <c r="AM113" s="62">
        <f t="shared" si="59"/>
        <v>293.33333333333411</v>
      </c>
      <c r="AN113" s="62">
        <f ca="1">AVERAGE(OFFSET($AM$3,0,0,'Données projet'!$E$10+1,1))-AVERAGE(OFFSET($H$3,0,0,'Données projet'!$E$10+1,1))</f>
        <v>222.48114295382305</v>
      </c>
      <c r="AO113" s="62">
        <f t="shared" si="90"/>
        <v>261.55066338953611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5.2515342744566702</v>
      </c>
      <c r="AV113" s="23">
        <f>EXP(-LN(2)/25)*AV112+(1-EXP(-LN(2)/25))/(LN(2)/25)*Calculateur!AQ113*Calculateur!AS113*VLOOKUP('Données projet'!$B$10,Paramètres!$A$1:$I$89,3,0)*0.475*44/12</f>
        <v>1.0642439403686801</v>
      </c>
      <c r="AW113" s="23">
        <f>EXP(-LN(2)/2)*AW112+(1-EXP(-LN(2)/2))/(LN(2)/2)*AQ113*AT113*VLOOKUP('Données projet'!$B$10,Paramètres!$A$1:$I$89,3,0)*0.475*44/12</f>
        <v>5.3061163690528585E-12</v>
      </c>
      <c r="AX113" s="23">
        <f t="shared" si="60"/>
        <v>6.3157782148306563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81.38519999999977</v>
      </c>
      <c r="D114" s="12">
        <f t="shared" si="86"/>
        <v>22.475533601501073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801.73197867825218</v>
      </c>
      <c r="H114" s="70">
        <f t="shared" si="56"/>
        <v>474.2241110226139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5.3205440053716299E-14</v>
      </c>
      <c r="P114" s="14">
        <f t="shared" si="87"/>
        <v>8.602146238565607E-13</v>
      </c>
      <c r="Q114" s="22">
        <f t="shared" si="107"/>
        <v>1.590873277977066E-12</v>
      </c>
      <c r="R114" s="62">
        <f t="shared" si="55"/>
        <v>293.33333333333491</v>
      </c>
      <c r="S114" s="62">
        <f ca="1">AVERAGE(OFFSET($R$3,0,0,'Données projet'!$E$9+1,1))-AVERAGE(OFFSET($H$3,0,0,'Données projet'!$E$9+1,1))</f>
        <v>145.91567711893987</v>
      </c>
      <c r="T114" s="62">
        <f t="shared" si="88"/>
        <v>136.44398554363522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2.8421709430404007E-14</v>
      </c>
      <c r="AJ114" s="14">
        <f>AI114*VLOOKUP('Données projet'!$B$10,Paramètres!$A$1:$I$89,3,0)*VLOOKUP('Données projet'!$B$10,Paramètres!$A$1:$I$89,5,0)</f>
        <v>2.4829205358400945E-14</v>
      </c>
      <c r="AK114" s="14">
        <f t="shared" si="89"/>
        <v>4.3867331143352915E-13</v>
      </c>
      <c r="AL114" s="22">
        <f t="shared" si="58"/>
        <v>8.0726688341261168E-13</v>
      </c>
      <c r="AM114" s="62">
        <f t="shared" si="59"/>
        <v>293.33333333333411</v>
      </c>
      <c r="AN114" s="62">
        <f ca="1">AVERAGE(OFFSET($AM$3,0,0,'Données projet'!$E$10+1,1))-AVERAGE(OFFSET($H$3,0,0,'Données projet'!$E$10+1,1))</f>
        <v>222.48114295382305</v>
      </c>
      <c r="AO114" s="62">
        <f t="shared" si="90"/>
        <v>261.55066338953611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5.1485548904542009</v>
      </c>
      <c r="AV114" s="23">
        <f>EXP(-LN(2)/25)*AV113+(1-EXP(-LN(2)/25))/(LN(2)/25)*Calculateur!AQ114*Calculateur!AS114*VLOOKUP('Données projet'!$B$10,Paramètres!$A$1:$I$89,3,0)*0.475*44/12</f>
        <v>1.0351421338531421</v>
      </c>
      <c r="AW114" s="23">
        <f>EXP(-LN(2)/2)*AW113+(1-EXP(-LN(2)/2))/(LN(2)/2)*AQ114*AT114*VLOOKUP('Données projet'!$B$10,Paramètres!$A$1:$I$89,3,0)*0.475*44/12</f>
        <v>3.7519908663222176E-12</v>
      </c>
      <c r="AX114" s="23">
        <f t="shared" si="60"/>
        <v>6.1836970243110949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82.118399999999767</v>
      </c>
      <c r="D115" s="12">
        <f t="shared" si="86"/>
        <v>22.654353452648337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808.77213191517831</v>
      </c>
      <c r="H115" s="70">
        <f t="shared" si="56"/>
        <v>475.81254559669543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5.3205440053716299E-14</v>
      </c>
      <c r="P115" s="14">
        <f t="shared" si="87"/>
        <v>8.602146238565607E-13</v>
      </c>
      <c r="Q115" s="22">
        <f t="shared" si="107"/>
        <v>1.590873277977066E-12</v>
      </c>
      <c r="R115" s="62">
        <f t="shared" si="55"/>
        <v>293.33333333333491</v>
      </c>
      <c r="S115" s="62">
        <f ca="1">AVERAGE(OFFSET($R$3,0,0,'Données projet'!$E$9+1,1))-AVERAGE(OFFSET($H$3,0,0,'Données projet'!$E$9+1,1))</f>
        <v>145.91567711893987</v>
      </c>
      <c r="T115" s="62">
        <f t="shared" si="88"/>
        <v>136.44398554363522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2.8421709430404007E-14</v>
      </c>
      <c r="AJ115" s="14">
        <f>AI115*VLOOKUP('Données projet'!$B$10,Paramètres!$A$1:$I$89,3,0)*VLOOKUP('Données projet'!$B$10,Paramètres!$A$1:$I$89,5,0)</f>
        <v>2.4829205358400945E-14</v>
      </c>
      <c r="AK115" s="14">
        <f t="shared" si="89"/>
        <v>4.3867331143352915E-13</v>
      </c>
      <c r="AL115" s="22">
        <f t="shared" si="58"/>
        <v>8.0726688341261168E-13</v>
      </c>
      <c r="AM115" s="62">
        <f t="shared" si="59"/>
        <v>293.33333333333411</v>
      </c>
      <c r="AN115" s="62">
        <f ca="1">AVERAGE(OFFSET($AM$3,0,0,'Données projet'!$E$10+1,1))-AVERAGE(OFFSET($H$3,0,0,'Données projet'!$E$10+1,1))</f>
        <v>222.48114295382305</v>
      </c>
      <c r="AO115" s="62">
        <f t="shared" si="90"/>
        <v>261.55066338953611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5.0475948693607977</v>
      </c>
      <c r="AV115" s="23">
        <f>EXP(-LN(2)/25)*AV114+(1-EXP(-LN(2)/25))/(LN(2)/25)*Calculateur!AQ115*Calculateur!AS115*VLOOKUP('Données projet'!$B$10,Paramètres!$A$1:$I$89,3,0)*0.475*44/12</f>
        <v>1.006836117767169</v>
      </c>
      <c r="AW115" s="23">
        <f>EXP(-LN(2)/2)*AW114+(1-EXP(-LN(2)/2))/(LN(2)/2)*AQ115*AT115*VLOOKUP('Données projet'!$B$10,Paramètres!$A$1:$I$89,3,0)*0.475*44/12</f>
        <v>2.6530581845264293E-12</v>
      </c>
      <c r="AX115" s="23">
        <f t="shared" si="60"/>
        <v>6.0544309871306199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82.851599999999763</v>
      </c>
      <c r="D116" s="12">
        <f t="shared" si="86"/>
        <v>22.832987552808103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815.81085128483267</v>
      </c>
      <c r="H116" s="70">
        <f t="shared" si="56"/>
        <v>477.40065665447366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5.3205440053716299E-14</v>
      </c>
      <c r="P116" s="14">
        <f t="shared" si="87"/>
        <v>8.602146238565607E-13</v>
      </c>
      <c r="Q116" s="22">
        <f t="shared" si="107"/>
        <v>1.590873277977066E-12</v>
      </c>
      <c r="R116" s="62">
        <f t="shared" si="55"/>
        <v>293.33333333333491</v>
      </c>
      <c r="S116" s="62">
        <f ca="1">AVERAGE(OFFSET($R$3,0,0,'Données projet'!$E$9+1,1))-AVERAGE(OFFSET($H$3,0,0,'Données projet'!$E$9+1,1))</f>
        <v>145.91567711893987</v>
      </c>
      <c r="T116" s="62">
        <f t="shared" si="88"/>
        <v>136.44398554363522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2.8421709430404007E-14</v>
      </c>
      <c r="AJ116" s="14">
        <f>AI116*VLOOKUP('Données projet'!$B$10,Paramètres!$A$1:$I$89,3,0)*VLOOKUP('Données projet'!$B$10,Paramètres!$A$1:$I$89,5,0)</f>
        <v>2.4829205358400945E-14</v>
      </c>
      <c r="AK116" s="14">
        <f t="shared" si="89"/>
        <v>4.3867331143352915E-13</v>
      </c>
      <c r="AL116" s="22">
        <f t="shared" si="58"/>
        <v>8.0726688341261168E-13</v>
      </c>
      <c r="AM116" s="62">
        <f t="shared" si="59"/>
        <v>293.33333333333411</v>
      </c>
      <c r="AN116" s="62">
        <f ca="1">AVERAGE(OFFSET($AM$3,0,0,'Données projet'!$E$10+1,1))-AVERAGE(OFFSET($H$3,0,0,'Données projet'!$E$10+1,1))</f>
        <v>222.48114295382305</v>
      </c>
      <c r="AO116" s="62">
        <f t="shared" si="90"/>
        <v>261.55066338953611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4.9486146127015038</v>
      </c>
      <c r="AV116" s="23">
        <f>EXP(-LN(2)/25)*AV115+(1-EXP(-LN(2)/25))/(LN(2)/25)*Calculateur!AQ116*Calculateur!AS116*VLOOKUP('Données projet'!$B$10,Paramètres!$A$1:$I$89,3,0)*0.475*44/12</f>
        <v>0.97930413117961546</v>
      </c>
      <c r="AW116" s="23">
        <f>EXP(-LN(2)/2)*AW115+(1-EXP(-LN(2)/2))/(LN(2)/2)*AQ116*AT116*VLOOKUP('Données projet'!$B$10,Paramètres!$A$1:$I$89,3,0)*0.475*44/12</f>
        <v>1.8759954331611088E-12</v>
      </c>
      <c r="AX116" s="23">
        <f t="shared" si="60"/>
        <v>5.9279187438829952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83.58479999999976</v>
      </c>
      <c r="D117" s="12">
        <f t="shared" si="86"/>
        <v>23.011437736237557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822.84815094639328</v>
      </c>
      <c r="H117" s="70">
        <f t="shared" si="56"/>
        <v>478.98844739061326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5.3205440053716299E-14</v>
      </c>
      <c r="P117" s="14">
        <f t="shared" si="87"/>
        <v>8.602146238565607E-13</v>
      </c>
      <c r="Q117" s="22">
        <f t="shared" si="107"/>
        <v>1.590873277977066E-12</v>
      </c>
      <c r="R117" s="62">
        <f t="shared" si="55"/>
        <v>293.33333333333491</v>
      </c>
      <c r="S117" s="62">
        <f ca="1">AVERAGE(OFFSET($R$3,0,0,'Données projet'!$E$9+1,1))-AVERAGE(OFFSET($H$3,0,0,'Données projet'!$E$9+1,1))</f>
        <v>145.91567711893987</v>
      </c>
      <c r="T117" s="62">
        <f t="shared" si="88"/>
        <v>136.44398554363522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2.8421709430404007E-14</v>
      </c>
      <c r="AJ117" s="14">
        <f>AI117*VLOOKUP('Données projet'!$B$10,Paramètres!$A$1:$I$89,3,0)*VLOOKUP('Données projet'!$B$10,Paramètres!$A$1:$I$89,5,0)</f>
        <v>2.4829205358400945E-14</v>
      </c>
      <c r="AK117" s="14">
        <f t="shared" si="89"/>
        <v>4.3867331143352915E-13</v>
      </c>
      <c r="AL117" s="22">
        <f t="shared" si="58"/>
        <v>8.0726688341261168E-13</v>
      </c>
      <c r="AM117" s="62">
        <f t="shared" si="59"/>
        <v>293.33333333333411</v>
      </c>
      <c r="AN117" s="62">
        <f ca="1">AVERAGE(OFFSET($AM$3,0,0,'Données projet'!$E$10+1,1))-AVERAGE(OFFSET($H$3,0,0,'Données projet'!$E$10+1,1))</f>
        <v>222.48114295382305</v>
      </c>
      <c r="AO117" s="62">
        <f t="shared" si="90"/>
        <v>261.55066338953611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4.8515752985033034</v>
      </c>
      <c r="AV117" s="23">
        <f>EXP(-LN(2)/25)*AV116+(1-EXP(-LN(2)/25))/(LN(2)/25)*Calculateur!AQ117*Calculateur!AS117*VLOOKUP('Données projet'!$B$10,Paramètres!$A$1:$I$89,3,0)*0.475*44/12</f>
        <v>0.95252500821314279</v>
      </c>
      <c r="AW117" s="23">
        <f>EXP(-LN(2)/2)*AW116+(1-EXP(-LN(2)/2))/(LN(2)/2)*AQ117*AT117*VLOOKUP('Données projet'!$B$10,Paramètres!$A$1:$I$89,3,0)*0.475*44/12</f>
        <v>1.3265290922632146E-12</v>
      </c>
      <c r="AX117" s="23">
        <f t="shared" si="60"/>
        <v>5.804100306717773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84.317999999999756</v>
      </c>
      <c r="D118" s="12">
        <f t="shared" si="86"/>
        <v>23.189705803157189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829.88404479629924</v>
      </c>
      <c r="H118" s="70">
        <f t="shared" si="56"/>
        <v>480.57592094049829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5.3205440053716299E-14</v>
      </c>
      <c r="P118" s="14">
        <f t="shared" si="87"/>
        <v>8.602146238565607E-13</v>
      </c>
      <c r="Q118" s="22">
        <f t="shared" si="107"/>
        <v>1.590873277977066E-12</v>
      </c>
      <c r="R118" s="62">
        <f t="shared" si="55"/>
        <v>293.33333333333491</v>
      </c>
      <c r="S118" s="62">
        <f ca="1">AVERAGE(OFFSET($R$3,0,0,'Données projet'!$E$9+1,1))-AVERAGE(OFFSET($H$3,0,0,'Données projet'!$E$9+1,1))</f>
        <v>145.91567711893987</v>
      </c>
      <c r="T118" s="62">
        <f t="shared" si="88"/>
        <v>136.44398554363522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2.8421709430404007E-14</v>
      </c>
      <c r="AJ118" s="14">
        <f>AI118*VLOOKUP('Données projet'!$B$10,Paramètres!$A$1:$I$89,3,0)*VLOOKUP('Données projet'!$B$10,Paramètres!$A$1:$I$89,5,0)</f>
        <v>2.4829205358400945E-14</v>
      </c>
      <c r="AK118" s="14">
        <f t="shared" si="89"/>
        <v>4.3867331143352915E-13</v>
      </c>
      <c r="AL118" s="22">
        <f t="shared" si="58"/>
        <v>8.0726688341261168E-13</v>
      </c>
      <c r="AM118" s="62">
        <f t="shared" si="59"/>
        <v>293.33333333333411</v>
      </c>
      <c r="AN118" s="62">
        <f ca="1">AVERAGE(OFFSET($AM$3,0,0,'Données projet'!$E$10+1,1))-AVERAGE(OFFSET($H$3,0,0,'Données projet'!$E$10+1,1))</f>
        <v>222.48114295382305</v>
      </c>
      <c r="AO118" s="62">
        <f t="shared" si="90"/>
        <v>261.55066338953611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4.7564388660683923</v>
      </c>
      <c r="AV118" s="23">
        <f>EXP(-LN(2)/25)*AV117+(1-EXP(-LN(2)/25))/(LN(2)/25)*Calculateur!AQ118*Calculateur!AS118*VLOOKUP('Données projet'!$B$10,Paramètres!$A$1:$I$89,3,0)*0.475*44/12</f>
        <v>0.92647816177244124</v>
      </c>
      <c r="AW118" s="23">
        <f>EXP(-LN(2)/2)*AW117+(1-EXP(-LN(2)/2))/(LN(2)/2)*AQ118*AT118*VLOOKUP('Données projet'!$B$10,Paramètres!$A$1:$I$89,3,0)*0.475*44/12</f>
        <v>9.3799771658055439E-13</v>
      </c>
      <c r="AX118" s="23">
        <f t="shared" si="60"/>
        <v>5.6829170278417713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85.051199999999753</v>
      </c>
      <c r="D119" s="12">
        <f t="shared" si="86"/>
        <v>23.367793520672667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836.91854647536604</v>
      </c>
      <c r="H119" s="70">
        <f t="shared" si="56"/>
        <v>482.16308038183774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5.3205440053716299E-14</v>
      </c>
      <c r="P119" s="14">
        <f t="shared" si="87"/>
        <v>8.602146238565607E-13</v>
      </c>
      <c r="Q119" s="22">
        <f t="shared" si="107"/>
        <v>1.590873277977066E-12</v>
      </c>
      <c r="R119" s="62">
        <f t="shared" si="55"/>
        <v>293.33333333333491</v>
      </c>
      <c r="S119" s="62">
        <f ca="1">AVERAGE(OFFSET($R$3,0,0,'Données projet'!$E$9+1,1))-AVERAGE(OFFSET($H$3,0,0,'Données projet'!$E$9+1,1))</f>
        <v>145.91567711893987</v>
      </c>
      <c r="T119" s="62">
        <f t="shared" si="88"/>
        <v>136.44398554363522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2.8421709430404007E-14</v>
      </c>
      <c r="AJ119" s="14">
        <f>AI119*VLOOKUP('Données projet'!$B$10,Paramètres!$A$1:$I$89,3,0)*VLOOKUP('Données projet'!$B$10,Paramètres!$A$1:$I$89,5,0)</f>
        <v>2.4829205358400945E-14</v>
      </c>
      <c r="AK119" s="14">
        <f t="shared" si="89"/>
        <v>4.3867331143352915E-13</v>
      </c>
      <c r="AL119" s="22">
        <f t="shared" si="58"/>
        <v>8.0726688341261168E-13</v>
      </c>
      <c r="AM119" s="62">
        <f t="shared" si="59"/>
        <v>293.33333333333411</v>
      </c>
      <c r="AN119" s="62">
        <f ca="1">AVERAGE(OFFSET($AM$3,0,0,'Données projet'!$E$10+1,1))-AVERAGE(OFFSET($H$3,0,0,'Données projet'!$E$10+1,1))</f>
        <v>222.48114295382305</v>
      </c>
      <c r="AO119" s="62">
        <f t="shared" si="90"/>
        <v>261.55066338953611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4.6631680010460359</v>
      </c>
      <c r="AV119" s="23">
        <f>EXP(-LN(2)/25)*AV118+(1-EXP(-LN(2)/25))/(LN(2)/25)*Calculateur!AQ119*Calculateur!AS119*VLOOKUP('Données projet'!$B$10,Paramètres!$A$1:$I$89,3,0)*0.475*44/12</f>
        <v>0.90114356771740478</v>
      </c>
      <c r="AW119" s="23">
        <f>EXP(-LN(2)/2)*AW118+(1-EXP(-LN(2)/2))/(LN(2)/2)*AQ119*AT119*VLOOKUP('Données projet'!$B$10,Paramètres!$A$1:$I$89,3,0)*0.475*44/12</f>
        <v>6.6326454613160731E-13</v>
      </c>
      <c r="AX119" s="23">
        <f t="shared" si="60"/>
        <v>5.5643115687641043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85.784399999999749</v>
      </c>
      <c r="D120" s="12">
        <f t="shared" si="86"/>
        <v>23.545702623664145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843.95166937565102</v>
      </c>
      <c r="H120" s="70">
        <f t="shared" si="56"/>
        <v>483.7499287362146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5.3205440053716299E-14</v>
      </c>
      <c r="P120" s="14">
        <f t="shared" si="87"/>
        <v>8.602146238565607E-13</v>
      </c>
      <c r="Q120" s="22">
        <f t="shared" si="107"/>
        <v>1.590873277977066E-12</v>
      </c>
      <c r="R120" s="62">
        <f t="shared" si="55"/>
        <v>293.33333333333491</v>
      </c>
      <c r="S120" s="62">
        <f ca="1">AVERAGE(OFFSET($R$3,0,0,'Données projet'!$E$9+1,1))-AVERAGE(OFFSET($H$3,0,0,'Données projet'!$E$9+1,1))</f>
        <v>145.91567711893987</v>
      </c>
      <c r="T120" s="62">
        <f t="shared" si="88"/>
        <v>136.44398554363522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2.8421709430404007E-14</v>
      </c>
      <c r="AJ120" s="14">
        <f>AI120*VLOOKUP('Données projet'!$B$10,Paramètres!$A$1:$I$89,3,0)*VLOOKUP('Données projet'!$B$10,Paramètres!$A$1:$I$89,5,0)</f>
        <v>2.4829205358400945E-14</v>
      </c>
      <c r="AK120" s="14">
        <f t="shared" si="89"/>
        <v>4.3867331143352915E-13</v>
      </c>
      <c r="AL120" s="22">
        <f t="shared" si="58"/>
        <v>8.0726688341261168E-13</v>
      </c>
      <c r="AM120" s="62">
        <f t="shared" si="59"/>
        <v>293.33333333333411</v>
      </c>
      <c r="AN120" s="62">
        <f ca="1">AVERAGE(OFFSET($AM$3,0,0,'Données projet'!$E$10+1,1))-AVERAGE(OFFSET($H$3,0,0,'Données projet'!$E$10+1,1))</f>
        <v>222.48114295382305</v>
      </c>
      <c r="AO120" s="62">
        <f t="shared" si="90"/>
        <v>261.55066338953611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4.5717261207971571</v>
      </c>
      <c r="AV120" s="23">
        <f>EXP(-LN(2)/25)*AV119+(1-EXP(-LN(2)/25))/(LN(2)/25)*Calculateur!AQ120*Calculateur!AS120*VLOOKUP('Données projet'!$B$10,Paramètres!$A$1:$I$89,3,0)*0.475*44/12</f>
        <v>0.87650174946909176</v>
      </c>
      <c r="AW120" s="23">
        <f>EXP(-LN(2)/2)*AW119+(1-EXP(-LN(2)/2))/(LN(2)/2)*AQ120*AT120*VLOOKUP('Données projet'!$B$10,Paramètres!$A$1:$I$89,3,0)*0.475*44/12</f>
        <v>4.689988582902772E-13</v>
      </c>
      <c r="AX120" s="23">
        <f t="shared" si="60"/>
        <v>5.4482278702667175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86.517599999999746</v>
      </c>
      <c r="D121" s="12">
        <f t="shared" si="86"/>
        <v>23.72343481564414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850.9834266470757</v>
      </c>
      <c r="H121" s="70">
        <f t="shared" si="56"/>
        <v>485.33646897057974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5.3205440053716299E-14</v>
      </c>
      <c r="P121" s="14">
        <f t="shared" si="87"/>
        <v>8.602146238565607E-13</v>
      </c>
      <c r="Q121" s="22">
        <f t="shared" si="107"/>
        <v>1.590873277977066E-12</v>
      </c>
      <c r="R121" s="62">
        <f t="shared" si="55"/>
        <v>293.33333333333491</v>
      </c>
      <c r="S121" s="62">
        <f ca="1">AVERAGE(OFFSET($R$3,0,0,'Données projet'!$E$9+1,1))-AVERAGE(OFFSET($H$3,0,0,'Données projet'!$E$9+1,1))</f>
        <v>145.91567711893987</v>
      </c>
      <c r="T121" s="62">
        <f t="shared" si="88"/>
        <v>136.44398554363522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2.8421709430404007E-14</v>
      </c>
      <c r="AJ121" s="14">
        <f>AI121*VLOOKUP('Données projet'!$B$10,Paramètres!$A$1:$I$89,3,0)*VLOOKUP('Données projet'!$B$10,Paramètres!$A$1:$I$89,5,0)</f>
        <v>2.4829205358400945E-14</v>
      </c>
      <c r="AK121" s="14">
        <f t="shared" si="89"/>
        <v>4.3867331143352915E-13</v>
      </c>
      <c r="AL121" s="22">
        <f t="shared" si="58"/>
        <v>8.0726688341261168E-13</v>
      </c>
      <c r="AM121" s="62">
        <f t="shared" si="59"/>
        <v>293.33333333333411</v>
      </c>
      <c r="AN121" s="62">
        <f ca="1">AVERAGE(OFFSET($AM$3,0,0,'Données projet'!$E$10+1,1))-AVERAGE(OFFSET($H$3,0,0,'Données projet'!$E$10+1,1))</f>
        <v>222.48114295382305</v>
      </c>
      <c r="AO121" s="62">
        <f t="shared" si="90"/>
        <v>261.55066338953611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4.4820773600459196</v>
      </c>
      <c r="AV121" s="23">
        <f>EXP(-LN(2)/25)*AV120+(1-EXP(-LN(2)/25))/(LN(2)/25)*Calculateur!AQ121*Calculateur!AS121*VLOOKUP('Données projet'!$B$10,Paramètres!$A$1:$I$89,3,0)*0.475*44/12</f>
        <v>0.85253376303663575</v>
      </c>
      <c r="AW121" s="23">
        <f>EXP(-LN(2)/2)*AW120+(1-EXP(-LN(2)/2))/(LN(2)/2)*AQ121*AT121*VLOOKUP('Données projet'!$B$10,Paramètres!$A$1:$I$89,3,0)*0.475*44/12</f>
        <v>3.3163227306580366E-13</v>
      </c>
      <c r="AX121" s="23">
        <f t="shared" si="60"/>
        <v>5.3346111230828868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87.250799999999742</v>
      </c>
      <c r="D122" s="12">
        <f t="shared" si="86"/>
        <v>23.900991769585712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858.01383120381763</v>
      </c>
      <c r="H122" s="70">
        <f t="shared" si="56"/>
        <v>486.92270399869466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5.3205440053716299E-14</v>
      </c>
      <c r="P122" s="14">
        <f t="shared" si="87"/>
        <v>8.602146238565607E-13</v>
      </c>
      <c r="Q122" s="22">
        <f t="shared" si="107"/>
        <v>1.590873277977066E-12</v>
      </c>
      <c r="R122" s="62">
        <f t="shared" si="55"/>
        <v>293.33333333333491</v>
      </c>
      <c r="S122" s="62">
        <f ca="1">AVERAGE(OFFSET($R$3,0,0,'Données projet'!$E$9+1,1))-AVERAGE(OFFSET($H$3,0,0,'Données projet'!$E$9+1,1))</f>
        <v>145.91567711893987</v>
      </c>
      <c r="T122" s="62">
        <f t="shared" si="88"/>
        <v>136.44398554363522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2.8421709430404007E-14</v>
      </c>
      <c r="AJ122" s="14">
        <f>AI122*VLOOKUP('Données projet'!$B$10,Paramètres!$A$1:$I$89,3,0)*VLOOKUP('Données projet'!$B$10,Paramètres!$A$1:$I$89,5,0)</f>
        <v>2.4829205358400945E-14</v>
      </c>
      <c r="AK122" s="14">
        <f t="shared" si="89"/>
        <v>4.3867331143352915E-13</v>
      </c>
      <c r="AL122" s="22">
        <f t="shared" si="58"/>
        <v>8.0726688341261168E-13</v>
      </c>
      <c r="AM122" s="62">
        <f t="shared" si="59"/>
        <v>293.33333333333411</v>
      </c>
      <c r="AN122" s="62">
        <f ca="1">AVERAGE(OFFSET($AM$3,0,0,'Données projet'!$E$10+1,1))-AVERAGE(OFFSET($H$3,0,0,'Données projet'!$E$10+1,1))</f>
        <v>222.48114295382305</v>
      </c>
      <c r="AO122" s="62">
        <f t="shared" si="90"/>
        <v>261.55066338953611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4.3941865568126683</v>
      </c>
      <c r="AV122" s="23">
        <f>EXP(-LN(2)/25)*AV121+(1-EXP(-LN(2)/25))/(LN(2)/25)*Calculateur!AQ122*Calculateur!AS122*VLOOKUP('Données projet'!$B$10,Paramètres!$A$1:$I$89,3,0)*0.475*44/12</f>
        <v>0.82922118245359688</v>
      </c>
      <c r="AW122" s="23">
        <f>EXP(-LN(2)/2)*AW121+(1-EXP(-LN(2)/2))/(LN(2)/2)*AQ122*AT122*VLOOKUP('Données projet'!$B$10,Paramètres!$A$1:$I$89,3,0)*0.475*44/12</f>
        <v>2.344994291451386E-13</v>
      </c>
      <c r="AX122" s="23">
        <f t="shared" si="60"/>
        <v>5.2234077392664995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87.983999999999739</v>
      </c>
      <c r="D123" s="12">
        <f t="shared" si="86"/>
        <v>24.078375128721721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865.04289573048152</v>
      </c>
      <c r="H123" s="70">
        <f t="shared" si="56"/>
        <v>488.50863668252316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5.3205440053716299E-14</v>
      </c>
      <c r="P123" s="14">
        <f t="shared" si="87"/>
        <v>8.602146238565607E-13</v>
      </c>
      <c r="Q123" s="22">
        <f t="shared" si="107"/>
        <v>1.590873277977066E-12</v>
      </c>
      <c r="R123" s="62">
        <f t="shared" si="55"/>
        <v>293.33333333333491</v>
      </c>
      <c r="S123" s="62">
        <f ca="1">AVERAGE(OFFSET($R$3,0,0,'Données projet'!$E$9+1,1))-AVERAGE(OFFSET($H$3,0,0,'Données projet'!$E$9+1,1))</f>
        <v>145.91567711893987</v>
      </c>
      <c r="T123" s="62">
        <f t="shared" si="88"/>
        <v>136.44398554363522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2.8421709430404007E-14</v>
      </c>
      <c r="AJ123" s="14">
        <f>AI123*VLOOKUP('Données projet'!$B$10,Paramètres!$A$1:$I$89,3,0)*VLOOKUP('Données projet'!$B$10,Paramètres!$A$1:$I$89,5,0)</f>
        <v>2.4829205358400945E-14</v>
      </c>
      <c r="AK123" s="14">
        <f t="shared" si="89"/>
        <v>4.3867331143352915E-13</v>
      </c>
      <c r="AL123" s="22">
        <f t="shared" si="58"/>
        <v>8.0726688341261168E-13</v>
      </c>
      <c r="AM123" s="62">
        <f t="shared" si="59"/>
        <v>293.33333333333411</v>
      </c>
      <c r="AN123" s="62">
        <f ca="1">AVERAGE(OFFSET($AM$3,0,0,'Données projet'!$E$10+1,1))-AVERAGE(OFFSET($H$3,0,0,'Données projet'!$E$10+1,1))</f>
        <v>222.48114295382305</v>
      </c>
      <c r="AO123" s="62">
        <f t="shared" si="90"/>
        <v>261.55066338953611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4.308019238622725</v>
      </c>
      <c r="AV123" s="23">
        <f>EXP(-LN(2)/25)*AV122+(1-EXP(-LN(2)/25))/(LN(2)/25)*Calculateur!AQ123*Calculateur!AS123*VLOOKUP('Données projet'!$B$10,Paramètres!$A$1:$I$89,3,0)*0.475*44/12</f>
        <v>0.80654608561255647</v>
      </c>
      <c r="AW123" s="23">
        <f>EXP(-LN(2)/2)*AW122+(1-EXP(-LN(2)/2))/(LN(2)/2)*AQ123*AT123*VLOOKUP('Données projet'!$B$10,Paramètres!$A$1:$I$89,3,0)*0.475*44/12</f>
        <v>1.6581613653290183E-13</v>
      </c>
      <c r="AX123" s="23">
        <f t="shared" si="60"/>
        <v>5.1145653242354472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88.717199999999735</v>
      </c>
      <c r="D124" s="12">
        <f t="shared" si="86"/>
        <v>24.255586507317027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872.07063268805916</v>
      </c>
      <c r="H124" s="70">
        <f t="shared" si="56"/>
        <v>490.09426983357662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5.3205440053716299E-14</v>
      </c>
      <c r="P124" s="14">
        <f t="shared" si="87"/>
        <v>8.602146238565607E-13</v>
      </c>
      <c r="Q124" s="22">
        <f t="shared" si="107"/>
        <v>1.590873277977066E-12</v>
      </c>
      <c r="R124" s="62">
        <f t="shared" si="55"/>
        <v>293.33333333333491</v>
      </c>
      <c r="S124" s="62">
        <f ca="1">AVERAGE(OFFSET($R$3,0,0,'Données projet'!$E$9+1,1))-AVERAGE(OFFSET($H$3,0,0,'Données projet'!$E$9+1,1))</f>
        <v>145.91567711893987</v>
      </c>
      <c r="T124" s="62">
        <f t="shared" si="88"/>
        <v>136.44398554363522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2.8421709430404007E-14</v>
      </c>
      <c r="AJ124" s="14">
        <f>AI124*VLOOKUP('Données projet'!$B$10,Paramètres!$A$1:$I$89,3,0)*VLOOKUP('Données projet'!$B$10,Paramètres!$A$1:$I$89,5,0)</f>
        <v>2.4829205358400945E-14</v>
      </c>
      <c r="AK124" s="14">
        <f t="shared" si="89"/>
        <v>4.3867331143352915E-13</v>
      </c>
      <c r="AL124" s="22">
        <f t="shared" si="58"/>
        <v>8.0726688341261168E-13</v>
      </c>
      <c r="AM124" s="62">
        <f t="shared" si="59"/>
        <v>293.33333333333411</v>
      </c>
      <c r="AN124" s="62">
        <f ca="1">AVERAGE(OFFSET($AM$3,0,0,'Données projet'!$E$10+1,1))-AVERAGE(OFFSET($H$3,0,0,'Données projet'!$E$10+1,1))</f>
        <v>222.48114295382305</v>
      </c>
      <c r="AO124" s="62">
        <f t="shared" si="90"/>
        <v>261.55066338953611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4.2235416089856122</v>
      </c>
      <c r="AV124" s="23">
        <f>EXP(-LN(2)/25)*AV123+(1-EXP(-LN(2)/25))/(LN(2)/25)*Calculateur!AQ124*Calculateur!AS124*VLOOKUP('Données projet'!$B$10,Paramètres!$A$1:$I$89,3,0)*0.475*44/12</f>
        <v>0.78449104048706586</v>
      </c>
      <c r="AW124" s="23">
        <f>EXP(-LN(2)/2)*AW123+(1-EXP(-LN(2)/2))/(LN(2)/2)*AQ124*AT124*VLOOKUP('Données projet'!$B$10,Paramètres!$A$1:$I$89,3,0)*0.475*44/12</f>
        <v>1.172497145725693E-13</v>
      </c>
      <c r="AX124" s="23">
        <f t="shared" si="60"/>
        <v>5.0080326494727956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89.450399999999732</v>
      </c>
      <c r="D125" s="12">
        <f t="shared" si="86"/>
        <v>24.432627491414117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879.09705431968598</v>
      </c>
      <c r="H125" s="70">
        <f t="shared" si="56"/>
        <v>491.67960621421241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5.3205440053716299E-14</v>
      </c>
      <c r="P125" s="14">
        <f t="shared" si="87"/>
        <v>8.602146238565607E-13</v>
      </c>
      <c r="Q125" s="22">
        <f t="shared" si="107"/>
        <v>1.590873277977066E-12</v>
      </c>
      <c r="R125" s="62">
        <f t="shared" si="55"/>
        <v>293.33333333333491</v>
      </c>
      <c r="S125" s="62">
        <f ca="1">AVERAGE(OFFSET($R$3,0,0,'Données projet'!$E$9+1,1))-AVERAGE(OFFSET($H$3,0,0,'Données projet'!$E$9+1,1))</f>
        <v>145.91567711893987</v>
      </c>
      <c r="T125" s="62">
        <f t="shared" si="88"/>
        <v>136.44398554363522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2.8421709430404007E-14</v>
      </c>
      <c r="AJ125" s="14">
        <f>AI125*VLOOKUP('Données projet'!$B$10,Paramètres!$A$1:$I$89,3,0)*VLOOKUP('Données projet'!$B$10,Paramètres!$A$1:$I$89,5,0)</f>
        <v>2.4829205358400945E-14</v>
      </c>
      <c r="AK125" s="14">
        <f t="shared" si="89"/>
        <v>4.3867331143352915E-13</v>
      </c>
      <c r="AL125" s="22">
        <f t="shared" si="58"/>
        <v>8.0726688341261168E-13</v>
      </c>
      <c r="AM125" s="62">
        <f t="shared" si="59"/>
        <v>293.33333333333411</v>
      </c>
      <c r="AN125" s="62">
        <f ca="1">AVERAGE(OFFSET($AM$3,0,0,'Données projet'!$E$10+1,1))-AVERAGE(OFFSET($H$3,0,0,'Données projet'!$E$10+1,1))</f>
        <v>222.48114295382305</v>
      </c>
      <c r="AO125" s="62">
        <f t="shared" si="90"/>
        <v>261.55066338953611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4.1407205341394162</v>
      </c>
      <c r="AV125" s="23">
        <f>EXP(-LN(2)/25)*AV124+(1-EXP(-LN(2)/25))/(LN(2)/25)*Calculateur!AQ125*Calculateur!AS125*VLOOKUP('Données projet'!$B$10,Paramètres!$A$1:$I$89,3,0)*0.475*44/12</f>
        <v>0.76303909173035622</v>
      </c>
      <c r="AW125" s="23">
        <f>EXP(-LN(2)/2)*AW124+(1-EXP(-LN(2)/2))/(LN(2)/2)*AQ125*AT125*VLOOKUP('Données projet'!$B$10,Paramètres!$A$1:$I$89,3,0)*0.475*44/12</f>
        <v>8.2908068266450914E-14</v>
      </c>
      <c r="AX125" s="23">
        <f t="shared" si="60"/>
        <v>4.9037596258698555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90.183599999999728</v>
      </c>
      <c r="D126" s="12">
        <f t="shared" si="86"/>
        <v>24.609499639553714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886.12217265620211</v>
      </c>
      <c r="H126" s="70">
        <f t="shared" si="56"/>
        <v>493.26464853888888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5.3205440053716299E-14</v>
      </c>
      <c r="P126" s="14">
        <f t="shared" si="87"/>
        <v>8.602146238565607E-13</v>
      </c>
      <c r="Q126" s="22">
        <f t="shared" si="107"/>
        <v>1.590873277977066E-12</v>
      </c>
      <c r="R126" s="62">
        <f t="shared" si="55"/>
        <v>293.33333333333491</v>
      </c>
      <c r="S126" s="62">
        <f ca="1">AVERAGE(OFFSET($R$3,0,0,'Données projet'!$E$9+1,1))-AVERAGE(OFFSET($H$3,0,0,'Données projet'!$E$9+1,1))</f>
        <v>145.91567711893987</v>
      </c>
      <c r="T126" s="62">
        <f t="shared" si="88"/>
        <v>136.44398554363522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2.8421709430404007E-14</v>
      </c>
      <c r="AJ126" s="14">
        <f>AI126*VLOOKUP('Données projet'!$B$10,Paramètres!$A$1:$I$89,3,0)*VLOOKUP('Données projet'!$B$10,Paramètres!$A$1:$I$89,5,0)</f>
        <v>2.4829205358400945E-14</v>
      </c>
      <c r="AK126" s="14">
        <f t="shared" si="89"/>
        <v>4.3867331143352915E-13</v>
      </c>
      <c r="AL126" s="22">
        <f t="shared" si="58"/>
        <v>8.0726688341261168E-13</v>
      </c>
      <c r="AM126" s="62">
        <f t="shared" si="59"/>
        <v>293.33333333333411</v>
      </c>
      <c r="AN126" s="62">
        <f ca="1">AVERAGE(OFFSET($AM$3,0,0,'Données projet'!$E$10+1,1))-AVERAGE(OFFSET($H$3,0,0,'Données projet'!$E$10+1,1))</f>
        <v>222.48114295382305</v>
      </c>
      <c r="AO126" s="62">
        <f t="shared" si="90"/>
        <v>261.55066338953611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4.0595235300550865</v>
      </c>
      <c r="AV126" s="23">
        <f>EXP(-LN(2)/25)*AV125+(1-EXP(-LN(2)/25))/(LN(2)/25)*Calculateur!AQ126*Calculateur!AS126*VLOOKUP('Données projet'!$B$10,Paramètres!$A$1:$I$89,3,0)*0.475*44/12</f>
        <v>0.7421737476405077</v>
      </c>
      <c r="AW126" s="23">
        <f>EXP(-LN(2)/2)*AW125+(1-EXP(-LN(2)/2))/(LN(2)/2)*AQ126*AT126*VLOOKUP('Données projet'!$B$10,Paramètres!$A$1:$I$89,3,0)*0.475*44/12</f>
        <v>5.862485728628465E-14</v>
      </c>
      <c r="AX126" s="23">
        <f t="shared" si="60"/>
        <v>4.801697277695653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90.916799999999725</v>
      </c>
      <c r="D127" s="12">
        <f t="shared" si="86"/>
        <v>24.786204483471373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893.14599952153128</v>
      </c>
      <c r="H127" s="70">
        <f t="shared" si="56"/>
        <v>494.84939947537879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5.3205440053716299E-14</v>
      </c>
      <c r="P127" s="14">
        <f t="shared" si="87"/>
        <v>8.602146238565607E-13</v>
      </c>
      <c r="Q127" s="22">
        <f t="shared" si="107"/>
        <v>1.590873277977066E-12</v>
      </c>
      <c r="R127" s="62">
        <f t="shared" si="55"/>
        <v>293.33333333333491</v>
      </c>
      <c r="S127" s="62">
        <f ca="1">AVERAGE(OFFSET($R$3,0,0,'Données projet'!$E$9+1,1))-AVERAGE(OFFSET($H$3,0,0,'Données projet'!$E$9+1,1))</f>
        <v>145.91567711893987</v>
      </c>
      <c r="T127" s="62">
        <f t="shared" si="88"/>
        <v>136.44398554363522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2.8421709430404007E-14</v>
      </c>
      <c r="AJ127" s="14">
        <f>AI127*VLOOKUP('Données projet'!$B$10,Paramètres!$A$1:$I$89,3,0)*VLOOKUP('Données projet'!$B$10,Paramètres!$A$1:$I$89,5,0)</f>
        <v>2.4829205358400945E-14</v>
      </c>
      <c r="AK127" s="14">
        <f t="shared" si="89"/>
        <v>4.3867331143352915E-13</v>
      </c>
      <c r="AL127" s="22">
        <f t="shared" si="58"/>
        <v>8.0726688341261168E-13</v>
      </c>
      <c r="AM127" s="62">
        <f t="shared" si="59"/>
        <v>293.33333333333411</v>
      </c>
      <c r="AN127" s="62">
        <f ca="1">AVERAGE(OFFSET($AM$3,0,0,'Données projet'!$E$10+1,1))-AVERAGE(OFFSET($H$3,0,0,'Données projet'!$E$10+1,1))</f>
        <v>222.48114295382305</v>
      </c>
      <c r="AO127" s="62">
        <f t="shared" si="90"/>
        <v>261.55066338953611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3.9799187496955684</v>
      </c>
      <c r="AV127" s="23">
        <f>EXP(-LN(2)/25)*AV126+(1-EXP(-LN(2)/25))/(LN(2)/25)*Calculateur!AQ127*Calculateur!AS127*VLOOKUP('Données projet'!$B$10,Paramètres!$A$1:$I$89,3,0)*0.475*44/12</f>
        <v>0.72187896748205693</v>
      </c>
      <c r="AW127" s="23">
        <f>EXP(-LN(2)/2)*AW126+(1-EXP(-LN(2)/2))/(LN(2)/2)*AQ127*AT127*VLOOKUP('Données projet'!$B$10,Paramètres!$A$1:$I$89,3,0)*0.475*44/12</f>
        <v>4.1454034133225457E-14</v>
      </c>
      <c r="AX127" s="23">
        <f t="shared" si="60"/>
        <v>4.7017977171776666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91.649999999999721</v>
      </c>
      <c r="D128" s="12">
        <f t="shared" si="86"/>
        <v>24.96274352877078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900.16854653787743</v>
      </c>
      <c r="H128" s="70">
        <f t="shared" si="56"/>
        <v>496.43386164594193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5.3205440053716299E-14</v>
      </c>
      <c r="P128" s="14">
        <f t="shared" si="87"/>
        <v>8.602146238565607E-13</v>
      </c>
      <c r="Q128" s="22">
        <f t="shared" si="107"/>
        <v>1.590873277977066E-12</v>
      </c>
      <c r="R128" s="62">
        <f t="shared" si="55"/>
        <v>293.33333333333491</v>
      </c>
      <c r="S128" s="62">
        <f ca="1">AVERAGE(OFFSET($R$3,0,0,'Données projet'!$E$9+1,1))-AVERAGE(OFFSET($H$3,0,0,'Données projet'!$E$9+1,1))</f>
        <v>145.91567711893987</v>
      </c>
      <c r="T128" s="62">
        <f t="shared" si="88"/>
        <v>136.44398554363522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2.8421709430404007E-14</v>
      </c>
      <c r="AJ128" s="14">
        <f>AI128*VLOOKUP('Données projet'!$B$10,Paramètres!$A$1:$I$89,3,0)*VLOOKUP('Données projet'!$B$10,Paramètres!$A$1:$I$89,5,0)</f>
        <v>2.4829205358400945E-14</v>
      </c>
      <c r="AK128" s="14">
        <f t="shared" si="89"/>
        <v>4.3867331143352915E-13</v>
      </c>
      <c r="AL128" s="22">
        <f t="shared" si="58"/>
        <v>8.0726688341261168E-13</v>
      </c>
      <c r="AM128" s="62">
        <f t="shared" si="59"/>
        <v>293.33333333333411</v>
      </c>
      <c r="AN128" s="62">
        <f ca="1">AVERAGE(OFFSET($AM$3,0,0,'Données projet'!$E$10+1,1))-AVERAGE(OFFSET($H$3,0,0,'Données projet'!$E$10+1,1))</f>
        <v>222.48114295382305</v>
      </c>
      <c r="AO128" s="62">
        <f t="shared" si="90"/>
        <v>261.55066338953611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3.9018749705247786</v>
      </c>
      <c r="AV128" s="23">
        <f>EXP(-LN(2)/25)*AV127+(1-EXP(-LN(2)/25))/(LN(2)/25)*Calculateur!AQ128*Calculateur!AS128*VLOOKUP('Données projet'!$B$10,Paramètres!$A$1:$I$89,3,0)*0.475*44/12</f>
        <v>0.70213914915429509</v>
      </c>
      <c r="AW128" s="23">
        <f>EXP(-LN(2)/2)*AW127+(1-EXP(-LN(2)/2))/(LN(2)/2)*AQ128*AT128*VLOOKUP('Données projet'!$B$10,Paramètres!$A$1:$I$89,3,0)*0.475*44/12</f>
        <v>2.9312428643142325E-14</v>
      </c>
      <c r="AX128" s="23">
        <f t="shared" si="60"/>
        <v>4.6040141196791033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92.383199999999718</v>
      </c>
      <c r="D129" s="12">
        <f t="shared" si="86"/>
        <v>25.139118255575003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907.18982513075218</v>
      </c>
      <c r="H129" s="70">
        <f t="shared" si="56"/>
        <v>498.0180376284593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5.3205440053716299E-14</v>
      </c>
      <c r="P129" s="14">
        <f t="shared" si="87"/>
        <v>8.602146238565607E-13</v>
      </c>
      <c r="Q129" s="22">
        <f t="shared" si="107"/>
        <v>1.590873277977066E-12</v>
      </c>
      <c r="R129" s="62">
        <f t="shared" si="55"/>
        <v>293.33333333333491</v>
      </c>
      <c r="S129" s="62">
        <f ca="1">AVERAGE(OFFSET($R$3,0,0,'Données projet'!$E$9+1,1))-AVERAGE(OFFSET($H$3,0,0,'Données projet'!$E$9+1,1))</f>
        <v>145.91567711893987</v>
      </c>
      <c r="T129" s="62">
        <f t="shared" si="88"/>
        <v>136.44398554363522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2.8421709430404007E-14</v>
      </c>
      <c r="AJ129" s="14">
        <f>AI129*VLOOKUP('Données projet'!$B$10,Paramètres!$A$1:$I$89,3,0)*VLOOKUP('Données projet'!$B$10,Paramètres!$A$1:$I$89,5,0)</f>
        <v>2.4829205358400945E-14</v>
      </c>
      <c r="AK129" s="14">
        <f t="shared" si="89"/>
        <v>4.3867331143352915E-13</v>
      </c>
      <c r="AL129" s="22">
        <f t="shared" si="58"/>
        <v>8.0726688341261168E-13</v>
      </c>
      <c r="AM129" s="62">
        <f t="shared" si="59"/>
        <v>293.33333333333411</v>
      </c>
      <c r="AN129" s="62">
        <f ca="1">AVERAGE(OFFSET($AM$3,0,0,'Données projet'!$E$10+1,1))-AVERAGE(OFFSET($H$3,0,0,'Données projet'!$E$10+1,1))</f>
        <v>222.48114295382305</v>
      </c>
      <c r="AO129" s="62">
        <f t="shared" si="90"/>
        <v>261.55066338953611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3.8253615822615235</v>
      </c>
      <c r="AV129" s="23">
        <f>EXP(-LN(2)/25)*AV128+(1-EXP(-LN(2)/25))/(LN(2)/25)*Calculateur!AQ129*Calculateur!AS129*VLOOKUP('Données projet'!$B$10,Paramètres!$A$1:$I$89,3,0)*0.475*44/12</f>
        <v>0.6829391171967778</v>
      </c>
      <c r="AW129" s="23">
        <f>EXP(-LN(2)/2)*AW128+(1-EXP(-LN(2)/2))/(LN(2)/2)*AQ129*AT129*VLOOKUP('Données projet'!$B$10,Paramètres!$A$1:$I$89,3,0)*0.475*44/12</f>
        <v>2.0727017066612729E-14</v>
      </c>
      <c r="AX129" s="23">
        <f t="shared" si="60"/>
        <v>4.5083006994583217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93.116399999999715</v>
      </c>
      <c r="D130" s="12">
        <f t="shared" si="86"/>
        <v>25.31533011915646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914.20984653383709</v>
      </c>
      <c r="H130" s="70">
        <f t="shared" si="56"/>
        <v>499.60192995753027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5.3205440053716299E-14</v>
      </c>
      <c r="P130" s="14">
        <f t="shared" si="87"/>
        <v>8.602146238565607E-13</v>
      </c>
      <c r="Q130" s="22">
        <f t="shared" si="107"/>
        <v>1.590873277977066E-12</v>
      </c>
      <c r="R130" s="62">
        <f t="shared" si="55"/>
        <v>293.33333333333491</v>
      </c>
      <c r="S130" s="62">
        <f ca="1">AVERAGE(OFFSET($R$3,0,0,'Données projet'!$E$9+1,1))-AVERAGE(OFFSET($H$3,0,0,'Données projet'!$E$9+1,1))</f>
        <v>145.91567711893987</v>
      </c>
      <c r="T130" s="62">
        <f t="shared" si="88"/>
        <v>136.44398554363522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2.8421709430404007E-14</v>
      </c>
      <c r="AJ130" s="14">
        <f>AI130*VLOOKUP('Données projet'!$B$10,Paramètres!$A$1:$I$89,3,0)*VLOOKUP('Données projet'!$B$10,Paramètres!$A$1:$I$89,5,0)</f>
        <v>2.4829205358400945E-14</v>
      </c>
      <c r="AK130" s="14">
        <f t="shared" si="89"/>
        <v>4.3867331143352915E-13</v>
      </c>
      <c r="AL130" s="22">
        <f t="shared" si="58"/>
        <v>8.0726688341261168E-13</v>
      </c>
      <c r="AM130" s="62">
        <f t="shared" si="59"/>
        <v>293.33333333333411</v>
      </c>
      <c r="AN130" s="62">
        <f ca="1">AVERAGE(OFFSET($AM$3,0,0,'Données projet'!$E$10+1,1))-AVERAGE(OFFSET($H$3,0,0,'Données projet'!$E$10+1,1))</f>
        <v>222.48114295382305</v>
      </c>
      <c r="AO130" s="62">
        <f t="shared" si="90"/>
        <v>261.55066338953611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3.7503485748735517</v>
      </c>
      <c r="AV130" s="23">
        <f>EXP(-LN(2)/25)*AV129+(1-EXP(-LN(2)/25))/(LN(2)/25)*Calculateur!AQ130*Calculateur!AS130*VLOOKUP('Données projet'!$B$10,Paramètres!$A$1:$I$89,3,0)*0.475*44/12</f>
        <v>0.66426411112282457</v>
      </c>
      <c r="AW130" s="23">
        <f>EXP(-LN(2)/2)*AW129+(1-EXP(-LN(2)/2))/(LN(2)/2)*AQ130*AT130*VLOOKUP('Données projet'!$B$10,Paramètres!$A$1:$I$89,3,0)*0.475*44/12</f>
        <v>1.4656214321571162E-14</v>
      </c>
      <c r="AX130" s="23">
        <f t="shared" si="60"/>
        <v>4.4146126859963912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93.849599999999711</v>
      </c>
      <c r="D131" s="12">
        <f t="shared" si="86"/>
        <v>25.491380550546399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921.22862179368929</v>
      </c>
      <c r="H131" s="70">
        <f t="shared" si="56"/>
        <v>501.18554112553443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5.3205440053716299E-14</v>
      </c>
      <c r="P131" s="14">
        <f t="shared" si="87"/>
        <v>8.602146238565607E-13</v>
      </c>
      <c r="Q131" s="22">
        <f t="shared" ref="Q131:Q153" si="108">(O131+P131)*0.475*44/12</f>
        <v>1.590873277977066E-12</v>
      </c>
      <c r="R131" s="62">
        <f t="shared" ref="R131:R194" si="109">Q131+(I131+J131)*44/12</f>
        <v>293.33333333333491</v>
      </c>
      <c r="S131" s="62">
        <f ca="1">AVERAGE(OFFSET($R$3,0,0,'Données projet'!$E$9+1,1))-AVERAGE(OFFSET($H$3,0,0,'Données projet'!$E$9+1,1))</f>
        <v>145.91567711893987</v>
      </c>
      <c r="T131" s="62">
        <f t="shared" si="88"/>
        <v>136.44398554363522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2.8421709430404007E-14</v>
      </c>
      <c r="AJ131" s="14">
        <f>AI131*VLOOKUP('Données projet'!$B$10,Paramètres!$A$1:$I$89,3,0)*VLOOKUP('Données projet'!$B$10,Paramètres!$A$1:$I$89,5,0)</f>
        <v>2.4829205358400945E-14</v>
      </c>
      <c r="AK131" s="14">
        <f t="shared" si="89"/>
        <v>4.3867331143352915E-13</v>
      </c>
      <c r="AL131" s="22">
        <f t="shared" si="58"/>
        <v>8.0726688341261168E-13</v>
      </c>
      <c r="AM131" s="62">
        <f t="shared" si="59"/>
        <v>293.33333333333411</v>
      </c>
      <c r="AN131" s="62">
        <f ca="1">AVERAGE(OFFSET($AM$3,0,0,'Données projet'!$E$10+1,1))-AVERAGE(OFFSET($H$3,0,0,'Données projet'!$E$10+1,1))</f>
        <v>222.48114295382305</v>
      </c>
      <c r="AO131" s="62">
        <f t="shared" si="90"/>
        <v>261.55066338953611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3.6768065268070416</v>
      </c>
      <c r="AV131" s="23">
        <f>EXP(-LN(2)/25)*AV130+(1-EXP(-LN(2)/25))/(LN(2)/25)*Calculateur!AQ131*Calculateur!AS131*VLOOKUP('Données projet'!$B$10,Paramètres!$A$1:$I$89,3,0)*0.475*44/12</f>
        <v>0.64609977407203956</v>
      </c>
      <c r="AW131" s="23">
        <f>EXP(-LN(2)/2)*AW130+(1-EXP(-LN(2)/2))/(LN(2)/2)*AQ131*AT131*VLOOKUP('Données projet'!$B$10,Paramètres!$A$1:$I$89,3,0)*0.475*44/12</f>
        <v>1.0363508533306364E-14</v>
      </c>
      <c r="AX131" s="23">
        <f t="shared" si="60"/>
        <v>4.322906300879092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94.582799999999708</v>
      </c>
      <c r="D132" s="12">
        <f t="shared" si="86"/>
        <v>25.667270957125002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928.24616177429607</v>
      </c>
      <c r="H132" s="70">
        <f t="shared" ref="H132:H195" si="110">(B132+E132+F132)*44/12+(C132+D132)*0.475*44/12</f>
        <v>502.76887358365883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5.3205440053716299E-14</v>
      </c>
      <c r="P132" s="14">
        <f t="shared" si="87"/>
        <v>8.602146238565607E-13</v>
      </c>
      <c r="Q132" s="22">
        <f t="shared" si="108"/>
        <v>1.590873277977066E-12</v>
      </c>
      <c r="R132" s="62">
        <f t="shared" si="109"/>
        <v>293.33333333333491</v>
      </c>
      <c r="S132" s="62">
        <f ca="1">AVERAGE(OFFSET($R$3,0,0,'Données projet'!$E$9+1,1))-AVERAGE(OFFSET($H$3,0,0,'Données projet'!$E$9+1,1))</f>
        <v>145.91567711893987</v>
      </c>
      <c r="T132" s="62">
        <f t="shared" si="88"/>
        <v>136.44398554363522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2.8421709430404007E-14</v>
      </c>
      <c r="AJ132" s="14">
        <f>AI132*VLOOKUP('Données projet'!$B$10,Paramètres!$A$1:$I$89,3,0)*VLOOKUP('Données projet'!$B$10,Paramètres!$A$1:$I$89,5,0)</f>
        <v>2.4829205358400945E-14</v>
      </c>
      <c r="AK132" s="14">
        <f t="shared" si="89"/>
        <v>4.3867331143352915E-13</v>
      </c>
      <c r="AL132" s="22">
        <f t="shared" ref="AL132:AL153" si="112">(AJ132+AK132)*0.475*44/12</f>
        <v>8.0726688341261168E-13</v>
      </c>
      <c r="AM132" s="62">
        <f t="shared" ref="AM132:AM195" si="113">AL132+(AD132+AE132)*44/12</f>
        <v>293.33333333333411</v>
      </c>
      <c r="AN132" s="62">
        <f ca="1">AVERAGE(OFFSET($AM$3,0,0,'Données projet'!$E$10+1,1))-AVERAGE(OFFSET($H$3,0,0,'Données projet'!$E$10+1,1))</f>
        <v>222.48114295382305</v>
      </c>
      <c r="AO132" s="62">
        <f t="shared" si="90"/>
        <v>261.55066338953611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3.6047065934468954</v>
      </c>
      <c r="AV132" s="23">
        <f>EXP(-LN(2)/25)*AV131+(1-EXP(-LN(2)/25))/(LN(2)/25)*Calculateur!AQ132*Calculateur!AS132*VLOOKUP('Données projet'!$B$10,Paramètres!$A$1:$I$89,3,0)*0.475*44/12</f>
        <v>0.62843214177312923</v>
      </c>
      <c r="AW132" s="23">
        <f>EXP(-LN(2)/2)*AW131+(1-EXP(-LN(2)/2))/(LN(2)/2)*AQ132*AT132*VLOOKUP('Données projet'!$B$10,Paramètres!$A$1:$I$89,3,0)*0.475*44/12</f>
        <v>7.3281071607855812E-15</v>
      </c>
      <c r="AX132" s="23">
        <f t="shared" ref="AX132:AX153" si="114">SUM(AU132:AW132)</f>
        <v>4.2331387352200318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95.315999999999704</v>
      </c>
      <c r="D133" s="12">
        <f t="shared" ref="D133:D196" si="140">IFERROR(EXP(-1.0587+0.8836*LN(C133)+0.284),0)</f>
        <v>25.843002723192335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935.26247716148237</v>
      </c>
      <c r="H133" s="70">
        <f t="shared" si="110"/>
        <v>504.35192974289276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5.3205440053716299E-14</v>
      </c>
      <c r="P133" s="14">
        <f t="shared" ref="P133:P196" si="141">EXP(-1.0587+0.8836*LN(O133)+0.284)</f>
        <v>8.602146238565607E-13</v>
      </c>
      <c r="Q133" s="22">
        <f t="shared" si="108"/>
        <v>1.590873277977066E-12</v>
      </c>
      <c r="R133" s="62">
        <f t="shared" si="109"/>
        <v>293.33333333333491</v>
      </c>
      <c r="S133" s="62">
        <f ca="1">AVERAGE(OFFSET($R$3,0,0,'Données projet'!$E$9+1,1))-AVERAGE(OFFSET($H$3,0,0,'Données projet'!$E$9+1,1))</f>
        <v>145.91567711893987</v>
      </c>
      <c r="T133" s="62">
        <f t="shared" ref="T133:T196" si="142">$T$3</f>
        <v>136.44398554363522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2.8421709430404007E-14</v>
      </c>
      <c r="AJ133" s="14">
        <f>AI133*VLOOKUP('Données projet'!$B$10,Paramètres!$A$1:$I$89,3,0)*VLOOKUP('Données projet'!$B$10,Paramètres!$A$1:$I$89,5,0)</f>
        <v>2.4829205358400945E-14</v>
      </c>
      <c r="AK133" s="14">
        <f t="shared" ref="AK133:AK153" si="143">EXP(-1.0587+0.8836*LN(AJ133)+0.284)</f>
        <v>4.3867331143352915E-13</v>
      </c>
      <c r="AL133" s="22">
        <f t="shared" si="112"/>
        <v>8.0726688341261168E-13</v>
      </c>
      <c r="AM133" s="62">
        <f t="shared" si="113"/>
        <v>293.33333333333411</v>
      </c>
      <c r="AN133" s="62">
        <f ca="1">AVERAGE(OFFSET($AM$3,0,0,'Données projet'!$E$10+1,1))-AVERAGE(OFFSET($H$3,0,0,'Données projet'!$E$10+1,1))</f>
        <v>222.48114295382305</v>
      </c>
      <c r="AO133" s="62">
        <f t="shared" ref="AO133:AO196" si="144">$AO$3</f>
        <v>261.55066338953611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3.5340204958033246</v>
      </c>
      <c r="AV133" s="23">
        <f>EXP(-LN(2)/25)*AV132+(1-EXP(-LN(2)/25))/(LN(2)/25)*Calculateur!AQ133*Calculateur!AS133*VLOOKUP('Données projet'!$B$10,Paramètres!$A$1:$I$89,3,0)*0.475*44/12</f>
        <v>0.61124763180853292</v>
      </c>
      <c r="AW133" s="23">
        <f>EXP(-LN(2)/2)*AW132+(1-EXP(-LN(2)/2))/(LN(2)/2)*AQ133*AT133*VLOOKUP('Données projet'!$B$10,Paramètres!$A$1:$I$89,3,0)*0.475*44/12</f>
        <v>5.1817542666531821E-15</v>
      </c>
      <c r="AX133" s="23">
        <f t="shared" si="114"/>
        <v>4.145268127611863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96.049199999999701</v>
      </c>
      <c r="D134" s="12">
        <f t="shared" si="140"/>
        <v>26.018577210521507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942.27757846718123</v>
      </c>
      <c r="H134" s="70">
        <f t="shared" si="110"/>
        <v>505.93471197499105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5.3205440053716299E-14</v>
      </c>
      <c r="P134" s="14">
        <f t="shared" si="141"/>
        <v>8.602146238565607E-13</v>
      </c>
      <c r="Q134" s="22">
        <f t="shared" si="108"/>
        <v>1.590873277977066E-12</v>
      </c>
      <c r="R134" s="62">
        <f t="shared" si="109"/>
        <v>293.33333333333491</v>
      </c>
      <c r="S134" s="62">
        <f ca="1">AVERAGE(OFFSET($R$3,0,0,'Données projet'!$E$9+1,1))-AVERAGE(OFFSET($H$3,0,0,'Données projet'!$E$9+1,1))</f>
        <v>145.91567711893987</v>
      </c>
      <c r="T134" s="62">
        <f t="shared" si="142"/>
        <v>136.44398554363522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2.8421709430404007E-14</v>
      </c>
      <c r="AJ134" s="14">
        <f>AI134*VLOOKUP('Données projet'!$B$10,Paramètres!$A$1:$I$89,3,0)*VLOOKUP('Données projet'!$B$10,Paramètres!$A$1:$I$89,5,0)</f>
        <v>2.4829205358400945E-14</v>
      </c>
      <c r="AK134" s="14">
        <f t="shared" si="143"/>
        <v>4.3867331143352915E-13</v>
      </c>
      <c r="AL134" s="22">
        <f t="shared" si="112"/>
        <v>8.0726688341261168E-13</v>
      </c>
      <c r="AM134" s="62">
        <f t="shared" si="113"/>
        <v>293.33333333333411</v>
      </c>
      <c r="AN134" s="62">
        <f ca="1">AVERAGE(OFFSET($AM$3,0,0,'Données projet'!$E$10+1,1))-AVERAGE(OFFSET($H$3,0,0,'Données projet'!$E$10+1,1))</f>
        <v>222.48114295382305</v>
      </c>
      <c r="AO134" s="62">
        <f t="shared" si="144"/>
        <v>261.55066338953611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3.4647205094202818</v>
      </c>
      <c r="AV134" s="23">
        <f>EXP(-LN(2)/25)*AV133+(1-EXP(-LN(2)/25))/(LN(2)/25)*Calculateur!AQ134*Calculateur!AS134*VLOOKUP('Données projet'!$B$10,Paramètres!$A$1:$I$89,3,0)*0.475*44/12</f>
        <v>0.59453303317261263</v>
      </c>
      <c r="AW134" s="23">
        <f>EXP(-LN(2)/2)*AW133+(1-EXP(-LN(2)/2))/(LN(2)/2)*AQ134*AT134*VLOOKUP('Données projet'!$B$10,Paramètres!$A$1:$I$89,3,0)*0.475*44/12</f>
        <v>3.6640535803927906E-15</v>
      </c>
      <c r="AX134" s="23">
        <f t="shared" si="114"/>
        <v>4.0592535425928977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96.782399999999697</v>
      </c>
      <c r="D135" s="12">
        <f t="shared" si="140"/>
        <v>26.193995758894371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949.2914760335683</v>
      </c>
      <c r="H135" s="70">
        <f t="shared" si="110"/>
        <v>507.51722261340717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5.3205440053716299E-14</v>
      </c>
      <c r="P135" s="14">
        <f t="shared" si="141"/>
        <v>8.602146238565607E-13</v>
      </c>
      <c r="Q135" s="22">
        <f t="shared" si="108"/>
        <v>1.590873277977066E-12</v>
      </c>
      <c r="R135" s="62">
        <f t="shared" si="109"/>
        <v>293.33333333333491</v>
      </c>
      <c r="S135" s="62">
        <f ca="1">AVERAGE(OFFSET($R$3,0,0,'Données projet'!$E$9+1,1))-AVERAGE(OFFSET($H$3,0,0,'Données projet'!$E$9+1,1))</f>
        <v>145.91567711893987</v>
      </c>
      <c r="T135" s="62">
        <f t="shared" si="142"/>
        <v>136.44398554363522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2.8421709430404007E-14</v>
      </c>
      <c r="AJ135" s="14">
        <f>AI135*VLOOKUP('Données projet'!$B$10,Paramètres!$A$1:$I$89,3,0)*VLOOKUP('Données projet'!$B$10,Paramètres!$A$1:$I$89,5,0)</f>
        <v>2.4829205358400945E-14</v>
      </c>
      <c r="AK135" s="14">
        <f t="shared" si="143"/>
        <v>4.3867331143352915E-13</v>
      </c>
      <c r="AL135" s="22">
        <f t="shared" si="112"/>
        <v>8.0726688341261168E-13</v>
      </c>
      <c r="AM135" s="62">
        <f t="shared" si="113"/>
        <v>293.33333333333411</v>
      </c>
      <c r="AN135" s="62">
        <f ca="1">AVERAGE(OFFSET($AM$3,0,0,'Données projet'!$E$10+1,1))-AVERAGE(OFFSET($H$3,0,0,'Données projet'!$E$10+1,1))</f>
        <v>222.48114295382305</v>
      </c>
      <c r="AO135" s="62">
        <f t="shared" si="144"/>
        <v>261.55066338953611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3.3967794535013924</v>
      </c>
      <c r="AV135" s="23">
        <f>EXP(-LN(2)/25)*AV134+(1-EXP(-LN(2)/25))/(LN(2)/25)*Calculateur!AQ135*Calculateur!AS135*VLOOKUP('Données projet'!$B$10,Paramètres!$A$1:$I$89,3,0)*0.475*44/12</f>
        <v>0.5782754961153741</v>
      </c>
      <c r="AW135" s="23">
        <f>EXP(-LN(2)/2)*AW134+(1-EXP(-LN(2)/2))/(LN(2)/2)*AQ135*AT135*VLOOKUP('Données projet'!$B$10,Paramètres!$A$1:$I$89,3,0)*0.475*44/12</f>
        <v>2.5908771333265911E-15</v>
      </c>
      <c r="AX135" s="23">
        <f t="shared" si="114"/>
        <v>3.9750549496167693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97.515599999999694</v>
      </c>
      <c r="D136" s="12">
        <f t="shared" si="140"/>
        <v>26.369259686620403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956.30418003706757</v>
      </c>
      <c r="H136" s="70">
        <f t="shared" si="110"/>
        <v>509.09946395419666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5.3205440053716299E-14</v>
      </c>
      <c r="P136" s="14">
        <f t="shared" si="141"/>
        <v>8.602146238565607E-13</v>
      </c>
      <c r="Q136" s="22">
        <f t="shared" si="108"/>
        <v>1.590873277977066E-12</v>
      </c>
      <c r="R136" s="62">
        <f t="shared" si="109"/>
        <v>293.33333333333491</v>
      </c>
      <c r="S136" s="62">
        <f ca="1">AVERAGE(OFFSET($R$3,0,0,'Données projet'!$E$9+1,1))-AVERAGE(OFFSET($H$3,0,0,'Données projet'!$E$9+1,1))</f>
        <v>145.91567711893987</v>
      </c>
      <c r="T136" s="62">
        <f t="shared" si="142"/>
        <v>136.44398554363522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2.8421709430404007E-14</v>
      </c>
      <c r="AJ136" s="14">
        <f>AI136*VLOOKUP('Données projet'!$B$10,Paramètres!$A$1:$I$89,3,0)*VLOOKUP('Données projet'!$B$10,Paramètres!$A$1:$I$89,5,0)</f>
        <v>2.4829205358400945E-14</v>
      </c>
      <c r="AK136" s="14">
        <f t="shared" si="143"/>
        <v>4.3867331143352915E-13</v>
      </c>
      <c r="AL136" s="22">
        <f t="shared" si="112"/>
        <v>8.0726688341261168E-13</v>
      </c>
      <c r="AM136" s="62">
        <f t="shared" si="113"/>
        <v>293.33333333333411</v>
      </c>
      <c r="AN136" s="62">
        <f ca="1">AVERAGE(OFFSET($AM$3,0,0,'Données projet'!$E$10+1,1))-AVERAGE(OFFSET($H$3,0,0,'Données projet'!$E$10+1,1))</f>
        <v>222.48114295382305</v>
      </c>
      <c r="AO136" s="62">
        <f t="shared" si="144"/>
        <v>261.55066338953611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3.3301706802491204</v>
      </c>
      <c r="AV136" s="23">
        <f>EXP(-LN(2)/25)*AV135+(1-EXP(-LN(2)/25))/(LN(2)/25)*Calculateur!AQ136*Calculateur!AS136*VLOOKUP('Données projet'!$B$10,Paramètres!$A$1:$I$89,3,0)*0.475*44/12</f>
        <v>0.56246252226391247</v>
      </c>
      <c r="AW136" s="23">
        <f>EXP(-LN(2)/2)*AW135+(1-EXP(-LN(2)/2))/(LN(2)/2)*AQ136*AT136*VLOOKUP('Données projet'!$B$10,Paramètres!$A$1:$I$89,3,0)*0.475*44/12</f>
        <v>1.8320267901963953E-15</v>
      </c>
      <c r="AX136" s="23">
        <f t="shared" si="114"/>
        <v>3.8926332025130348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98.24879999999969</v>
      </c>
      <c r="D137" s="12">
        <f t="shared" si="140"/>
        <v>26.544370291039762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963.31570049223421</v>
      </c>
      <c r="H137" s="70">
        <f t="shared" si="110"/>
        <v>510.68143825689367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5.3205440053716299E-14</v>
      </c>
      <c r="P137" s="14">
        <f t="shared" si="141"/>
        <v>8.602146238565607E-13</v>
      </c>
      <c r="Q137" s="22">
        <f t="shared" si="108"/>
        <v>1.590873277977066E-12</v>
      </c>
      <c r="R137" s="62">
        <f t="shared" si="109"/>
        <v>293.33333333333491</v>
      </c>
      <c r="S137" s="62">
        <f ca="1">AVERAGE(OFFSET($R$3,0,0,'Données projet'!$E$9+1,1))-AVERAGE(OFFSET($H$3,0,0,'Données projet'!$E$9+1,1))</f>
        <v>145.91567711893987</v>
      </c>
      <c r="T137" s="62">
        <f t="shared" si="142"/>
        <v>136.44398554363522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2.8421709430404007E-14</v>
      </c>
      <c r="AJ137" s="14">
        <f>AI137*VLOOKUP('Données projet'!$B$10,Paramètres!$A$1:$I$89,3,0)*VLOOKUP('Données projet'!$B$10,Paramètres!$A$1:$I$89,5,0)</f>
        <v>2.4829205358400945E-14</v>
      </c>
      <c r="AK137" s="14">
        <f t="shared" si="143"/>
        <v>4.3867331143352915E-13</v>
      </c>
      <c r="AL137" s="22">
        <f t="shared" si="112"/>
        <v>8.0726688341261168E-13</v>
      </c>
      <c r="AM137" s="62">
        <f t="shared" si="113"/>
        <v>293.33333333333411</v>
      </c>
      <c r="AN137" s="62">
        <f ca="1">AVERAGE(OFFSET($AM$3,0,0,'Données projet'!$E$10+1,1))-AVERAGE(OFFSET($H$3,0,0,'Données projet'!$E$10+1,1))</f>
        <v>222.48114295382305</v>
      </c>
      <c r="AO137" s="62">
        <f t="shared" si="144"/>
        <v>261.55066338953611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3.2648680644129855</v>
      </c>
      <c r="AV137" s="23">
        <f>EXP(-LN(2)/25)*AV136+(1-EXP(-LN(2)/25))/(LN(2)/25)*Calculateur!AQ137*Calculateur!AS137*VLOOKUP('Données projet'!$B$10,Paramètres!$A$1:$I$89,3,0)*0.475*44/12</f>
        <v>0.54708195501398726</v>
      </c>
      <c r="AW137" s="23">
        <f>EXP(-LN(2)/2)*AW136+(1-EXP(-LN(2)/2))/(LN(2)/2)*AQ137*AT137*VLOOKUP('Données projet'!$B$10,Paramètres!$A$1:$I$89,3,0)*0.475*44/12</f>
        <v>1.2954385666632955E-15</v>
      </c>
      <c r="AX137" s="23">
        <f t="shared" si="114"/>
        <v>3.8119500194269742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98.981999999999687</v>
      </c>
      <c r="D138" s="12">
        <f t="shared" si="140"/>
        <v>26.719328849010672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970.3260472555188</v>
      </c>
      <c r="H138" s="70">
        <f t="shared" si="110"/>
        <v>512.26314774535967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5.3205440053716299E-14</v>
      </c>
      <c r="P138" s="14">
        <f t="shared" si="141"/>
        <v>8.602146238565607E-13</v>
      </c>
      <c r="Q138" s="22">
        <f t="shared" si="108"/>
        <v>1.590873277977066E-12</v>
      </c>
      <c r="R138" s="62">
        <f t="shared" si="109"/>
        <v>293.33333333333491</v>
      </c>
      <c r="S138" s="62">
        <f ca="1">AVERAGE(OFFSET($R$3,0,0,'Données projet'!$E$9+1,1))-AVERAGE(OFFSET($H$3,0,0,'Données projet'!$E$9+1,1))</f>
        <v>145.91567711893987</v>
      </c>
      <c r="T138" s="62">
        <f t="shared" si="142"/>
        <v>136.44398554363522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2.8421709430404007E-14</v>
      </c>
      <c r="AJ138" s="14">
        <f>AI138*VLOOKUP('Données projet'!$B$10,Paramètres!$A$1:$I$89,3,0)*VLOOKUP('Données projet'!$B$10,Paramètres!$A$1:$I$89,5,0)</f>
        <v>2.4829205358400945E-14</v>
      </c>
      <c r="AK138" s="14">
        <f t="shared" si="143"/>
        <v>4.3867331143352915E-13</v>
      </c>
      <c r="AL138" s="22">
        <f t="shared" si="112"/>
        <v>8.0726688341261168E-13</v>
      </c>
      <c r="AM138" s="62">
        <f t="shared" si="113"/>
        <v>293.33333333333411</v>
      </c>
      <c r="AN138" s="62">
        <f ca="1">AVERAGE(OFFSET($AM$3,0,0,'Données projet'!$E$10+1,1))-AVERAGE(OFFSET($H$3,0,0,'Données projet'!$E$10+1,1))</f>
        <v>222.48114295382305</v>
      </c>
      <c r="AO138" s="62">
        <f t="shared" si="144"/>
        <v>261.55066338953611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3.2008459930427344</v>
      </c>
      <c r="AV138" s="23">
        <f>EXP(-LN(2)/25)*AV137+(1-EXP(-LN(2)/25))/(LN(2)/25)*Calculateur!AQ138*Calculateur!AS138*VLOOKUP('Données projet'!$B$10,Paramètres!$A$1:$I$89,3,0)*0.475*44/12</f>
        <v>0.53212197018434015</v>
      </c>
      <c r="AW138" s="23">
        <f>EXP(-LN(2)/2)*AW137+(1-EXP(-LN(2)/2))/(LN(2)/2)*AQ138*AT138*VLOOKUP('Données projet'!$B$10,Paramètres!$A$1:$I$89,3,0)*0.475*44/12</f>
        <v>9.1601339509819765E-16</v>
      </c>
      <c r="AX138" s="23">
        <f t="shared" si="114"/>
        <v>3.7329679632270754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99.715199999999683</v>
      </c>
      <c r="D139" s="12">
        <f t="shared" si="140"/>
        <v>26.894136617382109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977.33523002891206</v>
      </c>
      <c r="H139" s="70">
        <f t="shared" si="110"/>
        <v>513.8445946086066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5.3205440053716299E-14</v>
      </c>
      <c r="P139" s="14">
        <f t="shared" si="141"/>
        <v>8.602146238565607E-13</v>
      </c>
      <c r="Q139" s="22">
        <f t="shared" si="108"/>
        <v>1.590873277977066E-12</v>
      </c>
      <c r="R139" s="62">
        <f t="shared" si="109"/>
        <v>293.33333333333491</v>
      </c>
      <c r="S139" s="62">
        <f ca="1">AVERAGE(OFFSET($R$3,0,0,'Données projet'!$E$9+1,1))-AVERAGE(OFFSET($H$3,0,0,'Données projet'!$E$9+1,1))</f>
        <v>145.91567711893987</v>
      </c>
      <c r="T139" s="62">
        <f t="shared" si="142"/>
        <v>136.44398554363522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2.8421709430404007E-14</v>
      </c>
      <c r="AJ139" s="14">
        <f>AI139*VLOOKUP('Données projet'!$B$10,Paramètres!$A$1:$I$89,3,0)*VLOOKUP('Données projet'!$B$10,Paramètres!$A$1:$I$89,5,0)</f>
        <v>2.4829205358400945E-14</v>
      </c>
      <c r="AK139" s="14">
        <f t="shared" si="143"/>
        <v>4.3867331143352915E-13</v>
      </c>
      <c r="AL139" s="22">
        <f t="shared" si="112"/>
        <v>8.0726688341261168E-13</v>
      </c>
      <c r="AM139" s="62">
        <f t="shared" si="113"/>
        <v>293.33333333333411</v>
      </c>
      <c r="AN139" s="62">
        <f ca="1">AVERAGE(OFFSET($AM$3,0,0,'Données projet'!$E$10+1,1))-AVERAGE(OFFSET($H$3,0,0,'Données projet'!$E$10+1,1))</f>
        <v>222.48114295382305</v>
      </c>
      <c r="AO139" s="62">
        <f t="shared" si="144"/>
        <v>261.55066338953611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3.1380793554424464</v>
      </c>
      <c r="AV139" s="23">
        <f>EXP(-LN(2)/25)*AV138+(1-EXP(-LN(2)/25))/(LN(2)/25)*Calculateur!AQ139*Calculateur!AS139*VLOOKUP('Données projet'!$B$10,Paramètres!$A$1:$I$89,3,0)*0.475*44/12</f>
        <v>0.51757106692657118</v>
      </c>
      <c r="AW139" s="23">
        <f>EXP(-LN(2)/2)*AW138+(1-EXP(-LN(2)/2))/(LN(2)/2)*AQ139*AT139*VLOOKUP('Données projet'!$B$10,Paramètres!$A$1:$I$89,3,0)*0.475*44/12</f>
        <v>6.4771928333164777E-16</v>
      </c>
      <c r="AX139" s="23">
        <f t="shared" si="114"/>
        <v>3.655650422369018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100.44839999999968</v>
      </c>
      <c r="D140" s="12">
        <f t="shared" si="140"/>
        <v>27.068794833452092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984.34325836348728</v>
      </c>
      <c r="H140" s="70">
        <f t="shared" si="110"/>
        <v>515.42578100159517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5.3205440053716299E-14</v>
      </c>
      <c r="P140" s="14">
        <f t="shared" si="141"/>
        <v>8.602146238565607E-13</v>
      </c>
      <c r="Q140" s="22">
        <f t="shared" si="108"/>
        <v>1.590873277977066E-12</v>
      </c>
      <c r="R140" s="62">
        <f t="shared" si="109"/>
        <v>293.33333333333491</v>
      </c>
      <c r="S140" s="62">
        <f ca="1">AVERAGE(OFFSET($R$3,0,0,'Données projet'!$E$9+1,1))-AVERAGE(OFFSET($H$3,0,0,'Données projet'!$E$9+1,1))</f>
        <v>145.91567711893987</v>
      </c>
      <c r="T140" s="62">
        <f t="shared" si="142"/>
        <v>136.44398554363522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2.8421709430404007E-14</v>
      </c>
      <c r="AJ140" s="14">
        <f>AI140*VLOOKUP('Données projet'!$B$10,Paramètres!$A$1:$I$89,3,0)*VLOOKUP('Données projet'!$B$10,Paramètres!$A$1:$I$89,5,0)</f>
        <v>2.4829205358400945E-14</v>
      </c>
      <c r="AK140" s="14">
        <f t="shared" si="143"/>
        <v>4.3867331143352915E-13</v>
      </c>
      <c r="AL140" s="22">
        <f t="shared" si="112"/>
        <v>8.0726688341261168E-13</v>
      </c>
      <c r="AM140" s="62">
        <f t="shared" si="113"/>
        <v>293.33333333333411</v>
      </c>
      <c r="AN140" s="62">
        <f ca="1">AVERAGE(OFFSET($AM$3,0,0,'Données projet'!$E$10+1,1))-AVERAGE(OFFSET($H$3,0,0,'Données projet'!$E$10+1,1))</f>
        <v>222.48114295382305</v>
      </c>
      <c r="AO140" s="62">
        <f t="shared" si="144"/>
        <v>261.55066338953611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3.0765435333216313</v>
      </c>
      <c r="AV140" s="23">
        <f>EXP(-LN(2)/25)*AV139+(1-EXP(-LN(2)/25))/(LN(2)/25)*Calculateur!AQ140*Calculateur!AS140*VLOOKUP('Données projet'!$B$10,Paramètres!$A$1:$I$89,3,0)*0.475*44/12</f>
        <v>0.5034180588835846</v>
      </c>
      <c r="AW140" s="23">
        <f>EXP(-LN(2)/2)*AW139+(1-EXP(-LN(2)/2))/(LN(2)/2)*AQ140*AT140*VLOOKUP('Données projet'!$B$10,Paramètres!$A$1:$I$89,3,0)*0.475*44/12</f>
        <v>4.5800669754909883E-16</v>
      </c>
      <c r="AX140" s="23">
        <f t="shared" si="114"/>
        <v>3.5799615922052164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101.18159999999968</v>
      </c>
      <c r="D141" s="12">
        <f t="shared" si="140"/>
        <v>27.243304715412286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991.35014166282929</v>
      </c>
      <c r="H141" s="70">
        <f t="shared" si="110"/>
        <v>517.00670904600918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5.3205440053716299E-14</v>
      </c>
      <c r="P141" s="14">
        <f t="shared" si="141"/>
        <v>8.602146238565607E-13</v>
      </c>
      <c r="Q141" s="22">
        <f t="shared" si="108"/>
        <v>1.590873277977066E-12</v>
      </c>
      <c r="R141" s="62">
        <f t="shared" si="109"/>
        <v>293.33333333333491</v>
      </c>
      <c r="S141" s="62">
        <f ca="1">AVERAGE(OFFSET($R$3,0,0,'Données projet'!$E$9+1,1))-AVERAGE(OFFSET($H$3,0,0,'Données projet'!$E$9+1,1))</f>
        <v>145.91567711893987</v>
      </c>
      <c r="T141" s="62">
        <f t="shared" si="142"/>
        <v>136.44398554363522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2.8421709430404007E-14</v>
      </c>
      <c r="AJ141" s="14">
        <f>AI141*VLOOKUP('Données projet'!$B$10,Paramètres!$A$1:$I$89,3,0)*VLOOKUP('Données projet'!$B$10,Paramètres!$A$1:$I$89,5,0)</f>
        <v>2.4829205358400945E-14</v>
      </c>
      <c r="AK141" s="14">
        <f t="shared" si="143"/>
        <v>4.3867331143352915E-13</v>
      </c>
      <c r="AL141" s="22">
        <f t="shared" si="112"/>
        <v>8.0726688341261168E-13</v>
      </c>
      <c r="AM141" s="62">
        <f t="shared" si="113"/>
        <v>293.33333333333411</v>
      </c>
      <c r="AN141" s="62">
        <f ca="1">AVERAGE(OFFSET($AM$3,0,0,'Données projet'!$E$10+1,1))-AVERAGE(OFFSET($H$3,0,0,'Données projet'!$E$10+1,1))</f>
        <v>222.48114295382305</v>
      </c>
      <c r="AO141" s="62">
        <f t="shared" si="144"/>
        <v>261.55066338953611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3.0162143911394597</v>
      </c>
      <c r="AV141" s="23">
        <f>EXP(-LN(2)/25)*AV140+(1-EXP(-LN(2)/25))/(LN(2)/25)*Calculateur!AQ141*Calculateur!AS141*VLOOKUP('Données projet'!$B$10,Paramètres!$A$1:$I$89,3,0)*0.475*44/12</f>
        <v>0.48965206558980784</v>
      </c>
      <c r="AW141" s="23">
        <f>EXP(-LN(2)/2)*AW140+(1-EXP(-LN(2)/2))/(LN(2)/2)*AQ141*AT141*VLOOKUP('Données projet'!$B$10,Paramètres!$A$1:$I$89,3,0)*0.475*44/12</f>
        <v>3.2385964166582388E-16</v>
      </c>
      <c r="AX141" s="23">
        <f t="shared" si="114"/>
        <v>3.5058664567292679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101.91479999999967</v>
      </c>
      <c r="D142" s="12">
        <f t="shared" si="140"/>
        <v>27.417667462779246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998.35588918636347</v>
      </c>
      <c r="H142" s="70">
        <f t="shared" si="110"/>
        <v>518.58738083100661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5.3205440053716299E-14</v>
      </c>
      <c r="P142" s="14">
        <f t="shared" si="141"/>
        <v>8.602146238565607E-13</v>
      </c>
      <c r="Q142" s="22">
        <f t="shared" si="108"/>
        <v>1.590873277977066E-12</v>
      </c>
      <c r="R142" s="62">
        <f t="shared" si="109"/>
        <v>293.33333333333491</v>
      </c>
      <c r="S142" s="62">
        <f ca="1">AVERAGE(OFFSET($R$3,0,0,'Données projet'!$E$9+1,1))-AVERAGE(OFFSET($H$3,0,0,'Données projet'!$E$9+1,1))</f>
        <v>145.91567711893987</v>
      </c>
      <c r="T142" s="62">
        <f t="shared" si="142"/>
        <v>136.44398554363522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2.8421709430404007E-14</v>
      </c>
      <c r="AJ142" s="14">
        <f>AI142*VLOOKUP('Données projet'!$B$10,Paramètres!$A$1:$I$89,3,0)*VLOOKUP('Données projet'!$B$10,Paramètres!$A$1:$I$89,5,0)</f>
        <v>2.4829205358400945E-14</v>
      </c>
      <c r="AK142" s="14">
        <f t="shared" si="143"/>
        <v>4.3867331143352915E-13</v>
      </c>
      <c r="AL142" s="22">
        <f t="shared" si="112"/>
        <v>8.0726688341261168E-13</v>
      </c>
      <c r="AM142" s="62">
        <f t="shared" si="113"/>
        <v>293.33333333333411</v>
      </c>
      <c r="AN142" s="62">
        <f ca="1">AVERAGE(OFFSET($AM$3,0,0,'Données projet'!$E$10+1,1))-AVERAGE(OFFSET($H$3,0,0,'Données projet'!$E$10+1,1))</f>
        <v>222.48114295382305</v>
      </c>
      <c r="AO142" s="62">
        <f t="shared" si="144"/>
        <v>261.55066338953611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2.9570682666383372</v>
      </c>
      <c r="AV142" s="23">
        <f>EXP(-LN(2)/25)*AV141+(1-EXP(-LN(2)/25))/(LN(2)/25)*Calculateur!AQ142*Calculateur!AS142*VLOOKUP('Données projet'!$B$10,Paramètres!$A$1:$I$89,3,0)*0.475*44/12</f>
        <v>0.4762625041065715</v>
      </c>
      <c r="AW142" s="23">
        <f>EXP(-LN(2)/2)*AW141+(1-EXP(-LN(2)/2))/(LN(2)/2)*AQ142*AT142*VLOOKUP('Données projet'!$B$10,Paramètres!$A$1:$I$89,3,0)*0.475*44/12</f>
        <v>2.2900334877454941E-16</v>
      </c>
      <c r="AX142" s="23">
        <f t="shared" si="114"/>
        <v>3.433330770744909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102.64799999999967</v>
      </c>
      <c r="D143" s="12">
        <f t="shared" si="140"/>
        <v>27.591884256812975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1005.3605100525888</v>
      </c>
      <c r="H143" s="70">
        <f t="shared" si="110"/>
        <v>520.16779841394873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5.3205440053716299E-14</v>
      </c>
      <c r="P143" s="14">
        <f t="shared" si="141"/>
        <v>8.602146238565607E-13</v>
      </c>
      <c r="Q143" s="22">
        <f t="shared" si="108"/>
        <v>1.590873277977066E-12</v>
      </c>
      <c r="R143" s="62">
        <f t="shared" si="109"/>
        <v>293.33333333333491</v>
      </c>
      <c r="S143" s="62">
        <f ca="1">AVERAGE(OFFSET($R$3,0,0,'Données projet'!$E$9+1,1))-AVERAGE(OFFSET($H$3,0,0,'Données projet'!$E$9+1,1))</f>
        <v>145.91567711893987</v>
      </c>
      <c r="T143" s="62">
        <f t="shared" si="142"/>
        <v>136.44398554363522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2.8421709430404007E-14</v>
      </c>
      <c r="AJ143" s="14">
        <f>AI143*VLOOKUP('Données projet'!$B$10,Paramètres!$A$1:$I$89,3,0)*VLOOKUP('Données projet'!$B$10,Paramètres!$A$1:$I$89,5,0)</f>
        <v>2.4829205358400945E-14</v>
      </c>
      <c r="AK143" s="14">
        <f t="shared" si="143"/>
        <v>4.3867331143352915E-13</v>
      </c>
      <c r="AL143" s="22">
        <f t="shared" si="112"/>
        <v>8.0726688341261168E-13</v>
      </c>
      <c r="AM143" s="62">
        <f t="shared" si="113"/>
        <v>293.33333333333411</v>
      </c>
      <c r="AN143" s="62">
        <f ca="1">AVERAGE(OFFSET($AM$3,0,0,'Données projet'!$E$10+1,1))-AVERAGE(OFFSET($H$3,0,0,'Données projet'!$E$10+1,1))</f>
        <v>222.48114295382305</v>
      </c>
      <c r="AO143" s="62">
        <f t="shared" si="144"/>
        <v>261.55066338953611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2.899081961563108</v>
      </c>
      <c r="AV143" s="23">
        <f>EXP(-LN(2)/25)*AV142+(1-EXP(-LN(2)/25))/(LN(2)/25)*Calculateur!AQ143*Calculateur!AS143*VLOOKUP('Données projet'!$B$10,Paramètres!$A$1:$I$89,3,0)*0.475*44/12</f>
        <v>0.46323908088622073</v>
      </c>
      <c r="AW143" s="23">
        <f>EXP(-LN(2)/2)*AW142+(1-EXP(-LN(2)/2))/(LN(2)/2)*AQ143*AT143*VLOOKUP('Données projet'!$B$10,Paramètres!$A$1:$I$89,3,0)*0.475*44/12</f>
        <v>1.6192982083291194E-16</v>
      </c>
      <c r="AX143" s="23">
        <f t="shared" si="114"/>
        <v>3.3623210424493286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103.38119999999967</v>
      </c>
      <c r="D144" s="12">
        <f t="shared" si="140"/>
        <v>27.765956260923254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1012.3640132422121</v>
      </c>
      <c r="H144" s="70">
        <f t="shared" si="110"/>
        <v>521.74796382110731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5.3205440053716299E-14</v>
      </c>
      <c r="P144" s="14">
        <f t="shared" si="141"/>
        <v>8.602146238565607E-13</v>
      </c>
      <c r="Q144" s="22">
        <f t="shared" si="108"/>
        <v>1.590873277977066E-12</v>
      </c>
      <c r="R144" s="62">
        <f t="shared" si="109"/>
        <v>293.33333333333491</v>
      </c>
      <c r="S144" s="62">
        <f ca="1">AVERAGE(OFFSET($R$3,0,0,'Données projet'!$E$9+1,1))-AVERAGE(OFFSET($H$3,0,0,'Données projet'!$E$9+1,1))</f>
        <v>145.91567711893987</v>
      </c>
      <c r="T144" s="62">
        <f t="shared" si="142"/>
        <v>136.44398554363522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2.8421709430404007E-14</v>
      </c>
      <c r="AJ144" s="14">
        <f>AI144*VLOOKUP('Données projet'!$B$10,Paramètres!$A$1:$I$89,3,0)*VLOOKUP('Données projet'!$B$10,Paramètres!$A$1:$I$89,5,0)</f>
        <v>2.4829205358400945E-14</v>
      </c>
      <c r="AK144" s="14">
        <f t="shared" si="143"/>
        <v>4.3867331143352915E-13</v>
      </c>
      <c r="AL144" s="22">
        <f t="shared" si="112"/>
        <v>8.0726688341261168E-13</v>
      </c>
      <c r="AM144" s="62">
        <f t="shared" si="113"/>
        <v>293.33333333333411</v>
      </c>
      <c r="AN144" s="62">
        <f ca="1">AVERAGE(OFFSET($AM$3,0,0,'Données projet'!$E$10+1,1))-AVERAGE(OFFSET($H$3,0,0,'Données projet'!$E$10+1,1))</f>
        <v>222.48114295382305</v>
      </c>
      <c r="AO144" s="62">
        <f t="shared" si="144"/>
        <v>261.55066338953611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2.8422327325622505</v>
      </c>
      <c r="AV144" s="23">
        <f>EXP(-LN(2)/25)*AV143+(1-EXP(-LN(2)/25))/(LN(2)/25)*Calculateur!AQ144*Calculateur!AS144*VLOOKUP('Données projet'!$B$10,Paramètres!$A$1:$I$89,3,0)*0.475*44/12</f>
        <v>0.4505717838587025</v>
      </c>
      <c r="AW144" s="23">
        <f>EXP(-LN(2)/2)*AW143+(1-EXP(-LN(2)/2))/(LN(2)/2)*AQ144*AT144*VLOOKUP('Données projet'!$B$10,Paramètres!$A$1:$I$89,3,0)*0.475*44/12</f>
        <v>1.1450167438727471E-16</v>
      </c>
      <c r="AX144" s="23">
        <f t="shared" si="114"/>
        <v>3.292804516420953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104.11439999999966</v>
      </c>
      <c r="D145" s="12">
        <f t="shared" si="140"/>
        <v>27.939884621063818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1019.3664076011919</v>
      </c>
      <c r="H145" s="70">
        <f t="shared" si="110"/>
        <v>523.3278790483522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5.3205440053716299E-14</v>
      </c>
      <c r="P145" s="14">
        <f t="shared" si="141"/>
        <v>8.602146238565607E-13</v>
      </c>
      <c r="Q145" s="22">
        <f t="shared" si="108"/>
        <v>1.590873277977066E-12</v>
      </c>
      <c r="R145" s="62">
        <f t="shared" si="109"/>
        <v>293.33333333333491</v>
      </c>
      <c r="S145" s="62">
        <f ca="1">AVERAGE(OFFSET($R$3,0,0,'Données projet'!$E$9+1,1))-AVERAGE(OFFSET($H$3,0,0,'Données projet'!$E$9+1,1))</f>
        <v>145.91567711893987</v>
      </c>
      <c r="T145" s="62">
        <f t="shared" si="142"/>
        <v>136.44398554363522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2.8421709430404007E-14</v>
      </c>
      <c r="AJ145" s="14">
        <f>AI145*VLOOKUP('Données projet'!$B$10,Paramètres!$A$1:$I$89,3,0)*VLOOKUP('Données projet'!$B$10,Paramètres!$A$1:$I$89,5,0)</f>
        <v>2.4829205358400945E-14</v>
      </c>
      <c r="AK145" s="14">
        <f t="shared" si="143"/>
        <v>4.3867331143352915E-13</v>
      </c>
      <c r="AL145" s="22">
        <f t="shared" si="112"/>
        <v>8.0726688341261168E-13</v>
      </c>
      <c r="AM145" s="62">
        <f t="shared" si="113"/>
        <v>293.33333333333411</v>
      </c>
      <c r="AN145" s="62">
        <f ca="1">AVERAGE(OFFSET($AM$3,0,0,'Données projet'!$E$10+1,1))-AVERAGE(OFFSET($H$3,0,0,'Données projet'!$E$10+1,1))</f>
        <v>222.48114295382305</v>
      </c>
      <c r="AO145" s="62">
        <f t="shared" si="144"/>
        <v>261.55066338953611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2.7864982822674937</v>
      </c>
      <c r="AV145" s="23">
        <f>EXP(-LN(2)/25)*AV144+(1-EXP(-LN(2)/25))/(LN(2)/25)*Calculateur!AQ145*Calculateur!AS145*VLOOKUP('Données projet'!$B$10,Paramètres!$A$1:$I$89,3,0)*0.475*44/12</f>
        <v>0.43825087473454594</v>
      </c>
      <c r="AW145" s="23">
        <f>EXP(-LN(2)/2)*AW144+(1-EXP(-LN(2)/2))/(LN(2)/2)*AQ145*AT145*VLOOKUP('Données projet'!$B$10,Paramètres!$A$1:$I$89,3,0)*0.475*44/12</f>
        <v>8.0964910416455971E-17</v>
      </c>
      <c r="AX145" s="23">
        <f t="shared" si="114"/>
        <v>3.2247491570020399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104.84759999999966</v>
      </c>
      <c r="D146" s="12">
        <f t="shared" si="140"/>
        <v>28.113670466115568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1026.3677018436965</v>
      </c>
      <c r="H146" s="70">
        <f t="shared" si="110"/>
        <v>524.90754606181736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5.3205440053716299E-14</v>
      </c>
      <c r="P146" s="14">
        <f t="shared" si="141"/>
        <v>8.602146238565607E-13</v>
      </c>
      <c r="Q146" s="22">
        <f t="shared" si="108"/>
        <v>1.590873277977066E-12</v>
      </c>
      <c r="R146" s="62">
        <f t="shared" si="109"/>
        <v>293.33333333333491</v>
      </c>
      <c r="S146" s="62">
        <f ca="1">AVERAGE(OFFSET($R$3,0,0,'Données projet'!$E$9+1,1))-AVERAGE(OFFSET($H$3,0,0,'Données projet'!$E$9+1,1))</f>
        <v>145.91567711893987</v>
      </c>
      <c r="T146" s="62">
        <f t="shared" si="142"/>
        <v>136.44398554363522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2.8421709430404007E-14</v>
      </c>
      <c r="AJ146" s="14">
        <f>AI146*VLOOKUP('Données projet'!$B$10,Paramètres!$A$1:$I$89,3,0)*VLOOKUP('Données projet'!$B$10,Paramètres!$A$1:$I$89,5,0)</f>
        <v>2.4829205358400945E-14</v>
      </c>
      <c r="AK146" s="14">
        <f t="shared" si="143"/>
        <v>4.3867331143352915E-13</v>
      </c>
      <c r="AL146" s="22">
        <f t="shared" si="112"/>
        <v>8.0726688341261168E-13</v>
      </c>
      <c r="AM146" s="62">
        <f t="shared" si="113"/>
        <v>293.33333333333411</v>
      </c>
      <c r="AN146" s="62">
        <f ca="1">AVERAGE(OFFSET($AM$3,0,0,'Données projet'!$E$10+1,1))-AVERAGE(OFFSET($H$3,0,0,'Données projet'!$E$10+1,1))</f>
        <v>222.48114295382305</v>
      </c>
      <c r="AO146" s="62">
        <f t="shared" si="144"/>
        <v>261.55066338953611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2.7318567505483591</v>
      </c>
      <c r="AV146" s="23">
        <f>EXP(-LN(2)/25)*AV145+(1-EXP(-LN(2)/25))/(LN(2)/25)*Calculateur!AQ146*Calculateur!AS146*VLOOKUP('Données projet'!$B$10,Paramètres!$A$1:$I$89,3,0)*0.475*44/12</f>
        <v>0.42626688151831793</v>
      </c>
      <c r="AW146" s="23">
        <f>EXP(-LN(2)/2)*AW145+(1-EXP(-LN(2)/2))/(LN(2)/2)*AQ146*AT146*VLOOKUP('Données projet'!$B$10,Paramètres!$A$1:$I$89,3,0)*0.475*44/12</f>
        <v>5.7250837193637353E-17</v>
      </c>
      <c r="AX146" s="23">
        <f t="shared" si="114"/>
        <v>3.158123632066677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105.58079999999966</v>
      </c>
      <c r="D147" s="12">
        <f t="shared" si="140"/>
        <v>28.287314908258214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1033.3679045549729</v>
      </c>
      <c r="H147" s="70">
        <f t="shared" si="110"/>
        <v>526.48696679854902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5.3205440053716299E-14</v>
      </c>
      <c r="P147" s="14">
        <f t="shared" si="141"/>
        <v>8.602146238565607E-13</v>
      </c>
      <c r="Q147" s="22">
        <f t="shared" si="108"/>
        <v>1.590873277977066E-12</v>
      </c>
      <c r="R147" s="62">
        <f t="shared" si="109"/>
        <v>293.33333333333491</v>
      </c>
      <c r="S147" s="62">
        <f ca="1">AVERAGE(OFFSET($R$3,0,0,'Données projet'!$E$9+1,1))-AVERAGE(OFFSET($H$3,0,0,'Données projet'!$E$9+1,1))</f>
        <v>145.91567711893987</v>
      </c>
      <c r="T147" s="62">
        <f t="shared" si="142"/>
        <v>136.44398554363522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2.8421709430404007E-14</v>
      </c>
      <c r="AJ147" s="14">
        <f>AI147*VLOOKUP('Données projet'!$B$10,Paramètres!$A$1:$I$89,3,0)*VLOOKUP('Données projet'!$B$10,Paramètres!$A$1:$I$89,5,0)</f>
        <v>2.4829205358400945E-14</v>
      </c>
      <c r="AK147" s="14">
        <f t="shared" si="143"/>
        <v>4.3867331143352915E-13</v>
      </c>
      <c r="AL147" s="22">
        <f t="shared" si="112"/>
        <v>8.0726688341261168E-13</v>
      </c>
      <c r="AM147" s="62">
        <f t="shared" si="113"/>
        <v>293.33333333333411</v>
      </c>
      <c r="AN147" s="62">
        <f ca="1">AVERAGE(OFFSET($AM$3,0,0,'Données projet'!$E$10+1,1))-AVERAGE(OFFSET($H$3,0,0,'Données projet'!$E$10+1,1))</f>
        <v>222.48114295382305</v>
      </c>
      <c r="AO147" s="62">
        <f t="shared" si="144"/>
        <v>261.55066338953611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2.6782867059381932</v>
      </c>
      <c r="AV147" s="23">
        <f>EXP(-LN(2)/25)*AV146+(1-EXP(-LN(2)/25))/(LN(2)/25)*Calculateur!AQ147*Calculateur!AS147*VLOOKUP('Données projet'!$B$10,Paramètres!$A$1:$I$89,3,0)*0.475*44/12</f>
        <v>0.4146105912267985</v>
      </c>
      <c r="AW147" s="23">
        <f>EXP(-LN(2)/2)*AW146+(1-EXP(-LN(2)/2))/(LN(2)/2)*AQ147*AT147*VLOOKUP('Données projet'!$B$10,Paramètres!$A$1:$I$89,3,0)*0.475*44/12</f>
        <v>4.0482455208227985E-17</v>
      </c>
      <c r="AX147" s="23">
        <f t="shared" si="114"/>
        <v>3.0928972971649915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106.31399999999965</v>
      </c>
      <c r="D148" s="12">
        <f t="shared" si="140"/>
        <v>28.460819043331849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1040.3670241941379</v>
      </c>
      <c r="H148" s="70">
        <f t="shared" si="110"/>
        <v>528.06614316713558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5.3205440053716299E-14</v>
      </c>
      <c r="P148" s="14">
        <f t="shared" si="141"/>
        <v>8.602146238565607E-13</v>
      </c>
      <c r="Q148" s="22">
        <f t="shared" si="108"/>
        <v>1.590873277977066E-12</v>
      </c>
      <c r="R148" s="62">
        <f t="shared" si="109"/>
        <v>293.33333333333491</v>
      </c>
      <c r="S148" s="62">
        <f ca="1">AVERAGE(OFFSET($R$3,0,0,'Données projet'!$E$9+1,1))-AVERAGE(OFFSET($H$3,0,0,'Données projet'!$E$9+1,1))</f>
        <v>145.91567711893987</v>
      </c>
      <c r="T148" s="62">
        <f t="shared" si="142"/>
        <v>136.44398554363522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2.8421709430404007E-14</v>
      </c>
      <c r="AJ148" s="14">
        <f>AI148*VLOOKUP('Données projet'!$B$10,Paramètres!$A$1:$I$89,3,0)*VLOOKUP('Données projet'!$B$10,Paramètres!$A$1:$I$89,5,0)</f>
        <v>2.4829205358400945E-14</v>
      </c>
      <c r="AK148" s="14">
        <f t="shared" si="143"/>
        <v>4.3867331143352915E-13</v>
      </c>
      <c r="AL148" s="22">
        <f t="shared" si="112"/>
        <v>8.0726688341261168E-13</v>
      </c>
      <c r="AM148" s="62">
        <f t="shared" si="113"/>
        <v>293.33333333333411</v>
      </c>
      <c r="AN148" s="62">
        <f ca="1">AVERAGE(OFFSET($AM$3,0,0,'Données projet'!$E$10+1,1))-AVERAGE(OFFSET($H$3,0,0,'Données projet'!$E$10+1,1))</f>
        <v>222.48114295382305</v>
      </c>
      <c r="AO148" s="62">
        <f t="shared" si="144"/>
        <v>261.55066338953611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2.625767137228332</v>
      </c>
      <c r="AV148" s="23">
        <f>EXP(-LN(2)/25)*AV147+(1-EXP(-LN(2)/25))/(LN(2)/25)*Calculateur!AQ148*Calculateur!AS148*VLOOKUP('Données projet'!$B$10,Paramètres!$A$1:$I$89,3,0)*0.475*44/12</f>
        <v>0.40327304280627829</v>
      </c>
      <c r="AW148" s="23">
        <f>EXP(-LN(2)/2)*AW147+(1-EXP(-LN(2)/2))/(LN(2)/2)*AQ148*AT148*VLOOKUP('Données projet'!$B$10,Paramètres!$A$1:$I$89,3,0)*0.475*44/12</f>
        <v>2.8625418596818677E-17</v>
      </c>
      <c r="AX148" s="23">
        <f t="shared" si="114"/>
        <v>3.0290401800346105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107.04719999999965</v>
      </c>
      <c r="D149" s="12">
        <f t="shared" si="140"/>
        <v>28.634183951187829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1047.3650690968859</v>
      </c>
      <c r="H149" s="70">
        <f t="shared" si="110"/>
        <v>529.64507704831817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5.3205440053716299E-14</v>
      </c>
      <c r="P149" s="14">
        <f t="shared" si="141"/>
        <v>8.602146238565607E-13</v>
      </c>
      <c r="Q149" s="22">
        <f t="shared" si="108"/>
        <v>1.590873277977066E-12</v>
      </c>
      <c r="R149" s="62">
        <f t="shared" si="109"/>
        <v>293.33333333333491</v>
      </c>
      <c r="S149" s="62">
        <f ca="1">AVERAGE(OFFSET($R$3,0,0,'Données projet'!$E$9+1,1))-AVERAGE(OFFSET($H$3,0,0,'Données projet'!$E$9+1,1))</f>
        <v>145.91567711893987</v>
      </c>
      <c r="T149" s="62">
        <f t="shared" si="142"/>
        <v>136.44398554363522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2.8421709430404007E-14</v>
      </c>
      <c r="AJ149" s="14">
        <f>AI149*VLOOKUP('Données projet'!$B$10,Paramètres!$A$1:$I$89,3,0)*VLOOKUP('Données projet'!$B$10,Paramètres!$A$1:$I$89,5,0)</f>
        <v>2.4829205358400945E-14</v>
      </c>
      <c r="AK149" s="14">
        <f t="shared" si="143"/>
        <v>4.3867331143352915E-13</v>
      </c>
      <c r="AL149" s="22">
        <f t="shared" si="112"/>
        <v>8.0726688341261168E-13</v>
      </c>
      <c r="AM149" s="62">
        <f t="shared" si="113"/>
        <v>293.33333333333411</v>
      </c>
      <c r="AN149" s="62">
        <f ca="1">AVERAGE(OFFSET($AM$3,0,0,'Données projet'!$E$10+1,1))-AVERAGE(OFFSET($H$3,0,0,'Données projet'!$E$10+1,1))</f>
        <v>222.48114295382305</v>
      </c>
      <c r="AO149" s="62">
        <f t="shared" si="144"/>
        <v>261.55066338953611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2.5742774452270973</v>
      </c>
      <c r="AV149" s="23">
        <f>EXP(-LN(2)/25)*AV148+(1-EXP(-LN(2)/25))/(LN(2)/25)*Calculateur!AQ149*Calculateur!AS149*VLOOKUP('Données projet'!$B$10,Paramètres!$A$1:$I$89,3,0)*0.475*44/12</f>
        <v>0.39224552024353299</v>
      </c>
      <c r="AW149" s="23">
        <f>EXP(-LN(2)/2)*AW148+(1-EXP(-LN(2)/2))/(LN(2)/2)*AQ149*AT149*VLOOKUP('Données projet'!$B$10,Paramètres!$A$1:$I$89,3,0)*0.475*44/12</f>
        <v>2.0241227604113993E-17</v>
      </c>
      <c r="AX149" s="23">
        <f t="shared" si="114"/>
        <v>2.9665229654706304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107.78039999999964</v>
      </c>
      <c r="D150" s="12">
        <f t="shared" si="140"/>
        <v>28.807410696029962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1054.3620474781235</v>
      </c>
      <c r="H150" s="70">
        <f t="shared" si="110"/>
        <v>531.22377029558493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5.3205440053716299E-14</v>
      </c>
      <c r="P150" s="14">
        <f t="shared" si="141"/>
        <v>8.602146238565607E-13</v>
      </c>
      <c r="Q150" s="22">
        <f t="shared" si="108"/>
        <v>1.590873277977066E-12</v>
      </c>
      <c r="R150" s="62">
        <f t="shared" si="109"/>
        <v>293.33333333333491</v>
      </c>
      <c r="S150" s="62">
        <f ca="1">AVERAGE(OFFSET($R$3,0,0,'Données projet'!$E$9+1,1))-AVERAGE(OFFSET($H$3,0,0,'Données projet'!$E$9+1,1))</f>
        <v>145.91567711893987</v>
      </c>
      <c r="T150" s="62">
        <f t="shared" si="142"/>
        <v>136.44398554363522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2.8421709430404007E-14</v>
      </c>
      <c r="AJ150" s="14">
        <f>AI150*VLOOKUP('Données projet'!$B$10,Paramètres!$A$1:$I$89,3,0)*VLOOKUP('Données projet'!$B$10,Paramètres!$A$1:$I$89,5,0)</f>
        <v>2.4829205358400945E-14</v>
      </c>
      <c r="AK150" s="14">
        <f t="shared" si="143"/>
        <v>4.3867331143352915E-13</v>
      </c>
      <c r="AL150" s="22">
        <f t="shared" si="112"/>
        <v>8.0726688341261168E-13</v>
      </c>
      <c r="AM150" s="62">
        <f t="shared" si="113"/>
        <v>293.33333333333411</v>
      </c>
      <c r="AN150" s="62">
        <f ca="1">AVERAGE(OFFSET($AM$3,0,0,'Données projet'!$E$10+1,1))-AVERAGE(OFFSET($H$3,0,0,'Données projet'!$E$10+1,1))</f>
        <v>222.48114295382305</v>
      </c>
      <c r="AO150" s="62">
        <f t="shared" si="144"/>
        <v>261.55066338953611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2.5237974346803957</v>
      </c>
      <c r="AV150" s="23">
        <f>EXP(-LN(2)/25)*AV149+(1-EXP(-LN(2)/25))/(LN(2)/25)*Calculateur!AQ150*Calculateur!AS150*VLOOKUP('Données projet'!$B$10,Paramètres!$A$1:$I$89,3,0)*0.475*44/12</f>
        <v>0.38151954586517817</v>
      </c>
      <c r="AW150" s="23">
        <f>EXP(-LN(2)/2)*AW149+(1-EXP(-LN(2)/2))/(LN(2)/2)*AQ150*AT150*VLOOKUP('Données projet'!$B$10,Paramètres!$A$1:$I$89,3,0)*0.475*44/12</f>
        <v>1.4312709298409338E-17</v>
      </c>
      <c r="AX150" s="23">
        <f t="shared" si="114"/>
        <v>2.9053169805455741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108.51359999999964</v>
      </c>
      <c r="D151" s="12">
        <f t="shared" si="140"/>
        <v>28.980500326746164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1061.357967434529</v>
      </c>
      <c r="H151" s="70">
        <f t="shared" si="110"/>
        <v>532.80222473574895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5.3205440053716299E-14</v>
      </c>
      <c r="P151" s="14">
        <f t="shared" si="141"/>
        <v>8.602146238565607E-13</v>
      </c>
      <c r="Q151" s="22">
        <f t="shared" si="108"/>
        <v>1.590873277977066E-12</v>
      </c>
      <c r="R151" s="62">
        <f t="shared" si="109"/>
        <v>293.33333333333491</v>
      </c>
      <c r="S151" s="62">
        <f ca="1">AVERAGE(OFFSET($R$3,0,0,'Données projet'!$E$9+1,1))-AVERAGE(OFFSET($H$3,0,0,'Données projet'!$E$9+1,1))</f>
        <v>145.91567711893987</v>
      </c>
      <c r="T151" s="62">
        <f t="shared" si="142"/>
        <v>136.44398554363522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2.8421709430404007E-14</v>
      </c>
      <c r="AJ151" s="14">
        <f>AI151*VLOOKUP('Données projet'!$B$10,Paramètres!$A$1:$I$89,3,0)*VLOOKUP('Données projet'!$B$10,Paramètres!$A$1:$I$89,5,0)</f>
        <v>2.4829205358400945E-14</v>
      </c>
      <c r="AK151" s="14">
        <f t="shared" si="143"/>
        <v>4.3867331143352915E-13</v>
      </c>
      <c r="AL151" s="22">
        <f t="shared" si="112"/>
        <v>8.0726688341261168E-13</v>
      </c>
      <c r="AM151" s="62">
        <f t="shared" si="113"/>
        <v>293.33333333333411</v>
      </c>
      <c r="AN151" s="62">
        <f ca="1">AVERAGE(OFFSET($AM$3,0,0,'Données projet'!$E$10+1,1))-AVERAGE(OFFSET($H$3,0,0,'Données projet'!$E$10+1,1))</f>
        <v>222.48114295382305</v>
      </c>
      <c r="AO151" s="62">
        <f t="shared" si="144"/>
        <v>261.55066338953611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2.4743073063507488</v>
      </c>
      <c r="AV151" s="23">
        <f>EXP(-LN(2)/25)*AV150+(1-EXP(-LN(2)/25))/(LN(2)/25)*Calculateur!AQ151*Calculateur!AS151*VLOOKUP('Données projet'!$B$10,Paramètres!$A$1:$I$89,3,0)*0.475*44/12</f>
        <v>0.3710868738202539</v>
      </c>
      <c r="AW151" s="23">
        <f>EXP(-LN(2)/2)*AW150+(1-EXP(-LN(2)/2))/(LN(2)/2)*AQ151*AT151*VLOOKUP('Données projet'!$B$10,Paramètres!$A$1:$I$89,3,0)*0.475*44/12</f>
        <v>1.0120613802056996E-17</v>
      </c>
      <c r="AX151" s="23">
        <f t="shared" si="114"/>
        <v>2.8453941801710028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109.24679999999964</v>
      </c>
      <c r="D152" s="12">
        <f t="shared" si="140"/>
        <v>29.153453877230778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1068.3528369470421</v>
      </c>
      <c r="H152" s="70">
        <f t="shared" si="110"/>
        <v>534.38044216950959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5.3205440053716299E-14</v>
      </c>
      <c r="P152" s="14">
        <f t="shared" si="141"/>
        <v>8.602146238565607E-13</v>
      </c>
      <c r="Q152" s="22">
        <f t="shared" si="108"/>
        <v>1.590873277977066E-12</v>
      </c>
      <c r="R152" s="62">
        <f t="shared" si="109"/>
        <v>293.33333333333491</v>
      </c>
      <c r="S152" s="62">
        <f ca="1">AVERAGE(OFFSET($R$3,0,0,'Données projet'!$E$9+1,1))-AVERAGE(OFFSET($H$3,0,0,'Données projet'!$E$9+1,1))</f>
        <v>145.91567711893987</v>
      </c>
      <c r="T152" s="62">
        <f t="shared" si="142"/>
        <v>136.44398554363522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2.8421709430404007E-14</v>
      </c>
      <c r="AJ152" s="14">
        <f>AI152*VLOOKUP('Données projet'!$B$10,Paramètres!$A$1:$I$89,3,0)*VLOOKUP('Données projet'!$B$10,Paramètres!$A$1:$I$89,5,0)</f>
        <v>2.4829205358400945E-14</v>
      </c>
      <c r="AK152" s="14">
        <f t="shared" si="143"/>
        <v>4.3867331143352915E-13</v>
      </c>
      <c r="AL152" s="22">
        <f t="shared" si="112"/>
        <v>8.0726688341261168E-13</v>
      </c>
      <c r="AM152" s="62">
        <f t="shared" si="113"/>
        <v>293.33333333333411</v>
      </c>
      <c r="AN152" s="62">
        <f ca="1">AVERAGE(OFFSET($AM$3,0,0,'Données projet'!$E$10+1,1))-AVERAGE(OFFSET($H$3,0,0,'Données projet'!$E$10+1,1))</f>
        <v>222.48114295382305</v>
      </c>
      <c r="AO152" s="62">
        <f t="shared" si="144"/>
        <v>261.55066338953611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2.4257876492516486</v>
      </c>
      <c r="AV152" s="23">
        <f>EXP(-LN(2)/25)*AV151+(1-EXP(-LN(2)/25))/(LN(2)/25)*Calculateur!AQ152*Calculateur!AS152*VLOOKUP('Données projet'!$B$10,Paramètres!$A$1:$I$89,3,0)*0.475*44/12</f>
        <v>0.36093948374102852</v>
      </c>
      <c r="AW152" s="23">
        <f>EXP(-LN(2)/2)*AW151+(1-EXP(-LN(2)/2))/(LN(2)/2)*AQ152*AT152*VLOOKUP('Données projet'!$B$10,Paramètres!$A$1:$I$89,3,0)*0.475*44/12</f>
        <v>7.1563546492046691E-18</v>
      </c>
      <c r="AX152" s="23">
        <f t="shared" si="114"/>
        <v>2.7867271329926773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109.97999999999963</v>
      </c>
      <c r="D153" s="12">
        <f t="shared" si="140"/>
        <v>29.326272366698181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1075.3466638832815</v>
      </c>
      <c r="H153" s="70">
        <f t="shared" si="110"/>
        <v>535.95842437199872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5.3205440053716299E-14</v>
      </c>
      <c r="P153" s="14">
        <f t="shared" si="141"/>
        <v>8.602146238565607E-13</v>
      </c>
      <c r="Q153" s="22">
        <f t="shared" si="108"/>
        <v>1.590873277977066E-12</v>
      </c>
      <c r="R153" s="62">
        <f t="shared" si="109"/>
        <v>293.33333333333491</v>
      </c>
      <c r="S153" s="62">
        <f ca="1">AVERAGE(OFFSET($R$3,0,0,'Données projet'!$E$9+1,1))-AVERAGE(OFFSET($H$3,0,0,'Données projet'!$E$9+1,1))</f>
        <v>145.91567711893987</v>
      </c>
      <c r="T153" s="62">
        <f t="shared" si="142"/>
        <v>136.44398554363522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2.8421709430404007E-14</v>
      </c>
      <c r="AJ153" s="14">
        <f>AI153*VLOOKUP('Données projet'!$B$10,Paramètres!$A$1:$I$89,3,0)*VLOOKUP('Données projet'!$B$10,Paramètres!$A$1:$I$89,5,0)</f>
        <v>2.4829205358400945E-14</v>
      </c>
      <c r="AK153" s="14">
        <f t="shared" si="143"/>
        <v>4.3867331143352915E-13</v>
      </c>
      <c r="AL153" s="22">
        <f t="shared" si="112"/>
        <v>8.0726688341261168E-13</v>
      </c>
      <c r="AM153" s="62">
        <f t="shared" si="113"/>
        <v>293.33333333333411</v>
      </c>
      <c r="AN153" s="62">
        <f ca="1">AVERAGE(OFFSET($AM$3,0,0,'Données projet'!$E$10+1,1))-AVERAGE(OFFSET($H$3,0,0,'Données projet'!$E$10+1,1))</f>
        <v>222.48114295382305</v>
      </c>
      <c r="AO153" s="62">
        <f t="shared" si="144"/>
        <v>261.55066338953611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2.378219433034193</v>
      </c>
      <c r="AV153" s="23">
        <f>EXP(-LN(2)/25)*AV152+(1-EXP(-LN(2)/25))/(LN(2)/25)*Calculateur!AQ153*Calculateur!AS153*VLOOKUP('Données projet'!$B$10,Paramètres!$A$1:$I$89,3,0)*0.475*44/12</f>
        <v>0.3510695745771476</v>
      </c>
      <c r="AW153" s="23">
        <f>EXP(-LN(2)/2)*AW152+(1-EXP(-LN(2)/2))/(LN(2)/2)*AQ153*AT153*VLOOKUP('Données projet'!$B$10,Paramètres!$A$1:$I$89,3,0)*0.475*44/12</f>
        <v>5.0603069010284982E-18</v>
      </c>
      <c r="AX153" s="23">
        <f t="shared" si="114"/>
        <v>2.7292890076113405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110.71319999999963</v>
      </c>
      <c r="D154" s="12">
        <f t="shared" si="140"/>
        <v>29.498956799987411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1082.3394559998999</v>
      </c>
      <c r="H154" s="70">
        <f t="shared" si="110"/>
        <v>537.53617309331071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5.3205440053716299E-14</v>
      </c>
      <c r="P154" s="14">
        <f t="shared" si="141"/>
        <v>8.602146238565607E-13</v>
      </c>
      <c r="Q154" s="22">
        <f t="shared" ref="Q154:Q203" si="162">(O154+P154)*0.475*44/12</f>
        <v>1.590873277977066E-12</v>
      </c>
      <c r="R154" s="62">
        <f t="shared" si="109"/>
        <v>293.33333333333491</v>
      </c>
      <c r="S154" s="62">
        <f ca="1">AVERAGE(OFFSET($R$3,0,0,'Données projet'!$E$9+1,1))-AVERAGE(OFFSET($H$3,0,0,'Données projet'!$E$9+1,1))</f>
        <v>145.91567711893987</v>
      </c>
      <c r="T154" s="62">
        <f t="shared" si="142"/>
        <v>136.44398554363522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2.8421709430404007E-14</v>
      </c>
      <c r="AJ154" s="14">
        <f>AI154*VLOOKUP('Données projet'!$B$10,Paramètres!$A$1:$I$89,3,0)*VLOOKUP('Données projet'!$B$10,Paramètres!$A$1:$I$89,5,0)</f>
        <v>2.4829205358400945E-14</v>
      </c>
      <c r="AK154" s="14">
        <f t="shared" ref="AK154:AK203" si="164">EXP(-1.0587+0.8836*LN(AJ154)+0.284)</f>
        <v>4.3867331143352915E-13</v>
      </c>
      <c r="AL154" s="22">
        <f t="shared" ref="AL154:AL203" si="165">(AJ154+AK154)*0.475*44/12</f>
        <v>8.0726688341261168E-13</v>
      </c>
      <c r="AM154" s="62">
        <f t="shared" si="113"/>
        <v>293.33333333333411</v>
      </c>
      <c r="AN154" s="62">
        <f ca="1">AVERAGE(OFFSET($AM$3,0,0,'Données projet'!$E$10+1,1))-AVERAGE(OFFSET($H$3,0,0,'Données projet'!$E$10+1,1))</f>
        <v>222.48114295382305</v>
      </c>
      <c r="AO154" s="62">
        <f t="shared" si="144"/>
        <v>261.55066338953611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2.3315840005230148</v>
      </c>
      <c r="AV154" s="23">
        <f>EXP(-LN(2)/25)*AV153+(1-EXP(-LN(2)/25))/(LN(2)/25)*Calculateur!AQ154*Calculateur!AS154*VLOOKUP('Données projet'!$B$10,Paramètres!$A$1:$I$89,3,0)*0.475*44/12</f>
        <v>0.34146955859838896</v>
      </c>
      <c r="AW154" s="23">
        <f>EXP(-LN(2)/2)*AW153+(1-EXP(-LN(2)/2))/(LN(2)/2)*AQ154*AT154*VLOOKUP('Données projet'!$B$10,Paramètres!$A$1:$I$89,3,0)*0.475*44/12</f>
        <v>3.5781773246023346E-18</v>
      </c>
      <c r="AX154" s="23">
        <f t="shared" ref="AX154:AX203" si="166">SUM(AU154:AW154)</f>
        <v>2.6730535591214037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111.44639999999963</v>
      </c>
      <c r="D155" s="12">
        <f t="shared" si="140"/>
        <v>29.671508167859105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1089.3312209448743</v>
      </c>
      <c r="H155" s="70">
        <f t="shared" si="110"/>
        <v>539.11369005902054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5.3205440053716299E-14</v>
      </c>
      <c r="P155" s="14">
        <f t="shared" si="141"/>
        <v>8.602146238565607E-13</v>
      </c>
      <c r="Q155" s="22">
        <f t="shared" si="162"/>
        <v>1.590873277977066E-12</v>
      </c>
      <c r="R155" s="62">
        <f t="shared" si="109"/>
        <v>293.33333333333491</v>
      </c>
      <c r="S155" s="62">
        <f ca="1">AVERAGE(OFFSET($R$3,0,0,'Données projet'!$E$9+1,1))-AVERAGE(OFFSET($H$3,0,0,'Données projet'!$E$9+1,1))</f>
        <v>145.91567711893987</v>
      </c>
      <c r="T155" s="62">
        <f t="shared" si="142"/>
        <v>136.44398554363522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2.8421709430404007E-14</v>
      </c>
      <c r="AJ155" s="14">
        <f>AI155*VLOOKUP('Données projet'!$B$10,Paramètres!$A$1:$I$89,3,0)*VLOOKUP('Données projet'!$B$10,Paramètres!$A$1:$I$89,5,0)</f>
        <v>2.4829205358400945E-14</v>
      </c>
      <c r="AK155" s="14">
        <f t="shared" si="164"/>
        <v>4.3867331143352915E-13</v>
      </c>
      <c r="AL155" s="22">
        <f t="shared" si="165"/>
        <v>8.0726688341261168E-13</v>
      </c>
      <c r="AM155" s="62">
        <f t="shared" si="113"/>
        <v>293.33333333333411</v>
      </c>
      <c r="AN155" s="62">
        <f ca="1">AVERAGE(OFFSET($AM$3,0,0,'Données projet'!$E$10+1,1))-AVERAGE(OFFSET($H$3,0,0,'Données projet'!$E$10+1,1))</f>
        <v>222.48114295382305</v>
      </c>
      <c r="AO155" s="62">
        <f t="shared" si="144"/>
        <v>261.55066338953611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2.2858630603985755</v>
      </c>
      <c r="AV155" s="23">
        <f>EXP(-LN(2)/25)*AV154+(1-EXP(-LN(2)/25))/(LN(2)/25)*Calculateur!AQ155*Calculateur!AS155*VLOOKUP('Données projet'!$B$10,Paramètres!$A$1:$I$89,3,0)*0.475*44/12</f>
        <v>0.33213205556141234</v>
      </c>
      <c r="AW155" s="23">
        <f>EXP(-LN(2)/2)*AW154+(1-EXP(-LN(2)/2))/(LN(2)/2)*AQ155*AT155*VLOOKUP('Données projet'!$B$10,Paramètres!$A$1:$I$89,3,0)*0.475*44/12</f>
        <v>2.5301534505142491E-18</v>
      </c>
      <c r="AX155" s="23">
        <f t="shared" si="166"/>
        <v>2.6179951159599879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112.17959999999962</v>
      </c>
      <c r="D156" s="12">
        <f t="shared" si="140"/>
        <v>29.843927447283722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1096.3219662597312</v>
      </c>
      <c r="H156" s="70">
        <f t="shared" si="110"/>
        <v>540.69097697068514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5.3205440053716299E-14</v>
      </c>
      <c r="P156" s="14">
        <f t="shared" si="141"/>
        <v>8.602146238565607E-13</v>
      </c>
      <c r="Q156" s="22">
        <f t="shared" si="162"/>
        <v>1.590873277977066E-12</v>
      </c>
      <c r="R156" s="62">
        <f t="shared" si="109"/>
        <v>293.33333333333491</v>
      </c>
      <c r="S156" s="62">
        <f ca="1">AVERAGE(OFFSET($R$3,0,0,'Données projet'!$E$9+1,1))-AVERAGE(OFFSET($H$3,0,0,'Données projet'!$E$9+1,1))</f>
        <v>145.91567711893987</v>
      </c>
      <c r="T156" s="62">
        <f t="shared" si="142"/>
        <v>136.44398554363522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2.8421709430404007E-14</v>
      </c>
      <c r="AJ156" s="14">
        <f>AI156*VLOOKUP('Données projet'!$B$10,Paramètres!$A$1:$I$89,3,0)*VLOOKUP('Données projet'!$B$10,Paramètres!$A$1:$I$89,5,0)</f>
        <v>2.4829205358400945E-14</v>
      </c>
      <c r="AK156" s="14">
        <f t="shared" si="164"/>
        <v>4.3867331143352915E-13</v>
      </c>
      <c r="AL156" s="22">
        <f t="shared" si="165"/>
        <v>8.0726688341261168E-13</v>
      </c>
      <c r="AM156" s="62">
        <f t="shared" si="113"/>
        <v>293.33333333333411</v>
      </c>
      <c r="AN156" s="62">
        <f ca="1">AVERAGE(OFFSET($AM$3,0,0,'Données projet'!$E$10+1,1))-AVERAGE(OFFSET($H$3,0,0,'Données projet'!$E$10+1,1))</f>
        <v>222.48114295382305</v>
      </c>
      <c r="AO156" s="62">
        <f t="shared" si="144"/>
        <v>261.55066338953611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2.2410386800229567</v>
      </c>
      <c r="AV156" s="23">
        <f>EXP(-LN(2)/25)*AV155+(1-EXP(-LN(2)/25))/(LN(2)/25)*Calculateur!AQ156*Calculateur!AS156*VLOOKUP('Données projet'!$B$10,Paramètres!$A$1:$I$89,3,0)*0.475*44/12</f>
        <v>0.32304988703601983</v>
      </c>
      <c r="AW156" s="23">
        <f>EXP(-LN(2)/2)*AW155+(1-EXP(-LN(2)/2))/(LN(2)/2)*AQ156*AT156*VLOOKUP('Données projet'!$B$10,Paramètres!$A$1:$I$89,3,0)*0.475*44/12</f>
        <v>1.7890886623011673E-18</v>
      </c>
      <c r="AX156" s="23">
        <f t="shared" si="166"/>
        <v>2.5640885670589766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112.91279999999962</v>
      </c>
      <c r="D157" s="12">
        <f t="shared" si="140"/>
        <v>30.016215601722468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1103.3116993817143</v>
      </c>
      <c r="H157" s="70">
        <f t="shared" si="110"/>
        <v>542.26803550633258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5.3205440053716299E-14</v>
      </c>
      <c r="P157" s="14">
        <f t="shared" si="141"/>
        <v>8.602146238565607E-13</v>
      </c>
      <c r="Q157" s="22">
        <f t="shared" si="162"/>
        <v>1.590873277977066E-12</v>
      </c>
      <c r="R157" s="62">
        <f t="shared" si="109"/>
        <v>293.33333333333491</v>
      </c>
      <c r="S157" s="62">
        <f ca="1">AVERAGE(OFFSET($R$3,0,0,'Données projet'!$E$9+1,1))-AVERAGE(OFFSET($H$3,0,0,'Données projet'!$E$9+1,1))</f>
        <v>145.91567711893987</v>
      </c>
      <c r="T157" s="62">
        <f t="shared" si="142"/>
        <v>136.44398554363522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2.8421709430404007E-14</v>
      </c>
      <c r="AJ157" s="14">
        <f>AI157*VLOOKUP('Données projet'!$B$10,Paramètres!$A$1:$I$89,3,0)*VLOOKUP('Données projet'!$B$10,Paramètres!$A$1:$I$89,5,0)</f>
        <v>2.4829205358400945E-14</v>
      </c>
      <c r="AK157" s="14">
        <f t="shared" si="164"/>
        <v>4.3867331143352915E-13</v>
      </c>
      <c r="AL157" s="22">
        <f t="shared" si="165"/>
        <v>8.0726688341261168E-13</v>
      </c>
      <c r="AM157" s="62">
        <f t="shared" si="113"/>
        <v>293.33333333333411</v>
      </c>
      <c r="AN157" s="62">
        <f ca="1">AVERAGE(OFFSET($AM$3,0,0,'Données projet'!$E$10+1,1))-AVERAGE(OFFSET($H$3,0,0,'Données projet'!$E$10+1,1))</f>
        <v>222.48114295382305</v>
      </c>
      <c r="AO157" s="62">
        <f t="shared" si="144"/>
        <v>261.55066338953611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2.1970932784063315</v>
      </c>
      <c r="AV157" s="23">
        <f>EXP(-LN(2)/25)*AV156+(1-EXP(-LN(2)/25))/(LN(2)/25)*Calculateur!AQ157*Calculateur!AS157*VLOOKUP('Données projet'!$B$10,Paramètres!$A$1:$I$89,3,0)*0.475*44/12</f>
        <v>0.31421607088656467</v>
      </c>
      <c r="AW157" s="23">
        <f>EXP(-LN(2)/2)*AW156+(1-EXP(-LN(2)/2))/(LN(2)/2)*AQ157*AT157*VLOOKUP('Données projet'!$B$10,Paramètres!$A$1:$I$89,3,0)*0.475*44/12</f>
        <v>1.2650767252571245E-18</v>
      </c>
      <c r="AX157" s="23">
        <f t="shared" si="166"/>
        <v>2.5113093492928962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113.64599999999962</v>
      </c>
      <c r="D158" s="12">
        <f t="shared" si="140"/>
        <v>30.188373581400619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1110.3004276458964</v>
      </c>
      <c r="H158" s="70">
        <f t="shared" si="110"/>
        <v>543.84486732093865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5.3205440053716299E-14</v>
      </c>
      <c r="P158" s="14">
        <f t="shared" si="141"/>
        <v>8.602146238565607E-13</v>
      </c>
      <c r="Q158" s="22">
        <f t="shared" si="162"/>
        <v>1.590873277977066E-12</v>
      </c>
      <c r="R158" s="62">
        <f t="shared" si="109"/>
        <v>293.33333333333491</v>
      </c>
      <c r="S158" s="62">
        <f ca="1">AVERAGE(OFFSET($R$3,0,0,'Données projet'!$E$9+1,1))-AVERAGE(OFFSET($H$3,0,0,'Données projet'!$E$9+1,1))</f>
        <v>145.91567711893987</v>
      </c>
      <c r="T158" s="62">
        <f t="shared" si="142"/>
        <v>136.44398554363522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2.8421709430404007E-14</v>
      </c>
      <c r="AJ158" s="14">
        <f>AI158*VLOOKUP('Données projet'!$B$10,Paramètres!$A$1:$I$89,3,0)*VLOOKUP('Données projet'!$B$10,Paramètres!$A$1:$I$89,5,0)</f>
        <v>2.4829205358400945E-14</v>
      </c>
      <c r="AK158" s="14">
        <f t="shared" si="164"/>
        <v>4.3867331143352915E-13</v>
      </c>
      <c r="AL158" s="22">
        <f t="shared" si="165"/>
        <v>8.0726688341261168E-13</v>
      </c>
      <c r="AM158" s="62">
        <f t="shared" si="113"/>
        <v>293.33333333333411</v>
      </c>
      <c r="AN158" s="62">
        <f ca="1">AVERAGE(OFFSET($AM$3,0,0,'Données projet'!$E$10+1,1))-AVERAGE(OFFSET($H$3,0,0,'Données projet'!$E$10+1,1))</f>
        <v>222.48114295382305</v>
      </c>
      <c r="AO158" s="62">
        <f t="shared" si="144"/>
        <v>261.55066338953611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2.1540096193113598</v>
      </c>
      <c r="AV158" s="23">
        <f>EXP(-LN(2)/25)*AV157+(1-EXP(-LN(2)/25))/(LN(2)/25)*Calculateur!AQ158*Calculateur!AS158*VLOOKUP('Données projet'!$B$10,Paramètres!$A$1:$I$89,3,0)*0.475*44/12</f>
        <v>0.30562381590426652</v>
      </c>
      <c r="AW158" s="23">
        <f>EXP(-LN(2)/2)*AW157+(1-EXP(-LN(2)/2))/(LN(2)/2)*AQ158*AT158*VLOOKUP('Données projet'!$B$10,Paramètres!$A$1:$I$89,3,0)*0.475*44/12</f>
        <v>8.9454433115058364E-19</v>
      </c>
      <c r="AX158" s="23">
        <f t="shared" si="166"/>
        <v>2.4596334352156264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114.37919999999961</v>
      </c>
      <c r="D159" s="12">
        <f t="shared" si="140"/>
        <v>30.360402323573442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1117.2881582872308</v>
      </c>
      <c r="H159" s="70">
        <f t="shared" si="110"/>
        <v>545.42147404688967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5.3205440053716299E-14</v>
      </c>
      <c r="P159" s="14">
        <f t="shared" si="141"/>
        <v>8.602146238565607E-13</v>
      </c>
      <c r="Q159" s="22">
        <f t="shared" si="162"/>
        <v>1.590873277977066E-12</v>
      </c>
      <c r="R159" s="62">
        <f t="shared" si="109"/>
        <v>293.33333333333491</v>
      </c>
      <c r="S159" s="62">
        <f ca="1">AVERAGE(OFFSET($R$3,0,0,'Données projet'!$E$9+1,1))-AVERAGE(OFFSET($H$3,0,0,'Données projet'!$E$9+1,1))</f>
        <v>145.91567711893987</v>
      </c>
      <c r="T159" s="62">
        <f t="shared" si="142"/>
        <v>136.44398554363522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2.8421709430404007E-14</v>
      </c>
      <c r="AJ159" s="14">
        <f>AI159*VLOOKUP('Données projet'!$B$10,Paramètres!$A$1:$I$89,3,0)*VLOOKUP('Données projet'!$B$10,Paramètres!$A$1:$I$89,5,0)</f>
        <v>2.4829205358400945E-14</v>
      </c>
      <c r="AK159" s="14">
        <f t="shared" si="164"/>
        <v>4.3867331143352915E-13</v>
      </c>
      <c r="AL159" s="22">
        <f t="shared" si="165"/>
        <v>8.0726688341261168E-13</v>
      </c>
      <c r="AM159" s="62">
        <f t="shared" si="113"/>
        <v>293.33333333333411</v>
      </c>
      <c r="AN159" s="62">
        <f ca="1">AVERAGE(OFFSET($AM$3,0,0,'Données projet'!$E$10+1,1))-AVERAGE(OFFSET($H$3,0,0,'Données projet'!$E$10+1,1))</f>
        <v>222.48114295382305</v>
      </c>
      <c r="AO159" s="62">
        <f t="shared" si="144"/>
        <v>261.55066338953611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2.1117708044928034</v>
      </c>
      <c r="AV159" s="23">
        <f>EXP(-LN(2)/25)*AV158+(1-EXP(-LN(2)/25))/(LN(2)/25)*Calculateur!AQ159*Calculateur!AS159*VLOOKUP('Données projet'!$B$10,Paramètres!$A$1:$I$89,3,0)*0.475*44/12</f>
        <v>0.29726651658630637</v>
      </c>
      <c r="AW159" s="23">
        <f>EXP(-LN(2)/2)*AW158+(1-EXP(-LN(2)/2))/(LN(2)/2)*AQ159*AT159*VLOOKUP('Données projet'!$B$10,Paramètres!$A$1:$I$89,3,0)*0.475*44/12</f>
        <v>6.3253836262856227E-19</v>
      </c>
      <c r="AX159" s="23">
        <f t="shared" si="166"/>
        <v>2.4090373210791096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115.11239999999961</v>
      </c>
      <c r="D160" s="12">
        <f t="shared" si="140"/>
        <v>30.532302752785306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1124.2748984425502</v>
      </c>
      <c r="H160" s="70">
        <f t="shared" si="110"/>
        <v>546.99785729443374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5.3205440053716299E-14</v>
      </c>
      <c r="P160" s="14">
        <f t="shared" si="141"/>
        <v>8.602146238565607E-13</v>
      </c>
      <c r="Q160" s="22">
        <f t="shared" si="162"/>
        <v>1.590873277977066E-12</v>
      </c>
      <c r="R160" s="62">
        <f t="shared" si="109"/>
        <v>293.33333333333491</v>
      </c>
      <c r="S160" s="62">
        <f ca="1">AVERAGE(OFFSET($R$3,0,0,'Données projet'!$E$9+1,1))-AVERAGE(OFFSET($H$3,0,0,'Données projet'!$E$9+1,1))</f>
        <v>145.91567711893987</v>
      </c>
      <c r="T160" s="62">
        <f t="shared" si="142"/>
        <v>136.44398554363522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2.8421709430404007E-14</v>
      </c>
      <c r="AJ160" s="14">
        <f>AI160*VLOOKUP('Données projet'!$B$10,Paramètres!$A$1:$I$89,3,0)*VLOOKUP('Données projet'!$B$10,Paramètres!$A$1:$I$89,5,0)</f>
        <v>2.4829205358400945E-14</v>
      </c>
      <c r="AK160" s="14">
        <f t="shared" si="164"/>
        <v>4.3867331143352915E-13</v>
      </c>
      <c r="AL160" s="22">
        <f t="shared" si="165"/>
        <v>8.0726688341261168E-13</v>
      </c>
      <c r="AM160" s="62">
        <f t="shared" si="113"/>
        <v>293.33333333333411</v>
      </c>
      <c r="AN160" s="62">
        <f ca="1">AVERAGE(OFFSET($AM$3,0,0,'Données projet'!$E$10+1,1))-AVERAGE(OFFSET($H$3,0,0,'Données projet'!$E$10+1,1))</f>
        <v>222.48114295382305</v>
      </c>
      <c r="AO160" s="62">
        <f t="shared" si="144"/>
        <v>261.55066338953611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2.0703602670697054</v>
      </c>
      <c r="AV160" s="23">
        <f>EXP(-LN(2)/25)*AV159+(1-EXP(-LN(2)/25))/(LN(2)/25)*Calculateur!AQ160*Calculateur!AS160*VLOOKUP('Données projet'!$B$10,Paramètres!$A$1:$I$89,3,0)*0.475*44/12</f>
        <v>0.28913774805768711</v>
      </c>
      <c r="AW160" s="23">
        <f>EXP(-LN(2)/2)*AW159+(1-EXP(-LN(2)/2))/(LN(2)/2)*AQ160*AT160*VLOOKUP('Données projet'!$B$10,Paramètres!$A$1:$I$89,3,0)*0.475*44/12</f>
        <v>4.4727216557529182E-19</v>
      </c>
      <c r="AX160" s="23">
        <f t="shared" si="166"/>
        <v>2.3594980151273925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115.84559999999961</v>
      </c>
      <c r="D161" s="12">
        <f t="shared" si="140"/>
        <v>30.704075781121787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1131.2606551525159</v>
      </c>
      <c r="H161" s="70">
        <f t="shared" si="110"/>
        <v>548.57401865211966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5.3205440053716299E-14</v>
      </c>
      <c r="P161" s="14">
        <f t="shared" si="141"/>
        <v>8.602146238565607E-13</v>
      </c>
      <c r="Q161" s="22">
        <f t="shared" si="162"/>
        <v>1.590873277977066E-12</v>
      </c>
      <c r="R161" s="62">
        <f t="shared" si="109"/>
        <v>293.33333333333491</v>
      </c>
      <c r="S161" s="62">
        <f ca="1">AVERAGE(OFFSET($R$3,0,0,'Données projet'!$E$9+1,1))-AVERAGE(OFFSET($H$3,0,0,'Données projet'!$E$9+1,1))</f>
        <v>145.91567711893987</v>
      </c>
      <c r="T161" s="62">
        <f t="shared" si="142"/>
        <v>136.44398554363522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2.8421709430404007E-14</v>
      </c>
      <c r="AJ161" s="14">
        <f>AI161*VLOOKUP('Données projet'!$B$10,Paramètres!$A$1:$I$89,3,0)*VLOOKUP('Données projet'!$B$10,Paramètres!$A$1:$I$89,5,0)</f>
        <v>2.4829205358400945E-14</v>
      </c>
      <c r="AK161" s="14">
        <f t="shared" si="164"/>
        <v>4.3867331143352915E-13</v>
      </c>
      <c r="AL161" s="22">
        <f t="shared" si="165"/>
        <v>8.0726688341261168E-13</v>
      </c>
      <c r="AM161" s="62">
        <f t="shared" si="113"/>
        <v>293.33333333333411</v>
      </c>
      <c r="AN161" s="62">
        <f ca="1">AVERAGE(OFFSET($AM$3,0,0,'Données projet'!$E$10+1,1))-AVERAGE(OFFSET($H$3,0,0,'Données projet'!$E$10+1,1))</f>
        <v>222.48114295382305</v>
      </c>
      <c r="AO161" s="62">
        <f t="shared" si="144"/>
        <v>261.55066338953611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2.0297617650275406</v>
      </c>
      <c r="AV161" s="23">
        <f>EXP(-LN(2)/25)*AV160+(1-EXP(-LN(2)/25))/(LN(2)/25)*Calculateur!AQ161*Calculateur!AS161*VLOOKUP('Données projet'!$B$10,Paramètres!$A$1:$I$89,3,0)*0.475*44/12</f>
        <v>0.28123126113195629</v>
      </c>
      <c r="AW161" s="23">
        <f>EXP(-LN(2)/2)*AW160+(1-EXP(-LN(2)/2))/(LN(2)/2)*AQ161*AT161*VLOOKUP('Données projet'!$B$10,Paramètres!$A$1:$I$89,3,0)*0.475*44/12</f>
        <v>3.1626918131428114E-19</v>
      </c>
      <c r="AX161" s="23">
        <f t="shared" si="166"/>
        <v>2.3109930261594966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116.5787999999996</v>
      </c>
      <c r="D162" s="12">
        <f t="shared" si="140"/>
        <v>30.875722308455476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1138.2454353635128</v>
      </c>
      <c r="H162" s="70">
        <f t="shared" si="110"/>
        <v>550.14995968722587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5.3205440053716299E-14</v>
      </c>
      <c r="P162" s="14">
        <f t="shared" si="141"/>
        <v>8.602146238565607E-13</v>
      </c>
      <c r="Q162" s="22">
        <f t="shared" si="162"/>
        <v>1.590873277977066E-12</v>
      </c>
      <c r="R162" s="62">
        <f t="shared" si="109"/>
        <v>293.33333333333491</v>
      </c>
      <c r="S162" s="62">
        <f ca="1">AVERAGE(OFFSET($R$3,0,0,'Données projet'!$E$9+1,1))-AVERAGE(OFFSET($H$3,0,0,'Données projet'!$E$9+1,1))</f>
        <v>145.91567711893987</v>
      </c>
      <c r="T162" s="62">
        <f t="shared" si="142"/>
        <v>136.44398554363522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2.8421709430404007E-14</v>
      </c>
      <c r="AJ162" s="14">
        <f>AI162*VLOOKUP('Données projet'!$B$10,Paramètres!$A$1:$I$89,3,0)*VLOOKUP('Données projet'!$B$10,Paramètres!$A$1:$I$89,5,0)</f>
        <v>2.4829205358400945E-14</v>
      </c>
      <c r="AK162" s="14">
        <f t="shared" si="164"/>
        <v>4.3867331143352915E-13</v>
      </c>
      <c r="AL162" s="22">
        <f t="shared" si="165"/>
        <v>8.0726688341261168E-13</v>
      </c>
      <c r="AM162" s="62">
        <f t="shared" si="113"/>
        <v>293.33333333333411</v>
      </c>
      <c r="AN162" s="62">
        <f ca="1">AVERAGE(OFFSET($AM$3,0,0,'Données projet'!$E$10+1,1))-AVERAGE(OFFSET($H$3,0,0,'Données projet'!$E$10+1,1))</f>
        <v>222.48114295382305</v>
      </c>
      <c r="AO162" s="62">
        <f t="shared" si="144"/>
        <v>261.55066338953611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1.9899593748477815</v>
      </c>
      <c r="AV162" s="23">
        <f>EXP(-LN(2)/25)*AV161+(1-EXP(-LN(2)/25))/(LN(2)/25)*Calculateur!AQ162*Calculateur!AS162*VLOOKUP('Données projet'!$B$10,Paramètres!$A$1:$I$89,3,0)*0.475*44/12</f>
        <v>0.27354097750699369</v>
      </c>
      <c r="AW162" s="23">
        <f>EXP(-LN(2)/2)*AW161+(1-EXP(-LN(2)/2))/(LN(2)/2)*AQ162*AT162*VLOOKUP('Données projet'!$B$10,Paramètres!$A$1:$I$89,3,0)*0.475*44/12</f>
        <v>2.2363608278764591E-19</v>
      </c>
      <c r="AX162" s="23">
        <f t="shared" si="166"/>
        <v>2.2635003523547752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117.3119999999996</v>
      </c>
      <c r="D163" s="12">
        <f t="shared" si="140"/>
        <v>31.047243222685147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1145.2292459294963</v>
      </c>
      <c r="H163" s="70">
        <f t="shared" si="110"/>
        <v>551.72568194617588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5.3205440053716299E-14</v>
      </c>
      <c r="P163" s="14">
        <f t="shared" si="141"/>
        <v>8.602146238565607E-13</v>
      </c>
      <c r="Q163" s="22">
        <f t="shared" si="162"/>
        <v>1.590873277977066E-12</v>
      </c>
      <c r="R163" s="62">
        <f t="shared" si="109"/>
        <v>293.33333333333491</v>
      </c>
      <c r="S163" s="62">
        <f ca="1">AVERAGE(OFFSET($R$3,0,0,'Données projet'!$E$9+1,1))-AVERAGE(OFFSET($H$3,0,0,'Données projet'!$E$9+1,1))</f>
        <v>145.91567711893987</v>
      </c>
      <c r="T163" s="62">
        <f t="shared" si="142"/>
        <v>136.44398554363522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2.8421709430404007E-14</v>
      </c>
      <c r="AJ163" s="14">
        <f>AI163*VLOOKUP('Données projet'!$B$10,Paramètres!$A$1:$I$89,3,0)*VLOOKUP('Données projet'!$B$10,Paramètres!$A$1:$I$89,5,0)</f>
        <v>2.4829205358400945E-14</v>
      </c>
      <c r="AK163" s="14">
        <f t="shared" si="164"/>
        <v>4.3867331143352915E-13</v>
      </c>
      <c r="AL163" s="22">
        <f t="shared" si="165"/>
        <v>8.0726688341261168E-13</v>
      </c>
      <c r="AM163" s="62">
        <f t="shared" si="113"/>
        <v>293.33333333333411</v>
      </c>
      <c r="AN163" s="62">
        <f ca="1">AVERAGE(OFFSET($AM$3,0,0,'Données projet'!$E$10+1,1))-AVERAGE(OFFSET($H$3,0,0,'Données projet'!$E$10+1,1))</f>
        <v>222.48114295382305</v>
      </c>
      <c r="AO163" s="62">
        <f t="shared" si="144"/>
        <v>261.55066338953611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1.9509374852623869</v>
      </c>
      <c r="AV163" s="23">
        <f>EXP(-LN(2)/25)*AV162+(1-EXP(-LN(2)/25))/(LN(2)/25)*Calculateur!AQ163*Calculateur!AS163*VLOOKUP('Données projet'!$B$10,Paramètres!$A$1:$I$89,3,0)*0.475*44/12</f>
        <v>0.26606098509217013</v>
      </c>
      <c r="AW163" s="23">
        <f>EXP(-LN(2)/2)*AW162+(1-EXP(-LN(2)/2))/(LN(2)/2)*AQ163*AT163*VLOOKUP('Données projet'!$B$10,Paramètres!$A$1:$I$89,3,0)*0.475*44/12</f>
        <v>1.5813459065714057E-19</v>
      </c>
      <c r="AX163" s="23">
        <f t="shared" si="166"/>
        <v>2.2169984703545569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118.0451999999996</v>
      </c>
      <c r="D164" s="12">
        <f t="shared" si="140"/>
        <v>31.218639399968879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1152.2120936137917</v>
      </c>
      <c r="H164" s="70">
        <f t="shared" si="110"/>
        <v>553.30118695494502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5.3205440053716299E-14</v>
      </c>
      <c r="P164" s="14">
        <f t="shared" si="141"/>
        <v>8.602146238565607E-13</v>
      </c>
      <c r="Q164" s="22">
        <f t="shared" si="162"/>
        <v>1.590873277977066E-12</v>
      </c>
      <c r="R164" s="62">
        <f t="shared" si="109"/>
        <v>293.33333333333491</v>
      </c>
      <c r="S164" s="62">
        <f ca="1">AVERAGE(OFFSET($R$3,0,0,'Données projet'!$E$9+1,1))-AVERAGE(OFFSET($H$3,0,0,'Données projet'!$E$9+1,1))</f>
        <v>145.91567711893987</v>
      </c>
      <c r="T164" s="62">
        <f t="shared" si="142"/>
        <v>136.44398554363522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2.8421709430404007E-14</v>
      </c>
      <c r="AJ164" s="14">
        <f>AI164*VLOOKUP('Données projet'!$B$10,Paramètres!$A$1:$I$89,3,0)*VLOOKUP('Données projet'!$B$10,Paramètres!$A$1:$I$89,5,0)</f>
        <v>2.4829205358400945E-14</v>
      </c>
      <c r="AK164" s="14">
        <f t="shared" si="164"/>
        <v>4.3867331143352915E-13</v>
      </c>
      <c r="AL164" s="22">
        <f t="shared" si="165"/>
        <v>8.0726688341261168E-13</v>
      </c>
      <c r="AM164" s="62">
        <f t="shared" si="113"/>
        <v>293.33333333333411</v>
      </c>
      <c r="AN164" s="62">
        <f ca="1">AVERAGE(OFFSET($AM$3,0,0,'Données projet'!$E$10+1,1))-AVERAGE(OFFSET($H$3,0,0,'Données projet'!$E$10+1,1))</f>
        <v>222.48114295382305</v>
      </c>
      <c r="AO164" s="62">
        <f t="shared" si="144"/>
        <v>261.55066338953611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1.9126807911307593</v>
      </c>
      <c r="AV164" s="23">
        <f>EXP(-LN(2)/25)*AV163+(1-EXP(-LN(2)/25))/(LN(2)/25)*Calculateur!AQ164*Calculateur!AS164*VLOOKUP('Données projet'!$B$10,Paramètres!$A$1:$I$89,3,0)*0.475*44/12</f>
        <v>0.25878553346328564</v>
      </c>
      <c r="AW164" s="23">
        <f>EXP(-LN(2)/2)*AW163+(1-EXP(-LN(2)/2))/(LN(2)/2)*AQ164*AT164*VLOOKUP('Données projet'!$B$10,Paramètres!$A$1:$I$89,3,0)*0.475*44/12</f>
        <v>1.1181804139382296E-19</v>
      </c>
      <c r="AX164" s="23">
        <f t="shared" si="166"/>
        <v>2.1714663245940451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118.77839999999959</v>
      </c>
      <c r="D165" s="12">
        <f t="shared" si="140"/>
        <v>31.389911704951448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1159.19398509085</v>
      </c>
      <c r="H165" s="70">
        <f t="shared" si="110"/>
        <v>554.87647621945644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5.3205440053716299E-14</v>
      </c>
      <c r="P165" s="14">
        <f t="shared" si="141"/>
        <v>8.602146238565607E-13</v>
      </c>
      <c r="Q165" s="22">
        <f t="shared" si="162"/>
        <v>1.590873277977066E-12</v>
      </c>
      <c r="R165" s="62">
        <f t="shared" si="109"/>
        <v>293.33333333333491</v>
      </c>
      <c r="S165" s="62">
        <f ca="1">AVERAGE(OFFSET($R$3,0,0,'Données projet'!$E$9+1,1))-AVERAGE(OFFSET($H$3,0,0,'Données projet'!$E$9+1,1))</f>
        <v>145.91567711893987</v>
      </c>
      <c r="T165" s="62">
        <f t="shared" si="142"/>
        <v>136.44398554363522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2.8421709430404007E-14</v>
      </c>
      <c r="AJ165" s="14">
        <f>AI165*VLOOKUP('Données projet'!$B$10,Paramètres!$A$1:$I$89,3,0)*VLOOKUP('Données projet'!$B$10,Paramètres!$A$1:$I$89,5,0)</f>
        <v>2.4829205358400945E-14</v>
      </c>
      <c r="AK165" s="14">
        <f t="shared" si="164"/>
        <v>4.3867331143352915E-13</v>
      </c>
      <c r="AL165" s="22">
        <f t="shared" si="165"/>
        <v>8.0726688341261168E-13</v>
      </c>
      <c r="AM165" s="62">
        <f t="shared" si="113"/>
        <v>293.33333333333411</v>
      </c>
      <c r="AN165" s="62">
        <f ca="1">AVERAGE(OFFSET($AM$3,0,0,'Données projet'!$E$10+1,1))-AVERAGE(OFFSET($H$3,0,0,'Données projet'!$E$10+1,1))</f>
        <v>222.48114295382305</v>
      </c>
      <c r="AO165" s="62">
        <f t="shared" si="144"/>
        <v>261.55066338953611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1.8751742874367736</v>
      </c>
      <c r="AV165" s="23">
        <f>EXP(-LN(2)/25)*AV164+(1-EXP(-LN(2)/25))/(LN(2)/25)*Calculateur!AQ165*Calculateur!AS165*VLOOKUP('Données projet'!$B$10,Paramètres!$A$1:$I$89,3,0)*0.475*44/12</f>
        <v>0.25170902944179235</v>
      </c>
      <c r="AW165" s="23">
        <f>EXP(-LN(2)/2)*AW164+(1-EXP(-LN(2)/2))/(LN(2)/2)*AQ165*AT165*VLOOKUP('Données projet'!$B$10,Paramètres!$A$1:$I$89,3,0)*0.475*44/12</f>
        <v>7.9067295328570284E-20</v>
      </c>
      <c r="AX165" s="23">
        <f t="shared" si="166"/>
        <v>2.1268833168785659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119.51159999999959</v>
      </c>
      <c r="D166" s="12">
        <f t="shared" si="140"/>
        <v>31.561060990985393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1166.1749269479544</v>
      </c>
      <c r="H166" s="70">
        <f t="shared" si="110"/>
        <v>556.45155122596543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5.3205440053716299E-14</v>
      </c>
      <c r="P166" s="14">
        <f t="shared" si="141"/>
        <v>8.602146238565607E-13</v>
      </c>
      <c r="Q166" s="22">
        <f t="shared" si="162"/>
        <v>1.590873277977066E-12</v>
      </c>
      <c r="R166" s="62">
        <f t="shared" si="109"/>
        <v>293.33333333333491</v>
      </c>
      <c r="S166" s="62">
        <f ca="1">AVERAGE(OFFSET($R$3,0,0,'Données projet'!$E$9+1,1))-AVERAGE(OFFSET($H$3,0,0,'Données projet'!$E$9+1,1))</f>
        <v>145.91567711893987</v>
      </c>
      <c r="T166" s="62">
        <f t="shared" si="142"/>
        <v>136.44398554363522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2.8421709430404007E-14</v>
      </c>
      <c r="AJ166" s="14">
        <f>AI166*VLOOKUP('Données projet'!$B$10,Paramètres!$A$1:$I$89,3,0)*VLOOKUP('Données projet'!$B$10,Paramètres!$A$1:$I$89,5,0)</f>
        <v>2.4829205358400945E-14</v>
      </c>
      <c r="AK166" s="14">
        <f t="shared" si="164"/>
        <v>4.3867331143352915E-13</v>
      </c>
      <c r="AL166" s="22">
        <f t="shared" si="165"/>
        <v>8.0726688341261168E-13</v>
      </c>
      <c r="AM166" s="62">
        <f t="shared" si="113"/>
        <v>293.33333333333411</v>
      </c>
      <c r="AN166" s="62">
        <f ca="1">AVERAGE(OFFSET($AM$3,0,0,'Données projet'!$E$10+1,1))-AVERAGE(OFFSET($H$3,0,0,'Données projet'!$E$10+1,1))</f>
        <v>222.48114295382305</v>
      </c>
      <c r="AO166" s="62">
        <f t="shared" si="144"/>
        <v>261.55066338953611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1.8384032634035186</v>
      </c>
      <c r="AV166" s="23">
        <f>EXP(-LN(2)/25)*AV165+(1-EXP(-LN(2)/25))/(LN(2)/25)*Calculateur!AQ166*Calculateur!AS166*VLOOKUP('Données projet'!$B$10,Paramètres!$A$1:$I$89,3,0)*0.475*44/12</f>
        <v>0.24482603279490397</v>
      </c>
      <c r="AW166" s="23">
        <f>EXP(-LN(2)/2)*AW165+(1-EXP(-LN(2)/2))/(LN(2)/2)*AQ166*AT166*VLOOKUP('Données projet'!$B$10,Paramètres!$A$1:$I$89,3,0)*0.475*44/12</f>
        <v>5.5909020696911478E-20</v>
      </c>
      <c r="AX166" s="23">
        <f t="shared" si="166"/>
        <v>2.0832292961984225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120.24479999999959</v>
      </c>
      <c r="D167" s="12">
        <f t="shared" si="140"/>
        <v>31.732088100347205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1173.1549256868877</v>
      </c>
      <c r="H167" s="70">
        <f t="shared" si="110"/>
        <v>558.02641344143728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5.3205440053716299E-14</v>
      </c>
      <c r="P167" s="14">
        <f t="shared" si="141"/>
        <v>8.602146238565607E-13</v>
      </c>
      <c r="Q167" s="22">
        <f t="shared" si="162"/>
        <v>1.590873277977066E-12</v>
      </c>
      <c r="R167" s="62">
        <f t="shared" si="109"/>
        <v>293.33333333333491</v>
      </c>
      <c r="S167" s="62">
        <f ca="1">AVERAGE(OFFSET($R$3,0,0,'Données projet'!$E$9+1,1))-AVERAGE(OFFSET($H$3,0,0,'Données projet'!$E$9+1,1))</f>
        <v>145.91567711893987</v>
      </c>
      <c r="T167" s="62">
        <f t="shared" si="142"/>
        <v>136.44398554363522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2.8421709430404007E-14</v>
      </c>
      <c r="AJ167" s="14">
        <f>AI167*VLOOKUP('Données projet'!$B$10,Paramètres!$A$1:$I$89,3,0)*VLOOKUP('Données projet'!$B$10,Paramètres!$A$1:$I$89,5,0)</f>
        <v>2.4829205358400945E-14</v>
      </c>
      <c r="AK167" s="14">
        <f t="shared" si="164"/>
        <v>4.3867331143352915E-13</v>
      </c>
      <c r="AL167" s="22">
        <f t="shared" si="165"/>
        <v>8.0726688341261168E-13</v>
      </c>
      <c r="AM167" s="62">
        <f t="shared" si="113"/>
        <v>293.33333333333411</v>
      </c>
      <c r="AN167" s="62">
        <f ca="1">AVERAGE(OFFSET($AM$3,0,0,'Données projet'!$E$10+1,1))-AVERAGE(OFFSET($H$3,0,0,'Données projet'!$E$10+1,1))</f>
        <v>222.48114295382305</v>
      </c>
      <c r="AO167" s="62">
        <f t="shared" si="144"/>
        <v>261.55066338953611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1.8023532967234455</v>
      </c>
      <c r="AV167" s="23">
        <f>EXP(-LN(2)/25)*AV166+(1-EXP(-LN(2)/25))/(LN(2)/25)*Calculateur!AQ167*Calculateur!AS167*VLOOKUP('Données projet'!$B$10,Paramètres!$A$1:$I$89,3,0)*0.475*44/12</f>
        <v>0.23813125205328581</v>
      </c>
      <c r="AW167" s="23">
        <f>EXP(-LN(2)/2)*AW166+(1-EXP(-LN(2)/2))/(LN(2)/2)*AQ167*AT167*VLOOKUP('Données projet'!$B$10,Paramètres!$A$1:$I$89,3,0)*0.475*44/12</f>
        <v>3.9533647664285142E-20</v>
      </c>
      <c r="AX167" s="23">
        <f t="shared" si="166"/>
        <v>2.0404845487767314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120.97799999999958</v>
      </c>
      <c r="D168" s="12">
        <f t="shared" si="140"/>
        <v>31.902993864447446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1180.1339877255559</v>
      </c>
      <c r="H168" s="70">
        <f t="shared" si="110"/>
        <v>559.60106431391182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5.3205440053716299E-14</v>
      </c>
      <c r="P168" s="14">
        <f t="shared" si="141"/>
        <v>8.602146238565607E-13</v>
      </c>
      <c r="Q168" s="22">
        <f t="shared" si="162"/>
        <v>1.590873277977066E-12</v>
      </c>
      <c r="R168" s="62">
        <f t="shared" si="109"/>
        <v>293.33333333333491</v>
      </c>
      <c r="S168" s="62">
        <f ca="1">AVERAGE(OFFSET($R$3,0,0,'Données projet'!$E$9+1,1))-AVERAGE(OFFSET($H$3,0,0,'Données projet'!$E$9+1,1))</f>
        <v>145.91567711893987</v>
      </c>
      <c r="T168" s="62">
        <f t="shared" si="142"/>
        <v>136.44398554363522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2.8421709430404007E-14</v>
      </c>
      <c r="AJ168" s="14">
        <f>AI168*VLOOKUP('Données projet'!$B$10,Paramètres!$A$1:$I$89,3,0)*VLOOKUP('Données projet'!$B$10,Paramètres!$A$1:$I$89,5,0)</f>
        <v>2.4829205358400945E-14</v>
      </c>
      <c r="AK168" s="14">
        <f t="shared" si="164"/>
        <v>4.3867331143352915E-13</v>
      </c>
      <c r="AL168" s="22">
        <f t="shared" si="165"/>
        <v>8.0726688341261168E-13</v>
      </c>
      <c r="AM168" s="62">
        <f t="shared" si="113"/>
        <v>293.33333333333411</v>
      </c>
      <c r="AN168" s="62">
        <f ca="1">AVERAGE(OFFSET($AM$3,0,0,'Données projet'!$E$10+1,1))-AVERAGE(OFFSET($H$3,0,0,'Données projet'!$E$10+1,1))</f>
        <v>222.48114295382305</v>
      </c>
      <c r="AO168" s="62">
        <f t="shared" si="144"/>
        <v>261.55066338953611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1.7670102479016603</v>
      </c>
      <c r="AV168" s="23">
        <f>EXP(-LN(2)/25)*AV167+(1-EXP(-LN(2)/25))/(LN(2)/25)*Calculateur!AQ168*Calculateur!AS168*VLOOKUP('Données projet'!$B$10,Paramètres!$A$1:$I$89,3,0)*0.475*44/12</f>
        <v>0.23161954044311042</v>
      </c>
      <c r="AW168" s="23">
        <f>EXP(-LN(2)/2)*AW167+(1-EXP(-LN(2)/2))/(LN(2)/2)*AQ168*AT168*VLOOKUP('Données projet'!$B$10,Paramètres!$A$1:$I$89,3,0)*0.475*44/12</f>
        <v>2.7954510348455739E-20</v>
      </c>
      <c r="AX168" s="23">
        <f t="shared" si="166"/>
        <v>1.9986297883447708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121.71119999999958</v>
      </c>
      <c r="D169" s="12">
        <f t="shared" si="140"/>
        <v>32.073779104036042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1187.1121193995732</v>
      </c>
      <c r="H169" s="70">
        <f t="shared" si="110"/>
        <v>561.17550527286198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5.3205440053716299E-14</v>
      </c>
      <c r="P169" s="14">
        <f t="shared" si="141"/>
        <v>8.602146238565607E-13</v>
      </c>
      <c r="Q169" s="22">
        <f t="shared" si="162"/>
        <v>1.590873277977066E-12</v>
      </c>
      <c r="R169" s="62">
        <f t="shared" si="109"/>
        <v>293.33333333333491</v>
      </c>
      <c r="S169" s="62">
        <f ca="1">AVERAGE(OFFSET($R$3,0,0,'Données projet'!$E$9+1,1))-AVERAGE(OFFSET($H$3,0,0,'Données projet'!$E$9+1,1))</f>
        <v>145.91567711893987</v>
      </c>
      <c r="T169" s="62">
        <f t="shared" si="142"/>
        <v>136.44398554363522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2.8421709430404007E-14</v>
      </c>
      <c r="AJ169" s="14">
        <f>AI169*VLOOKUP('Données projet'!$B$10,Paramètres!$A$1:$I$89,3,0)*VLOOKUP('Données projet'!$B$10,Paramètres!$A$1:$I$89,5,0)</f>
        <v>2.4829205358400945E-14</v>
      </c>
      <c r="AK169" s="14">
        <f t="shared" si="164"/>
        <v>4.3867331143352915E-13</v>
      </c>
      <c r="AL169" s="22">
        <f t="shared" si="165"/>
        <v>8.0726688341261168E-13</v>
      </c>
      <c r="AM169" s="62">
        <f t="shared" si="113"/>
        <v>293.33333333333411</v>
      </c>
      <c r="AN169" s="62">
        <f ca="1">AVERAGE(OFFSET($AM$3,0,0,'Données projet'!$E$10+1,1))-AVERAGE(OFFSET($H$3,0,0,'Données projet'!$E$10+1,1))</f>
        <v>222.48114295382305</v>
      </c>
      <c r="AO169" s="62">
        <f t="shared" si="144"/>
        <v>261.55066338953611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1.7323602547101391</v>
      </c>
      <c r="AV169" s="23">
        <f>EXP(-LN(2)/25)*AV168+(1-EXP(-LN(2)/25))/(LN(2)/25)*Calculateur!AQ169*Calculateur!AS169*VLOOKUP('Données projet'!$B$10,Paramètres!$A$1:$I$89,3,0)*0.475*44/12</f>
        <v>0.22528589192935131</v>
      </c>
      <c r="AW169" s="23">
        <f>EXP(-LN(2)/2)*AW168+(1-EXP(-LN(2)/2))/(LN(2)/2)*AQ169*AT169*VLOOKUP('Données projet'!$B$10,Paramètres!$A$1:$I$89,3,0)*0.475*44/12</f>
        <v>1.9766823832142571E-20</v>
      </c>
      <c r="AX169" s="23">
        <f t="shared" si="166"/>
        <v>1.9576461466394903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122.44439999999958</v>
      </c>
      <c r="D170" s="12">
        <f t="shared" si="140"/>
        <v>32.244444629402366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1194.0893269638048</v>
      </c>
      <c r="H170" s="70">
        <f t="shared" si="110"/>
        <v>562.74973772954172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5.3205440053716299E-14</v>
      </c>
      <c r="P170" s="14">
        <f t="shared" si="141"/>
        <v>8.602146238565607E-13</v>
      </c>
      <c r="Q170" s="22">
        <f t="shared" si="162"/>
        <v>1.590873277977066E-12</v>
      </c>
      <c r="R170" s="62">
        <f t="shared" si="109"/>
        <v>293.33333333333491</v>
      </c>
      <c r="S170" s="62">
        <f ca="1">AVERAGE(OFFSET($R$3,0,0,'Données projet'!$E$9+1,1))-AVERAGE(OFFSET($H$3,0,0,'Données projet'!$E$9+1,1))</f>
        <v>145.91567711893987</v>
      </c>
      <c r="T170" s="62">
        <f t="shared" si="142"/>
        <v>136.44398554363522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2.8421709430404007E-14</v>
      </c>
      <c r="AJ170" s="14">
        <f>AI170*VLOOKUP('Données projet'!$B$10,Paramètres!$A$1:$I$89,3,0)*VLOOKUP('Données projet'!$B$10,Paramètres!$A$1:$I$89,5,0)</f>
        <v>2.4829205358400945E-14</v>
      </c>
      <c r="AK170" s="14">
        <f t="shared" si="164"/>
        <v>4.3867331143352915E-13</v>
      </c>
      <c r="AL170" s="22">
        <f t="shared" si="165"/>
        <v>8.0726688341261168E-13</v>
      </c>
      <c r="AM170" s="62">
        <f t="shared" si="113"/>
        <v>293.33333333333411</v>
      </c>
      <c r="AN170" s="62">
        <f ca="1">AVERAGE(OFFSET($AM$3,0,0,'Données projet'!$E$10+1,1))-AVERAGE(OFFSET($H$3,0,0,'Données projet'!$E$10+1,1))</f>
        <v>222.48114295382305</v>
      </c>
      <c r="AO170" s="62">
        <f t="shared" si="144"/>
        <v>261.55066338953611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1.6983897267506947</v>
      </c>
      <c r="AV170" s="23">
        <f>EXP(-LN(2)/25)*AV169+(1-EXP(-LN(2)/25))/(LN(2)/25)*Calculateur!AQ170*Calculateur!AS170*VLOOKUP('Données projet'!$B$10,Paramètres!$A$1:$I$89,3,0)*0.475*44/12</f>
        <v>0.21912543736727302</v>
      </c>
      <c r="AW170" s="23">
        <f>EXP(-LN(2)/2)*AW169+(1-EXP(-LN(2)/2))/(LN(2)/2)*AQ170*AT170*VLOOKUP('Données projet'!$B$10,Paramètres!$A$1:$I$89,3,0)*0.475*44/12</f>
        <v>1.3977255174227869E-20</v>
      </c>
      <c r="AX170" s="23">
        <f t="shared" si="166"/>
        <v>1.9175151641179677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123.17759999999957</v>
      </c>
      <c r="D171" s="12">
        <f t="shared" si="140"/>
        <v>32.41499124057033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1201.0656165938728</v>
      </c>
      <c r="H171" s="70">
        <f t="shared" si="110"/>
        <v>564.32376307732591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5.3205440053716299E-14</v>
      </c>
      <c r="P171" s="14">
        <f t="shared" si="141"/>
        <v>8.602146238565607E-13</v>
      </c>
      <c r="Q171" s="22">
        <f t="shared" si="162"/>
        <v>1.590873277977066E-12</v>
      </c>
      <c r="R171" s="62">
        <f t="shared" si="109"/>
        <v>293.33333333333491</v>
      </c>
      <c r="S171" s="62">
        <f ca="1">AVERAGE(OFFSET($R$3,0,0,'Données projet'!$E$9+1,1))-AVERAGE(OFFSET($H$3,0,0,'Données projet'!$E$9+1,1))</f>
        <v>145.91567711893987</v>
      </c>
      <c r="T171" s="62">
        <f t="shared" si="142"/>
        <v>136.44398554363522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2.8421709430404007E-14</v>
      </c>
      <c r="AJ171" s="14">
        <f>AI171*VLOOKUP('Données projet'!$B$10,Paramètres!$A$1:$I$89,3,0)*VLOOKUP('Données projet'!$B$10,Paramètres!$A$1:$I$89,5,0)</f>
        <v>2.4829205358400945E-14</v>
      </c>
      <c r="AK171" s="14">
        <f t="shared" si="164"/>
        <v>4.3867331143352915E-13</v>
      </c>
      <c r="AL171" s="22">
        <f t="shared" si="165"/>
        <v>8.0726688341261168E-13</v>
      </c>
      <c r="AM171" s="62">
        <f t="shared" si="113"/>
        <v>293.33333333333411</v>
      </c>
      <c r="AN171" s="62">
        <f ca="1">AVERAGE(OFFSET($AM$3,0,0,'Données projet'!$E$10+1,1))-AVERAGE(OFFSET($H$3,0,0,'Données projet'!$E$10+1,1))</f>
        <v>222.48114295382305</v>
      </c>
      <c r="AO171" s="62">
        <f t="shared" si="144"/>
        <v>261.55066338953611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1.6650853401245587</v>
      </c>
      <c r="AV171" s="23">
        <f>EXP(-LN(2)/25)*AV170+(1-EXP(-LN(2)/25))/(LN(2)/25)*Calculateur!AQ171*Calculateur!AS171*VLOOKUP('Données projet'!$B$10,Paramètres!$A$1:$I$89,3,0)*0.475*44/12</f>
        <v>0.21313344075915902</v>
      </c>
      <c r="AW171" s="23">
        <f>EXP(-LN(2)/2)*AW170+(1-EXP(-LN(2)/2))/(LN(2)/2)*AQ171*AT171*VLOOKUP('Données projet'!$B$10,Paramètres!$A$1:$I$89,3,0)*0.475*44/12</f>
        <v>9.8834119160712855E-21</v>
      </c>
      <c r="AX171" s="23">
        <f t="shared" si="166"/>
        <v>1.8782187808837176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123.91079999999957</v>
      </c>
      <c r="D172" s="12">
        <f t="shared" si="140"/>
        <v>32.585419727488741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1208.0409943876291</v>
      </c>
      <c r="H172" s="70">
        <f t="shared" si="110"/>
        <v>565.89758269204208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5.3205440053716299E-14</v>
      </c>
      <c r="P172" s="14">
        <f t="shared" si="141"/>
        <v>8.602146238565607E-13</v>
      </c>
      <c r="Q172" s="22">
        <f t="shared" si="162"/>
        <v>1.590873277977066E-12</v>
      </c>
      <c r="R172" s="62">
        <f t="shared" si="109"/>
        <v>293.33333333333491</v>
      </c>
      <c r="S172" s="62">
        <f ca="1">AVERAGE(OFFSET($R$3,0,0,'Données projet'!$E$9+1,1))-AVERAGE(OFFSET($H$3,0,0,'Données projet'!$E$9+1,1))</f>
        <v>145.91567711893987</v>
      </c>
      <c r="T172" s="62">
        <f t="shared" si="142"/>
        <v>136.44398554363522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2.8421709430404007E-14</v>
      </c>
      <c r="AJ172" s="14">
        <f>AI172*VLOOKUP('Données projet'!$B$10,Paramètres!$A$1:$I$89,3,0)*VLOOKUP('Données projet'!$B$10,Paramètres!$A$1:$I$89,5,0)</f>
        <v>2.4829205358400945E-14</v>
      </c>
      <c r="AK172" s="14">
        <f t="shared" si="164"/>
        <v>4.3867331143352915E-13</v>
      </c>
      <c r="AL172" s="22">
        <f t="shared" si="165"/>
        <v>8.0726688341261168E-13</v>
      </c>
      <c r="AM172" s="62">
        <f t="shared" si="113"/>
        <v>293.33333333333411</v>
      </c>
      <c r="AN172" s="62">
        <f ca="1">AVERAGE(OFFSET($AM$3,0,0,'Données projet'!$E$10+1,1))-AVERAGE(OFFSET($H$3,0,0,'Données projet'!$E$10+1,1))</f>
        <v>222.48114295382305</v>
      </c>
      <c r="AO172" s="62">
        <f t="shared" si="144"/>
        <v>261.55066338953611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1.6324340322064912</v>
      </c>
      <c r="AV172" s="23">
        <f>EXP(-LN(2)/25)*AV171+(1-EXP(-LN(2)/25))/(LN(2)/25)*Calculateur!AQ172*Calculateur!AS172*VLOOKUP('Données projet'!$B$10,Paramètres!$A$1:$I$89,3,0)*0.475*44/12</f>
        <v>0.2073052956133993</v>
      </c>
      <c r="AW172" s="23">
        <f>EXP(-LN(2)/2)*AW171+(1-EXP(-LN(2)/2))/(LN(2)/2)*AQ172*AT172*VLOOKUP('Données projet'!$B$10,Paramètres!$A$1:$I$89,3,0)*0.475*44/12</f>
        <v>6.9886275871139347E-21</v>
      </c>
      <c r="AX172" s="23">
        <f t="shared" si="166"/>
        <v>1.8397393278198906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124.64399999999956</v>
      </c>
      <c r="D173" s="12">
        <f t="shared" si="140"/>
        <v>32.755730870217128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1215.0154663665851</v>
      </c>
      <c r="H173" s="70">
        <f t="shared" si="110"/>
        <v>567.4711979322941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5.3205440053716299E-14</v>
      </c>
      <c r="P173" s="14">
        <f t="shared" si="141"/>
        <v>8.602146238565607E-13</v>
      </c>
      <c r="Q173" s="22">
        <f t="shared" si="162"/>
        <v>1.590873277977066E-12</v>
      </c>
      <c r="R173" s="62">
        <f t="shared" si="109"/>
        <v>293.33333333333491</v>
      </c>
      <c r="S173" s="62">
        <f ca="1">AVERAGE(OFFSET($R$3,0,0,'Données projet'!$E$9+1,1))-AVERAGE(OFFSET($H$3,0,0,'Données projet'!$E$9+1,1))</f>
        <v>145.91567711893987</v>
      </c>
      <c r="T173" s="62">
        <f t="shared" si="142"/>
        <v>136.44398554363522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2.8421709430404007E-14</v>
      </c>
      <c r="AJ173" s="14">
        <f>AI173*VLOOKUP('Données projet'!$B$10,Paramètres!$A$1:$I$89,3,0)*VLOOKUP('Données projet'!$B$10,Paramètres!$A$1:$I$89,5,0)</f>
        <v>2.4829205358400945E-14</v>
      </c>
      <c r="AK173" s="14">
        <f t="shared" si="164"/>
        <v>4.3867331143352915E-13</v>
      </c>
      <c r="AL173" s="22">
        <f t="shared" si="165"/>
        <v>8.0726688341261168E-13</v>
      </c>
      <c r="AM173" s="62">
        <f t="shared" si="113"/>
        <v>293.33333333333411</v>
      </c>
      <c r="AN173" s="62">
        <f ca="1">AVERAGE(OFFSET($AM$3,0,0,'Données projet'!$E$10+1,1))-AVERAGE(OFFSET($H$3,0,0,'Données projet'!$E$10+1,1))</f>
        <v>222.48114295382305</v>
      </c>
      <c r="AO173" s="62">
        <f t="shared" si="144"/>
        <v>261.55066338953611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1.6004229965213657</v>
      </c>
      <c r="AV173" s="23">
        <f>EXP(-LN(2)/25)*AV172+(1-EXP(-LN(2)/25))/(LN(2)/25)*Calculateur!AQ173*Calculateur!AS173*VLOOKUP('Données projet'!$B$10,Paramètres!$A$1:$I$89,3,0)*0.475*44/12</f>
        <v>0.2016365214031392</v>
      </c>
      <c r="AW173" s="23">
        <f>EXP(-LN(2)/2)*AW172+(1-EXP(-LN(2)/2))/(LN(2)/2)*AQ173*AT173*VLOOKUP('Données projet'!$B$10,Paramètres!$A$1:$I$89,3,0)*0.475*44/12</f>
        <v>4.9417059580356428E-21</v>
      </c>
      <c r="AX173" s="23">
        <f t="shared" si="166"/>
        <v>1.8020595179245049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125.37719999999956</v>
      </c>
      <c r="D174" s="12">
        <f t="shared" si="140"/>
        <v>32.925925439106763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1221.9890384773121</v>
      </c>
      <c r="H174" s="70">
        <f t="shared" si="110"/>
        <v>569.04461013977686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5.3205440053716299E-14</v>
      </c>
      <c r="P174" s="14">
        <f t="shared" si="141"/>
        <v>8.602146238565607E-13</v>
      </c>
      <c r="Q174" s="22">
        <f t="shared" si="162"/>
        <v>1.590873277977066E-12</v>
      </c>
      <c r="R174" s="62">
        <f t="shared" si="109"/>
        <v>293.33333333333491</v>
      </c>
      <c r="S174" s="62">
        <f ca="1">AVERAGE(OFFSET($R$3,0,0,'Données projet'!$E$9+1,1))-AVERAGE(OFFSET($H$3,0,0,'Données projet'!$E$9+1,1))</f>
        <v>145.91567711893987</v>
      </c>
      <c r="T174" s="62">
        <f t="shared" si="142"/>
        <v>136.44398554363522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2.8421709430404007E-14</v>
      </c>
      <c r="AJ174" s="14">
        <f>AI174*VLOOKUP('Données projet'!$B$10,Paramètres!$A$1:$I$89,3,0)*VLOOKUP('Données projet'!$B$10,Paramètres!$A$1:$I$89,5,0)</f>
        <v>2.4829205358400945E-14</v>
      </c>
      <c r="AK174" s="14">
        <f t="shared" si="164"/>
        <v>4.3867331143352915E-13</v>
      </c>
      <c r="AL174" s="22">
        <f t="shared" si="165"/>
        <v>8.0726688341261168E-13</v>
      </c>
      <c r="AM174" s="62">
        <f t="shared" si="113"/>
        <v>293.33333333333411</v>
      </c>
      <c r="AN174" s="62">
        <f ca="1">AVERAGE(OFFSET($AM$3,0,0,'Données projet'!$E$10+1,1))-AVERAGE(OFFSET($H$3,0,0,'Données projet'!$E$10+1,1))</f>
        <v>222.48114295382305</v>
      </c>
      <c r="AO174" s="62">
        <f t="shared" si="144"/>
        <v>261.55066338953611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1.5690396777212217</v>
      </c>
      <c r="AV174" s="23">
        <f>EXP(-LN(2)/25)*AV173+(1-EXP(-LN(2)/25))/(LN(2)/25)*Calculateur!AQ174*Calculateur!AS174*VLOOKUP('Données projet'!$B$10,Paramètres!$A$1:$I$89,3,0)*0.475*44/12</f>
        <v>0.19612276012176655</v>
      </c>
      <c r="AW174" s="23">
        <f>EXP(-LN(2)/2)*AW173+(1-EXP(-LN(2)/2))/(LN(2)/2)*AQ174*AT174*VLOOKUP('Données projet'!$B$10,Paramètres!$A$1:$I$89,3,0)*0.475*44/12</f>
        <v>3.4943137935569674E-21</v>
      </c>
      <c r="AX174" s="23">
        <f t="shared" si="166"/>
        <v>1.7651624378429882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126.11039999999956</v>
      </c>
      <c r="D175" s="12">
        <f t="shared" si="140"/>
        <v>33.096004194977731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1228.9617165928073</v>
      </c>
      <c r="H175" s="70">
        <f t="shared" si="110"/>
        <v>570.61782063958549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5.3205440053716299E-14</v>
      </c>
      <c r="P175" s="14">
        <f t="shared" si="141"/>
        <v>8.602146238565607E-13</v>
      </c>
      <c r="Q175" s="22">
        <f t="shared" si="162"/>
        <v>1.590873277977066E-12</v>
      </c>
      <c r="R175" s="62">
        <f t="shared" si="109"/>
        <v>293.33333333333491</v>
      </c>
      <c r="S175" s="62">
        <f ca="1">AVERAGE(OFFSET($R$3,0,0,'Données projet'!$E$9+1,1))-AVERAGE(OFFSET($H$3,0,0,'Données projet'!$E$9+1,1))</f>
        <v>145.91567711893987</v>
      </c>
      <c r="T175" s="62">
        <f t="shared" si="142"/>
        <v>136.44398554363522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2.8421709430404007E-14</v>
      </c>
      <c r="AJ175" s="14">
        <f>AI175*VLOOKUP('Données projet'!$B$10,Paramètres!$A$1:$I$89,3,0)*VLOOKUP('Données projet'!$B$10,Paramètres!$A$1:$I$89,5,0)</f>
        <v>2.4829205358400945E-14</v>
      </c>
      <c r="AK175" s="14">
        <f t="shared" si="164"/>
        <v>4.3867331143352915E-13</v>
      </c>
      <c r="AL175" s="22">
        <f t="shared" si="165"/>
        <v>8.0726688341261168E-13</v>
      </c>
      <c r="AM175" s="62">
        <f t="shared" si="113"/>
        <v>293.33333333333411</v>
      </c>
      <c r="AN175" s="62">
        <f ca="1">AVERAGE(OFFSET($AM$3,0,0,'Données projet'!$E$10+1,1))-AVERAGE(OFFSET($H$3,0,0,'Données projet'!$E$10+1,1))</f>
        <v>222.48114295382305</v>
      </c>
      <c r="AO175" s="62">
        <f t="shared" si="144"/>
        <v>261.55066338953611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1.5382717666608141</v>
      </c>
      <c r="AV175" s="23">
        <f>EXP(-LN(2)/25)*AV174+(1-EXP(-LN(2)/25))/(LN(2)/25)*Calculateur!AQ175*Calculateur!AS175*VLOOKUP('Données projet'!$B$10,Paramètres!$A$1:$I$89,3,0)*0.475*44/12</f>
        <v>0.19075977293258914</v>
      </c>
      <c r="AW175" s="23">
        <f>EXP(-LN(2)/2)*AW174+(1-EXP(-LN(2)/2))/(LN(2)/2)*AQ175*AT175*VLOOKUP('Données projet'!$B$10,Paramètres!$A$1:$I$89,3,0)*0.475*44/12</f>
        <v>2.4708529790178214E-21</v>
      </c>
      <c r="AX175" s="23">
        <f t="shared" si="166"/>
        <v>1.7290315395934033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126.84359999999955</v>
      </c>
      <c r="D176" s="12">
        <f t="shared" si="140"/>
        <v>33.265967889291609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1235.9335065138264</v>
      </c>
      <c r="H176" s="70">
        <f t="shared" si="110"/>
        <v>572.19083074051537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5.3205440053716299E-14</v>
      </c>
      <c r="P176" s="14">
        <f t="shared" si="141"/>
        <v>8.602146238565607E-13</v>
      </c>
      <c r="Q176" s="22">
        <f t="shared" si="162"/>
        <v>1.590873277977066E-12</v>
      </c>
      <c r="R176" s="62">
        <f t="shared" si="109"/>
        <v>293.33333333333491</v>
      </c>
      <c r="S176" s="62">
        <f ca="1">AVERAGE(OFFSET($R$3,0,0,'Données projet'!$E$9+1,1))-AVERAGE(OFFSET($H$3,0,0,'Données projet'!$E$9+1,1))</f>
        <v>145.91567711893987</v>
      </c>
      <c r="T176" s="62">
        <f t="shared" si="142"/>
        <v>136.44398554363522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2.8421709430404007E-14</v>
      </c>
      <c r="AJ176" s="14">
        <f>AI176*VLOOKUP('Données projet'!$B$10,Paramètres!$A$1:$I$89,3,0)*VLOOKUP('Données projet'!$B$10,Paramètres!$A$1:$I$89,5,0)</f>
        <v>2.4829205358400945E-14</v>
      </c>
      <c r="AK176" s="14">
        <f t="shared" si="164"/>
        <v>4.3867331143352915E-13</v>
      </c>
      <c r="AL176" s="22">
        <f t="shared" si="165"/>
        <v>8.0726688341261168E-13</v>
      </c>
      <c r="AM176" s="62">
        <f t="shared" si="113"/>
        <v>293.33333333333411</v>
      </c>
      <c r="AN176" s="62">
        <f ca="1">AVERAGE(OFFSET($AM$3,0,0,'Données projet'!$E$10+1,1))-AVERAGE(OFFSET($H$3,0,0,'Données projet'!$E$10+1,1))</f>
        <v>222.48114295382305</v>
      </c>
      <c r="AO176" s="62">
        <f t="shared" si="144"/>
        <v>261.55066338953611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1.5081071955697285</v>
      </c>
      <c r="AV176" s="23">
        <f>EXP(-LN(2)/25)*AV175+(1-EXP(-LN(2)/25))/(LN(2)/25)*Calculateur!AQ176*Calculateur!AS176*VLOOKUP('Données projet'!$B$10,Paramètres!$A$1:$I$89,3,0)*0.475*44/12</f>
        <v>0.18554343691012701</v>
      </c>
      <c r="AW176" s="23">
        <f>EXP(-LN(2)/2)*AW175+(1-EXP(-LN(2)/2))/(LN(2)/2)*AQ176*AT176*VLOOKUP('Données projet'!$B$10,Paramètres!$A$1:$I$89,3,0)*0.475*44/12</f>
        <v>1.7471568967784837E-21</v>
      </c>
      <c r="AX176" s="23">
        <f t="shared" si="166"/>
        <v>1.6936506324798555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127.57679999999955</v>
      </c>
      <c r="D177" s="12">
        <f t="shared" si="140"/>
        <v>33.435817264319738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1242.9044139701841</v>
      </c>
      <c r="H177" s="70">
        <f t="shared" si="110"/>
        <v>573.76364173535603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5.3205440053716299E-14</v>
      </c>
      <c r="P177" s="14">
        <f t="shared" si="141"/>
        <v>8.602146238565607E-13</v>
      </c>
      <c r="Q177" s="22">
        <f t="shared" si="162"/>
        <v>1.590873277977066E-12</v>
      </c>
      <c r="R177" s="62">
        <f t="shared" si="109"/>
        <v>293.33333333333491</v>
      </c>
      <c r="S177" s="62">
        <f ca="1">AVERAGE(OFFSET($R$3,0,0,'Données projet'!$E$9+1,1))-AVERAGE(OFFSET($H$3,0,0,'Données projet'!$E$9+1,1))</f>
        <v>145.91567711893987</v>
      </c>
      <c r="T177" s="62">
        <f t="shared" si="142"/>
        <v>136.44398554363522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2.8421709430404007E-14</v>
      </c>
      <c r="AJ177" s="14">
        <f>AI177*VLOOKUP('Données projet'!$B$10,Paramètres!$A$1:$I$89,3,0)*VLOOKUP('Données projet'!$B$10,Paramètres!$A$1:$I$89,5,0)</f>
        <v>2.4829205358400945E-14</v>
      </c>
      <c r="AK177" s="14">
        <f t="shared" si="164"/>
        <v>4.3867331143352915E-13</v>
      </c>
      <c r="AL177" s="22">
        <f t="shared" si="165"/>
        <v>8.0726688341261168E-13</v>
      </c>
      <c r="AM177" s="62">
        <f t="shared" si="113"/>
        <v>293.33333333333411</v>
      </c>
      <c r="AN177" s="62">
        <f ca="1">AVERAGE(OFFSET($AM$3,0,0,'Données projet'!$E$10+1,1))-AVERAGE(OFFSET($H$3,0,0,'Données projet'!$E$10+1,1))</f>
        <v>222.48114295382305</v>
      </c>
      <c r="AO177" s="62">
        <f t="shared" si="144"/>
        <v>261.55066338953611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1.4785341333191673</v>
      </c>
      <c r="AV177" s="23">
        <f>EXP(-LN(2)/25)*AV176+(1-EXP(-LN(2)/25))/(LN(2)/25)*Calculateur!AQ177*Calculateur!AS177*VLOOKUP('Données projet'!$B$10,Paramètres!$A$1:$I$89,3,0)*0.475*44/12</f>
        <v>0.18046974187051432</v>
      </c>
      <c r="AW177" s="23">
        <f>EXP(-LN(2)/2)*AW176+(1-EXP(-LN(2)/2))/(LN(2)/2)*AQ177*AT177*VLOOKUP('Données projet'!$B$10,Paramètres!$A$1:$I$89,3,0)*0.475*44/12</f>
        <v>1.2354264895089107E-21</v>
      </c>
      <c r="AX177" s="23">
        <f t="shared" si="166"/>
        <v>1.6590038751896816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128.30999999999955</v>
      </c>
      <c r="D178" s="12">
        <f t="shared" si="140"/>
        <v>33.605553053307958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1249.874444622023</v>
      </c>
      <c r="H178" s="70">
        <f t="shared" si="110"/>
        <v>575.3362549011772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5.3205440053716299E-14</v>
      </c>
      <c r="P178" s="14">
        <f t="shared" si="141"/>
        <v>8.602146238565607E-13</v>
      </c>
      <c r="Q178" s="22">
        <f t="shared" si="162"/>
        <v>1.590873277977066E-12</v>
      </c>
      <c r="R178" s="62">
        <f t="shared" si="109"/>
        <v>293.33333333333491</v>
      </c>
      <c r="S178" s="62">
        <f ca="1">AVERAGE(OFFSET($R$3,0,0,'Données projet'!$E$9+1,1))-AVERAGE(OFFSET($H$3,0,0,'Données projet'!$E$9+1,1))</f>
        <v>145.91567711893987</v>
      </c>
      <c r="T178" s="62">
        <f t="shared" si="142"/>
        <v>136.44398554363522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2.8421709430404007E-14</v>
      </c>
      <c r="AJ178" s="14">
        <f>AI178*VLOOKUP('Données projet'!$B$10,Paramètres!$A$1:$I$89,3,0)*VLOOKUP('Données projet'!$B$10,Paramètres!$A$1:$I$89,5,0)</f>
        <v>2.4829205358400945E-14</v>
      </c>
      <c r="AK178" s="14">
        <f t="shared" si="164"/>
        <v>4.3867331143352915E-13</v>
      </c>
      <c r="AL178" s="22">
        <f t="shared" si="165"/>
        <v>8.0726688341261168E-13</v>
      </c>
      <c r="AM178" s="62">
        <f t="shared" si="113"/>
        <v>293.33333333333411</v>
      </c>
      <c r="AN178" s="62">
        <f ca="1">AVERAGE(OFFSET($AM$3,0,0,'Données projet'!$E$10+1,1))-AVERAGE(OFFSET($H$3,0,0,'Données projet'!$E$10+1,1))</f>
        <v>222.48114295382305</v>
      </c>
      <c r="AO178" s="62">
        <f t="shared" si="144"/>
        <v>261.55066338953611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1.4495409807815527</v>
      </c>
      <c r="AV178" s="23">
        <f>EXP(-LN(2)/25)*AV177+(1-EXP(-LN(2)/25))/(LN(2)/25)*Calculateur!AQ178*Calculateur!AS178*VLOOKUP('Données projet'!$B$10,Paramètres!$A$1:$I$89,3,0)*0.475*44/12</f>
        <v>0.17553478728857386</v>
      </c>
      <c r="AW178" s="23">
        <f>EXP(-LN(2)/2)*AW177+(1-EXP(-LN(2)/2))/(LN(2)/2)*AQ178*AT178*VLOOKUP('Données projet'!$B$10,Paramètres!$A$1:$I$89,3,0)*0.475*44/12</f>
        <v>8.7357844838924184E-22</v>
      </c>
      <c r="AX178" s="23">
        <f t="shared" si="166"/>
        <v>1.6250757680701264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129.04319999999956</v>
      </c>
      <c r="D179" s="12">
        <f t="shared" si="140"/>
        <v>33.7751759806373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1256.8436040610566</v>
      </c>
      <c r="H179" s="70">
        <f t="shared" si="110"/>
        <v>576.90867149960923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5.3205440053716299E-14</v>
      </c>
      <c r="P179" s="14">
        <f t="shared" si="141"/>
        <v>8.602146238565607E-13</v>
      </c>
      <c r="Q179" s="22">
        <f t="shared" si="162"/>
        <v>1.590873277977066E-12</v>
      </c>
      <c r="R179" s="62">
        <f t="shared" si="109"/>
        <v>293.33333333333491</v>
      </c>
      <c r="S179" s="62">
        <f ca="1">AVERAGE(OFFSET($R$3,0,0,'Données projet'!$E$9+1,1))-AVERAGE(OFFSET($H$3,0,0,'Données projet'!$E$9+1,1))</f>
        <v>145.91567711893987</v>
      </c>
      <c r="T179" s="62">
        <f t="shared" si="142"/>
        <v>136.44398554363522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2.8421709430404007E-14</v>
      </c>
      <c r="AJ179" s="14">
        <f>AI179*VLOOKUP('Données projet'!$B$10,Paramètres!$A$1:$I$89,3,0)*VLOOKUP('Données projet'!$B$10,Paramètres!$A$1:$I$89,5,0)</f>
        <v>2.4829205358400945E-14</v>
      </c>
      <c r="AK179" s="14">
        <f t="shared" si="164"/>
        <v>4.3867331143352915E-13</v>
      </c>
      <c r="AL179" s="22">
        <f t="shared" si="165"/>
        <v>8.0726688341261168E-13</v>
      </c>
      <c r="AM179" s="62">
        <f t="shared" si="113"/>
        <v>293.33333333333411</v>
      </c>
      <c r="AN179" s="62">
        <f ca="1">AVERAGE(OFFSET($AM$3,0,0,'Données projet'!$E$10+1,1))-AVERAGE(OFFSET($H$3,0,0,'Données projet'!$E$10+1,1))</f>
        <v>222.48114295382305</v>
      </c>
      <c r="AO179" s="62">
        <f t="shared" si="144"/>
        <v>261.55066338953611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1.4211163662811239</v>
      </c>
      <c r="AV179" s="23">
        <f>EXP(-LN(2)/25)*AV178+(1-EXP(-LN(2)/25))/(LN(2)/25)*Calculateur!AQ179*Calculateur!AS179*VLOOKUP('Données projet'!$B$10,Paramètres!$A$1:$I$89,3,0)*0.475*44/12</f>
        <v>0.17073477929919453</v>
      </c>
      <c r="AW179" s="23">
        <f>EXP(-LN(2)/2)*AW178+(1-EXP(-LN(2)/2))/(LN(2)/2)*AQ179*AT179*VLOOKUP('Données projet'!$B$10,Paramètres!$A$1:$I$89,3,0)*0.475*44/12</f>
        <v>6.1771324475445534E-22</v>
      </c>
      <c r="AX179" s="23">
        <f t="shared" si="166"/>
        <v>1.5918511455803184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129.77639999999957</v>
      </c>
      <c r="D180" s="12">
        <f t="shared" si="140"/>
        <v>33.944686761980805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1263.8118978117782</v>
      </c>
      <c r="H180" s="70">
        <f t="shared" si="110"/>
        <v>578.48089277711574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5.3205440053716299E-14</v>
      </c>
      <c r="P180" s="14">
        <f t="shared" si="141"/>
        <v>8.602146238565607E-13</v>
      </c>
      <c r="Q180" s="22">
        <f t="shared" si="162"/>
        <v>1.590873277977066E-12</v>
      </c>
      <c r="R180" s="62">
        <f t="shared" si="109"/>
        <v>293.33333333333491</v>
      </c>
      <c r="S180" s="62">
        <f ca="1">AVERAGE(OFFSET($R$3,0,0,'Données projet'!$E$9+1,1))-AVERAGE(OFFSET($H$3,0,0,'Données projet'!$E$9+1,1))</f>
        <v>145.91567711893987</v>
      </c>
      <c r="T180" s="62">
        <f t="shared" si="142"/>
        <v>136.44398554363522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2.8421709430404007E-14</v>
      </c>
      <c r="AJ180" s="14">
        <f>AI180*VLOOKUP('Données projet'!$B$10,Paramètres!$A$1:$I$89,3,0)*VLOOKUP('Données projet'!$B$10,Paramètres!$A$1:$I$89,5,0)</f>
        <v>2.4829205358400945E-14</v>
      </c>
      <c r="AK180" s="14">
        <f t="shared" si="164"/>
        <v>4.3867331143352915E-13</v>
      </c>
      <c r="AL180" s="22">
        <f t="shared" si="165"/>
        <v>8.0726688341261168E-13</v>
      </c>
      <c r="AM180" s="62">
        <f t="shared" si="113"/>
        <v>293.33333333333411</v>
      </c>
      <c r="AN180" s="62">
        <f ca="1">AVERAGE(OFFSET($AM$3,0,0,'Données projet'!$E$10+1,1))-AVERAGE(OFFSET($H$3,0,0,'Données projet'!$E$10+1,1))</f>
        <v>222.48114295382305</v>
      </c>
      <c r="AO180" s="62">
        <f t="shared" si="144"/>
        <v>261.55066338953611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1.3932491411337455</v>
      </c>
      <c r="AV180" s="23">
        <f>EXP(-LN(2)/25)*AV179+(1-EXP(-LN(2)/25))/(LN(2)/25)*Calculateur!AQ180*Calculateur!AS180*VLOOKUP('Données projet'!$B$10,Paramètres!$A$1:$I$89,3,0)*0.475*44/12</f>
        <v>0.16606602778070623</v>
      </c>
      <c r="AW180" s="23">
        <f>EXP(-LN(2)/2)*AW179+(1-EXP(-LN(2)/2))/(LN(2)/2)*AQ180*AT180*VLOOKUP('Données projet'!$B$10,Paramètres!$A$1:$I$89,3,0)*0.475*44/12</f>
        <v>4.3678922419462092E-22</v>
      </c>
      <c r="AX180" s="23">
        <f t="shared" si="166"/>
        <v>1.5593151689144518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130.50959999999958</v>
      </c>
      <c r="D181" s="12">
        <f t="shared" si="140"/>
        <v>34.114086104456895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1270.7793313326467</v>
      </c>
      <c r="H181" s="70">
        <f t="shared" si="110"/>
        <v>580.05291996526171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5.3205440053716299E-14</v>
      </c>
      <c r="P181" s="14">
        <f t="shared" si="141"/>
        <v>8.602146238565607E-13</v>
      </c>
      <c r="Q181" s="22">
        <f t="shared" si="162"/>
        <v>1.590873277977066E-12</v>
      </c>
      <c r="R181" s="62">
        <f t="shared" si="109"/>
        <v>293.33333333333491</v>
      </c>
      <c r="S181" s="62">
        <f ca="1">AVERAGE(OFFSET($R$3,0,0,'Données projet'!$E$9+1,1))-AVERAGE(OFFSET($H$3,0,0,'Données projet'!$E$9+1,1))</f>
        <v>145.91567711893987</v>
      </c>
      <c r="T181" s="62">
        <f t="shared" si="142"/>
        <v>136.44398554363522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2.8421709430404007E-14</v>
      </c>
      <c r="AJ181" s="14">
        <f>AI181*VLOOKUP('Données projet'!$B$10,Paramètres!$A$1:$I$89,3,0)*VLOOKUP('Données projet'!$B$10,Paramètres!$A$1:$I$89,5,0)</f>
        <v>2.4829205358400945E-14</v>
      </c>
      <c r="AK181" s="14">
        <f t="shared" si="164"/>
        <v>4.3867331143352915E-13</v>
      </c>
      <c r="AL181" s="22">
        <f t="shared" si="165"/>
        <v>8.0726688341261168E-13</v>
      </c>
      <c r="AM181" s="62">
        <f t="shared" si="113"/>
        <v>293.33333333333411</v>
      </c>
      <c r="AN181" s="62">
        <f ca="1">AVERAGE(OFFSET($AM$3,0,0,'Données projet'!$E$10+1,1))-AVERAGE(OFFSET($H$3,0,0,'Données projet'!$E$10+1,1))</f>
        <v>222.48114295382305</v>
      </c>
      <c r="AO181" s="62">
        <f t="shared" si="144"/>
        <v>261.55066338953611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1.3659283752741782</v>
      </c>
      <c r="AV181" s="23">
        <f>EXP(-LN(2)/25)*AV180+(1-EXP(-LN(2)/25))/(LN(2)/25)*Calculateur!AQ181*Calculateur!AS181*VLOOKUP('Données projet'!$B$10,Paramètres!$A$1:$I$89,3,0)*0.475*44/12</f>
        <v>0.16152494351800997</v>
      </c>
      <c r="AW181" s="23">
        <f>EXP(-LN(2)/2)*AW180+(1-EXP(-LN(2)/2))/(LN(2)/2)*AQ181*AT181*VLOOKUP('Données projet'!$B$10,Paramètres!$A$1:$I$89,3,0)*0.475*44/12</f>
        <v>3.0885662237722767E-22</v>
      </c>
      <c r="AX181" s="23">
        <f t="shared" si="166"/>
        <v>1.5274533187921882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131.24279999999959</v>
      </c>
      <c r="D182" s="12">
        <f t="shared" si="140"/>
        <v>34.283374706778957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1277.745910017238</v>
      </c>
      <c r="H182" s="70">
        <f t="shared" si="110"/>
        <v>581.62475428097252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5.3205440053716299E-14</v>
      </c>
      <c r="P182" s="14">
        <f t="shared" si="141"/>
        <v>8.602146238565607E-13</v>
      </c>
      <c r="Q182" s="22">
        <f t="shared" si="162"/>
        <v>1.590873277977066E-12</v>
      </c>
      <c r="R182" s="62">
        <f t="shared" si="109"/>
        <v>293.33333333333491</v>
      </c>
      <c r="S182" s="62">
        <f ca="1">AVERAGE(OFFSET($R$3,0,0,'Données projet'!$E$9+1,1))-AVERAGE(OFFSET($H$3,0,0,'Données projet'!$E$9+1,1))</f>
        <v>145.91567711893987</v>
      </c>
      <c r="T182" s="62">
        <f t="shared" si="142"/>
        <v>136.44398554363522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2.8421709430404007E-14</v>
      </c>
      <c r="AJ182" s="14">
        <f>AI182*VLOOKUP('Données projet'!$B$10,Paramètres!$A$1:$I$89,3,0)*VLOOKUP('Données projet'!$B$10,Paramètres!$A$1:$I$89,5,0)</f>
        <v>2.4829205358400945E-14</v>
      </c>
      <c r="AK182" s="14">
        <f t="shared" si="164"/>
        <v>4.3867331143352915E-13</v>
      </c>
      <c r="AL182" s="22">
        <f t="shared" si="165"/>
        <v>8.0726688341261168E-13</v>
      </c>
      <c r="AM182" s="62">
        <f t="shared" si="113"/>
        <v>293.33333333333411</v>
      </c>
      <c r="AN182" s="62">
        <f ca="1">AVERAGE(OFFSET($AM$3,0,0,'Données projet'!$E$10+1,1))-AVERAGE(OFFSET($H$3,0,0,'Données projet'!$E$10+1,1))</f>
        <v>222.48114295382305</v>
      </c>
      <c r="AO182" s="62">
        <f t="shared" si="144"/>
        <v>261.55066338953611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1.3391433529690953</v>
      </c>
      <c r="AV182" s="23">
        <f>EXP(-LN(2)/25)*AV181+(1-EXP(-LN(2)/25))/(LN(2)/25)*Calculateur!AQ182*Calculateur!AS182*VLOOKUP('Données projet'!$B$10,Paramètres!$A$1:$I$89,3,0)*0.475*44/12</f>
        <v>0.15710803544328239</v>
      </c>
      <c r="AW182" s="23">
        <f>EXP(-LN(2)/2)*AW181+(1-EXP(-LN(2)/2))/(LN(2)/2)*AQ182*AT182*VLOOKUP('Données projet'!$B$10,Paramètres!$A$1:$I$89,3,0)*0.475*44/12</f>
        <v>2.1839461209731046E-22</v>
      </c>
      <c r="AX182" s="23">
        <f t="shared" si="166"/>
        <v>1.4962513884123776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131.9759999999996</v>
      </c>
      <c r="D183" s="12">
        <f t="shared" si="140"/>
        <v>34.452553259401881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1284.7116391953803</v>
      </c>
      <c r="H183" s="70">
        <f t="shared" si="110"/>
        <v>583.19639692679084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5.3205440053716299E-14</v>
      </c>
      <c r="P183" s="14">
        <f t="shared" si="141"/>
        <v>8.602146238565607E-13</v>
      </c>
      <c r="Q183" s="22">
        <f t="shared" si="162"/>
        <v>1.590873277977066E-12</v>
      </c>
      <c r="R183" s="62">
        <f t="shared" si="109"/>
        <v>293.33333333333491</v>
      </c>
      <c r="S183" s="62">
        <f ca="1">AVERAGE(OFFSET($R$3,0,0,'Données projet'!$E$9+1,1))-AVERAGE(OFFSET($H$3,0,0,'Données projet'!$E$9+1,1))</f>
        <v>145.91567711893987</v>
      </c>
      <c r="T183" s="62">
        <f t="shared" si="142"/>
        <v>136.44398554363522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2.8421709430404007E-14</v>
      </c>
      <c r="AJ183" s="14">
        <f>AI183*VLOOKUP('Données projet'!$B$10,Paramètres!$A$1:$I$89,3,0)*VLOOKUP('Données projet'!$B$10,Paramètres!$A$1:$I$89,5,0)</f>
        <v>2.4829205358400945E-14</v>
      </c>
      <c r="AK183" s="14">
        <f t="shared" si="164"/>
        <v>4.3867331143352915E-13</v>
      </c>
      <c r="AL183" s="22">
        <f t="shared" si="165"/>
        <v>8.0726688341261168E-13</v>
      </c>
      <c r="AM183" s="62">
        <f t="shared" si="113"/>
        <v>293.33333333333411</v>
      </c>
      <c r="AN183" s="62">
        <f ca="1">AVERAGE(OFFSET($AM$3,0,0,'Données projet'!$E$10+1,1))-AVERAGE(OFFSET($H$3,0,0,'Données projet'!$E$10+1,1))</f>
        <v>222.48114295382305</v>
      </c>
      <c r="AO183" s="62">
        <f t="shared" si="144"/>
        <v>261.55066338953611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1.3128835686141647</v>
      </c>
      <c r="AV183" s="23">
        <f>EXP(-LN(2)/25)*AV182+(1-EXP(-LN(2)/25))/(LN(2)/25)*Calculateur!AQ183*Calculateur!AS183*VLOOKUP('Données projet'!$B$10,Paramètres!$A$1:$I$89,3,0)*0.475*44/12</f>
        <v>0.15281190795213331</v>
      </c>
      <c r="AW183" s="23">
        <f>EXP(-LN(2)/2)*AW182+(1-EXP(-LN(2)/2))/(LN(2)/2)*AQ183*AT183*VLOOKUP('Données projet'!$B$10,Paramètres!$A$1:$I$89,3,0)*0.475*44/12</f>
        <v>1.5442831118861384E-22</v>
      </c>
      <c r="AX183" s="23">
        <f t="shared" si="166"/>
        <v>1.465695476566298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132.70919999999961</v>
      </c>
      <c r="D184" s="12">
        <f t="shared" si="140"/>
        <v>34.621622444664645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1291.6765241342503</v>
      </c>
      <c r="H184" s="70">
        <f t="shared" si="110"/>
        <v>584.76784909112348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5.3205440053716299E-14</v>
      </c>
      <c r="P184" s="14">
        <f t="shared" si="141"/>
        <v>8.602146238565607E-13</v>
      </c>
      <c r="Q184" s="22">
        <f t="shared" si="162"/>
        <v>1.590873277977066E-12</v>
      </c>
      <c r="R184" s="62">
        <f t="shared" si="109"/>
        <v>293.33333333333491</v>
      </c>
      <c r="S184" s="62">
        <f ca="1">AVERAGE(OFFSET($R$3,0,0,'Données projet'!$E$9+1,1))-AVERAGE(OFFSET($H$3,0,0,'Données projet'!$E$9+1,1))</f>
        <v>145.91567711893987</v>
      </c>
      <c r="T184" s="62">
        <f t="shared" si="142"/>
        <v>136.44398554363522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2.8421709430404007E-14</v>
      </c>
      <c r="AJ184" s="14">
        <f>AI184*VLOOKUP('Données projet'!$B$10,Paramètres!$A$1:$I$89,3,0)*VLOOKUP('Données projet'!$B$10,Paramètres!$A$1:$I$89,5,0)</f>
        <v>2.4829205358400945E-14</v>
      </c>
      <c r="AK184" s="14">
        <f t="shared" si="164"/>
        <v>4.3867331143352915E-13</v>
      </c>
      <c r="AL184" s="22">
        <f t="shared" si="165"/>
        <v>8.0726688341261168E-13</v>
      </c>
      <c r="AM184" s="62">
        <f t="shared" si="113"/>
        <v>293.33333333333411</v>
      </c>
      <c r="AN184" s="62">
        <f ca="1">AVERAGE(OFFSET($AM$3,0,0,'Données projet'!$E$10+1,1))-AVERAGE(OFFSET($H$3,0,0,'Données projet'!$E$10+1,1))</f>
        <v>222.48114295382305</v>
      </c>
      <c r="AO184" s="62">
        <f t="shared" si="144"/>
        <v>261.55066338953611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1.2871387226135473</v>
      </c>
      <c r="AV184" s="23">
        <f>EXP(-LN(2)/25)*AV183+(1-EXP(-LN(2)/25))/(LN(2)/25)*Calculateur!AQ184*Calculateur!AS184*VLOOKUP('Données projet'!$B$10,Paramètres!$A$1:$I$89,3,0)*0.475*44/12</f>
        <v>0.14863325829315324</v>
      </c>
      <c r="AW184" s="23">
        <f>EXP(-LN(2)/2)*AW183+(1-EXP(-LN(2)/2))/(LN(2)/2)*AQ184*AT184*VLOOKUP('Données projet'!$B$10,Paramètres!$A$1:$I$89,3,0)*0.475*44/12</f>
        <v>1.0919730604865523E-22</v>
      </c>
      <c r="AX184" s="23">
        <f t="shared" si="166"/>
        <v>1.4357719809067007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133.44239999999962</v>
      </c>
      <c r="D185" s="12">
        <f t="shared" si="140"/>
        <v>34.790582936930399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1298.6405700394598</v>
      </c>
      <c r="H185" s="70">
        <f t="shared" si="110"/>
        <v>586.33911194848645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5.3205440053716299E-14</v>
      </c>
      <c r="P185" s="14">
        <f t="shared" si="141"/>
        <v>8.602146238565607E-13</v>
      </c>
      <c r="Q185" s="22">
        <f t="shared" si="162"/>
        <v>1.590873277977066E-12</v>
      </c>
      <c r="R185" s="62">
        <f t="shared" si="109"/>
        <v>293.33333333333491</v>
      </c>
      <c r="S185" s="62">
        <f ca="1">AVERAGE(OFFSET($R$3,0,0,'Données projet'!$E$9+1,1))-AVERAGE(OFFSET($H$3,0,0,'Données projet'!$E$9+1,1))</f>
        <v>145.91567711893987</v>
      </c>
      <c r="T185" s="62">
        <f t="shared" si="142"/>
        <v>136.44398554363522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2.8421709430404007E-14</v>
      </c>
      <c r="AJ185" s="14">
        <f>AI185*VLOOKUP('Données projet'!$B$10,Paramètres!$A$1:$I$89,3,0)*VLOOKUP('Données projet'!$B$10,Paramètres!$A$1:$I$89,5,0)</f>
        <v>2.4829205358400945E-14</v>
      </c>
      <c r="AK185" s="14">
        <f t="shared" si="164"/>
        <v>4.3867331143352915E-13</v>
      </c>
      <c r="AL185" s="22">
        <f t="shared" si="165"/>
        <v>8.0726688341261168E-13</v>
      </c>
      <c r="AM185" s="62">
        <f t="shared" si="113"/>
        <v>293.33333333333411</v>
      </c>
      <c r="AN185" s="62">
        <f ca="1">AVERAGE(OFFSET($AM$3,0,0,'Données projet'!$E$10+1,1))-AVERAGE(OFFSET($H$3,0,0,'Données projet'!$E$10+1,1))</f>
        <v>222.48114295382305</v>
      </c>
      <c r="AO185" s="62">
        <f t="shared" si="144"/>
        <v>261.55066338953611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1.2618987173401965</v>
      </c>
      <c r="AV185" s="23">
        <f>EXP(-LN(2)/25)*AV184+(1-EXP(-LN(2)/25))/(LN(2)/25)*Calculateur!AQ185*Calculateur!AS185*VLOOKUP('Données projet'!$B$10,Paramètres!$A$1:$I$89,3,0)*0.475*44/12</f>
        <v>0.14456887402884361</v>
      </c>
      <c r="AW185" s="23">
        <f>EXP(-LN(2)/2)*AW184+(1-EXP(-LN(2)/2))/(LN(2)/2)*AQ185*AT185*VLOOKUP('Données projet'!$B$10,Paramètres!$A$1:$I$89,3,0)*0.475*44/12</f>
        <v>7.7214155594306918E-23</v>
      </c>
      <c r="AX185" s="23">
        <f t="shared" si="166"/>
        <v>1.4064675913690401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134.17559999999963</v>
      </c>
      <c r="D186" s="12">
        <f t="shared" si="140"/>
        <v>34.959435402722669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1305.6037820561021</v>
      </c>
      <c r="H186" s="70">
        <f t="shared" si="110"/>
        <v>587.91018665974138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5.3205440053716299E-14</v>
      </c>
      <c r="P186" s="14">
        <f t="shared" si="141"/>
        <v>8.602146238565607E-13</v>
      </c>
      <c r="Q186" s="22">
        <f t="shared" si="162"/>
        <v>1.590873277977066E-12</v>
      </c>
      <c r="R186" s="62">
        <f t="shared" si="109"/>
        <v>293.33333333333491</v>
      </c>
      <c r="S186" s="62">
        <f ca="1">AVERAGE(OFFSET($R$3,0,0,'Données projet'!$E$9+1,1))-AVERAGE(OFFSET($H$3,0,0,'Données projet'!$E$9+1,1))</f>
        <v>145.91567711893987</v>
      </c>
      <c r="T186" s="62">
        <f t="shared" si="142"/>
        <v>136.44398554363522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2.8421709430404007E-14</v>
      </c>
      <c r="AJ186" s="14">
        <f>AI186*VLOOKUP('Données projet'!$B$10,Paramètres!$A$1:$I$89,3,0)*VLOOKUP('Données projet'!$B$10,Paramètres!$A$1:$I$89,5,0)</f>
        <v>2.4829205358400945E-14</v>
      </c>
      <c r="AK186" s="14">
        <f t="shared" si="164"/>
        <v>4.3867331143352915E-13</v>
      </c>
      <c r="AL186" s="22">
        <f t="shared" si="165"/>
        <v>8.0726688341261168E-13</v>
      </c>
      <c r="AM186" s="62">
        <f t="shared" si="113"/>
        <v>293.33333333333411</v>
      </c>
      <c r="AN186" s="62">
        <f ca="1">AVERAGE(OFFSET($AM$3,0,0,'Données projet'!$E$10+1,1))-AVERAGE(OFFSET($H$3,0,0,'Données projet'!$E$10+1,1))</f>
        <v>222.48114295382305</v>
      </c>
      <c r="AO186" s="62">
        <f t="shared" si="144"/>
        <v>261.55066338953611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1.2371536531753731</v>
      </c>
      <c r="AV186" s="23">
        <f>EXP(-LN(2)/25)*AV185+(1-EXP(-LN(2)/25))/(LN(2)/25)*Calculateur!AQ186*Calculateur!AS186*VLOOKUP('Données projet'!$B$10,Paramètres!$A$1:$I$89,3,0)*0.475*44/12</f>
        <v>0.1406156305659782</v>
      </c>
      <c r="AW186" s="23">
        <f>EXP(-LN(2)/2)*AW185+(1-EXP(-LN(2)/2))/(LN(2)/2)*AQ186*AT186*VLOOKUP('Données projet'!$B$10,Paramètres!$A$1:$I$89,3,0)*0.475*44/12</f>
        <v>5.4598653024327615E-23</v>
      </c>
      <c r="AX186" s="23">
        <f t="shared" si="166"/>
        <v>1.3777692837413513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134.90879999999964</v>
      </c>
      <c r="D187" s="12">
        <f t="shared" si="140"/>
        <v>35.12818050085901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1312.5661652697861</v>
      </c>
      <c r="H187" s="70">
        <f t="shared" si="110"/>
        <v>589.48107437232875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5.3205440053716299E-14</v>
      </c>
      <c r="P187" s="14">
        <f t="shared" si="141"/>
        <v>8.602146238565607E-13</v>
      </c>
      <c r="Q187" s="22">
        <f t="shared" si="162"/>
        <v>1.590873277977066E-12</v>
      </c>
      <c r="R187" s="62">
        <f t="shared" si="109"/>
        <v>293.33333333333491</v>
      </c>
      <c r="S187" s="62">
        <f ca="1">AVERAGE(OFFSET($R$3,0,0,'Données projet'!$E$9+1,1))-AVERAGE(OFFSET($H$3,0,0,'Données projet'!$E$9+1,1))</f>
        <v>145.91567711893987</v>
      </c>
      <c r="T187" s="62">
        <f t="shared" si="142"/>
        <v>136.44398554363522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2.8421709430404007E-14</v>
      </c>
      <c r="AJ187" s="14">
        <f>AI187*VLOOKUP('Données projet'!$B$10,Paramètres!$A$1:$I$89,3,0)*VLOOKUP('Données projet'!$B$10,Paramètres!$A$1:$I$89,5,0)</f>
        <v>2.4829205358400945E-14</v>
      </c>
      <c r="AK187" s="14">
        <f t="shared" si="164"/>
        <v>4.3867331143352915E-13</v>
      </c>
      <c r="AL187" s="22">
        <f t="shared" si="165"/>
        <v>8.0726688341261168E-13</v>
      </c>
      <c r="AM187" s="62">
        <f t="shared" si="113"/>
        <v>293.33333333333411</v>
      </c>
      <c r="AN187" s="62">
        <f ca="1">AVERAGE(OFFSET($AM$3,0,0,'Données projet'!$E$10+1,1))-AVERAGE(OFFSET($H$3,0,0,'Données projet'!$E$10+1,1))</f>
        <v>222.48114295382305</v>
      </c>
      <c r="AO187" s="62">
        <f t="shared" si="144"/>
        <v>261.55066338953611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1.212893824625823</v>
      </c>
      <c r="AV187" s="23">
        <f>EXP(-LN(2)/25)*AV186+(1-EXP(-LN(2)/25))/(LN(2)/25)*Calculateur!AQ187*Calculateur!AS187*VLOOKUP('Données projet'!$B$10,Paramètres!$A$1:$I$89,3,0)*0.475*44/12</f>
        <v>0.1367704887534969</v>
      </c>
      <c r="AW187" s="23">
        <f>EXP(-LN(2)/2)*AW186+(1-EXP(-LN(2)/2))/(LN(2)/2)*AQ187*AT187*VLOOKUP('Données projet'!$B$10,Paramètres!$A$1:$I$89,3,0)*0.475*44/12</f>
        <v>3.8607077797153459E-23</v>
      </c>
      <c r="AX187" s="23">
        <f t="shared" si="166"/>
        <v>1.3496643133793198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135.64199999999965</v>
      </c>
      <c r="D188" s="12">
        <f t="shared" si="140"/>
        <v>35.296818882581405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1319.5277247076435</v>
      </c>
      <c r="H188" s="70">
        <f t="shared" si="110"/>
        <v>591.0517762204953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5.3205440053716299E-14</v>
      </c>
      <c r="P188" s="14">
        <f t="shared" si="141"/>
        <v>8.602146238565607E-13</v>
      </c>
      <c r="Q188" s="22">
        <f t="shared" si="162"/>
        <v>1.590873277977066E-12</v>
      </c>
      <c r="R188" s="62">
        <f t="shared" si="109"/>
        <v>293.33333333333491</v>
      </c>
      <c r="S188" s="62">
        <f ca="1">AVERAGE(OFFSET($R$3,0,0,'Données projet'!$E$9+1,1))-AVERAGE(OFFSET($H$3,0,0,'Données projet'!$E$9+1,1))</f>
        <v>145.91567711893987</v>
      </c>
      <c r="T188" s="62">
        <f t="shared" si="142"/>
        <v>136.44398554363522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2.8421709430404007E-14</v>
      </c>
      <c r="AJ188" s="14">
        <f>AI188*VLOOKUP('Données projet'!$B$10,Paramètres!$A$1:$I$89,3,0)*VLOOKUP('Données projet'!$B$10,Paramètres!$A$1:$I$89,5,0)</f>
        <v>2.4829205358400945E-14</v>
      </c>
      <c r="AK188" s="14">
        <f t="shared" si="164"/>
        <v>4.3867331143352915E-13</v>
      </c>
      <c r="AL188" s="22">
        <f t="shared" si="165"/>
        <v>8.0726688341261168E-13</v>
      </c>
      <c r="AM188" s="62">
        <f t="shared" si="113"/>
        <v>293.33333333333411</v>
      </c>
      <c r="AN188" s="62">
        <f ca="1">AVERAGE(OFFSET($AM$3,0,0,'Données projet'!$E$10+1,1))-AVERAGE(OFFSET($H$3,0,0,'Données projet'!$E$10+1,1))</f>
        <v>222.48114295382305</v>
      </c>
      <c r="AO188" s="62">
        <f t="shared" si="144"/>
        <v>261.55066338953611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1.1891097165170952</v>
      </c>
      <c r="AV188" s="23">
        <f>EXP(-LN(2)/25)*AV187+(1-EXP(-LN(2)/25))/(LN(2)/25)*Calculateur!AQ188*Calculateur!AS188*VLOOKUP('Données projet'!$B$10,Paramètres!$A$1:$I$89,3,0)*0.475*44/12</f>
        <v>0.13303049254608512</v>
      </c>
      <c r="AW188" s="23">
        <f>EXP(-LN(2)/2)*AW187+(1-EXP(-LN(2)/2))/(LN(2)/2)*AQ188*AT188*VLOOKUP('Données projet'!$B$10,Paramètres!$A$1:$I$89,3,0)*0.475*44/12</f>
        <v>2.7299326512163807E-23</v>
      </c>
      <c r="AX188" s="23">
        <f t="shared" si="166"/>
        <v>1.3221402090631802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136.37519999999967</v>
      </c>
      <c r="D189" s="12">
        <f t="shared" si="140"/>
        <v>35.465351191683915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1326.4884653393119</v>
      </c>
      <c r="H189" s="70">
        <f t="shared" si="110"/>
        <v>592.62229332551556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5.3205440053716299E-14</v>
      </c>
      <c r="P189" s="14">
        <f t="shared" si="141"/>
        <v>8.602146238565607E-13</v>
      </c>
      <c r="Q189" s="22">
        <f t="shared" si="162"/>
        <v>1.590873277977066E-12</v>
      </c>
      <c r="R189" s="62">
        <f t="shared" si="109"/>
        <v>293.33333333333491</v>
      </c>
      <c r="S189" s="62">
        <f ca="1">AVERAGE(OFFSET($R$3,0,0,'Données projet'!$E$9+1,1))-AVERAGE(OFFSET($H$3,0,0,'Données projet'!$E$9+1,1))</f>
        <v>145.91567711893987</v>
      </c>
      <c r="T189" s="62">
        <f t="shared" si="142"/>
        <v>136.44398554363522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2.8421709430404007E-14</v>
      </c>
      <c r="AJ189" s="14">
        <f>AI189*VLOOKUP('Données projet'!$B$10,Paramètres!$A$1:$I$89,3,0)*VLOOKUP('Données projet'!$B$10,Paramètres!$A$1:$I$89,5,0)</f>
        <v>2.4829205358400945E-14</v>
      </c>
      <c r="AK189" s="14">
        <f t="shared" si="164"/>
        <v>4.3867331143352915E-13</v>
      </c>
      <c r="AL189" s="22">
        <f t="shared" si="165"/>
        <v>8.0726688341261168E-13</v>
      </c>
      <c r="AM189" s="62">
        <f t="shared" si="113"/>
        <v>293.33333333333411</v>
      </c>
      <c r="AN189" s="62">
        <f ca="1">AVERAGE(OFFSET($AM$3,0,0,'Données projet'!$E$10+1,1))-AVERAGE(OFFSET($H$3,0,0,'Données projet'!$E$10+1,1))</f>
        <v>222.48114295382305</v>
      </c>
      <c r="AO189" s="62">
        <f t="shared" si="144"/>
        <v>261.55066338953611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1.1657920002615061</v>
      </c>
      <c r="AV189" s="23">
        <f>EXP(-LN(2)/25)*AV188+(1-EXP(-LN(2)/25))/(LN(2)/25)*Calculateur!AQ189*Calculateur!AS189*VLOOKUP('Données projet'!$B$10,Paramètres!$A$1:$I$89,3,0)*0.475*44/12</f>
        <v>0.12939276673164288</v>
      </c>
      <c r="AW189" s="23">
        <f>EXP(-LN(2)/2)*AW188+(1-EXP(-LN(2)/2))/(LN(2)/2)*AQ189*AT189*VLOOKUP('Données projet'!$B$10,Paramètres!$A$1:$I$89,3,0)*0.475*44/12</f>
        <v>1.930353889857673E-23</v>
      </c>
      <c r="AX189" s="23">
        <f t="shared" si="166"/>
        <v>1.2951847669931489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137.10839999999968</v>
      </c>
      <c r="D190" s="12">
        <f t="shared" si="140"/>
        <v>35.633778064637305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1333.4483920778996</v>
      </c>
      <c r="H190" s="70">
        <f t="shared" si="110"/>
        <v>594.1926267959094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5.3205440053716299E-14</v>
      </c>
      <c r="P190" s="14">
        <f t="shared" si="141"/>
        <v>8.602146238565607E-13</v>
      </c>
      <c r="Q190" s="22">
        <f t="shared" si="162"/>
        <v>1.590873277977066E-12</v>
      </c>
      <c r="R190" s="62">
        <f t="shared" si="109"/>
        <v>293.33333333333491</v>
      </c>
      <c r="S190" s="62">
        <f ca="1">AVERAGE(OFFSET($R$3,0,0,'Données projet'!$E$9+1,1))-AVERAGE(OFFSET($H$3,0,0,'Données projet'!$E$9+1,1))</f>
        <v>145.91567711893987</v>
      </c>
      <c r="T190" s="62">
        <f t="shared" si="142"/>
        <v>136.44398554363522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2.8421709430404007E-14</v>
      </c>
      <c r="AJ190" s="14">
        <f>AI190*VLOOKUP('Données projet'!$B$10,Paramètres!$A$1:$I$89,3,0)*VLOOKUP('Données projet'!$B$10,Paramètres!$A$1:$I$89,5,0)</f>
        <v>2.4829205358400945E-14</v>
      </c>
      <c r="AK190" s="14">
        <f t="shared" si="164"/>
        <v>4.3867331143352915E-13</v>
      </c>
      <c r="AL190" s="22">
        <f t="shared" si="165"/>
        <v>8.0726688341261168E-13</v>
      </c>
      <c r="AM190" s="62">
        <f t="shared" si="113"/>
        <v>293.33333333333411</v>
      </c>
      <c r="AN190" s="62">
        <f ca="1">AVERAGE(OFFSET($AM$3,0,0,'Données projet'!$E$10+1,1))-AVERAGE(OFFSET($H$3,0,0,'Données projet'!$E$10+1,1))</f>
        <v>222.48114295382305</v>
      </c>
      <c r="AO190" s="62">
        <f t="shared" si="144"/>
        <v>261.55066338953611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1.1429315301992864</v>
      </c>
      <c r="AV190" s="23">
        <f>EXP(-LN(2)/25)*AV189+(1-EXP(-LN(2)/25))/(LN(2)/25)*Calculateur!AQ190*Calculateur!AS190*VLOOKUP('Données projet'!$B$10,Paramètres!$A$1:$I$89,3,0)*0.475*44/12</f>
        <v>0.12585451472089623</v>
      </c>
      <c r="AW190" s="23">
        <f>EXP(-LN(2)/2)*AW189+(1-EXP(-LN(2)/2))/(LN(2)/2)*AQ190*AT190*VLOOKUP('Données projet'!$B$10,Paramètres!$A$1:$I$89,3,0)*0.475*44/12</f>
        <v>1.3649663256081904E-23</v>
      </c>
      <c r="AX190" s="23">
        <f t="shared" si="166"/>
        <v>1.2687860449201827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137.84159999999969</v>
      </c>
      <c r="D191" s="12">
        <f t="shared" si="140"/>
        <v>35.802100130711267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1340.4075097809266</v>
      </c>
      <c r="H191" s="70">
        <f t="shared" si="110"/>
        <v>595.76277772765491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5.3205440053716299E-14</v>
      </c>
      <c r="P191" s="14">
        <f t="shared" si="141"/>
        <v>8.602146238565607E-13</v>
      </c>
      <c r="Q191" s="22">
        <f t="shared" si="162"/>
        <v>1.590873277977066E-12</v>
      </c>
      <c r="R191" s="62">
        <f t="shared" si="109"/>
        <v>293.33333333333491</v>
      </c>
      <c r="S191" s="62">
        <f ca="1">AVERAGE(OFFSET($R$3,0,0,'Données projet'!$E$9+1,1))-AVERAGE(OFFSET($H$3,0,0,'Données projet'!$E$9+1,1))</f>
        <v>145.91567711893987</v>
      </c>
      <c r="T191" s="62">
        <f t="shared" si="142"/>
        <v>136.44398554363522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2.8421709430404007E-14</v>
      </c>
      <c r="AJ191" s="14">
        <f>AI191*VLOOKUP('Données projet'!$B$10,Paramètres!$A$1:$I$89,3,0)*VLOOKUP('Données projet'!$B$10,Paramètres!$A$1:$I$89,5,0)</f>
        <v>2.4829205358400945E-14</v>
      </c>
      <c r="AK191" s="14">
        <f t="shared" si="164"/>
        <v>4.3867331143352915E-13</v>
      </c>
      <c r="AL191" s="22">
        <f t="shared" si="165"/>
        <v>8.0726688341261168E-13</v>
      </c>
      <c r="AM191" s="62">
        <f t="shared" si="113"/>
        <v>293.33333333333411</v>
      </c>
      <c r="AN191" s="62">
        <f ca="1">AVERAGE(OFFSET($AM$3,0,0,'Données projet'!$E$10+1,1))-AVERAGE(OFFSET($H$3,0,0,'Données projet'!$E$10+1,1))</f>
        <v>222.48114295382305</v>
      </c>
      <c r="AO191" s="62">
        <f t="shared" si="144"/>
        <v>261.55066338953611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1.120519340011477</v>
      </c>
      <c r="AV191" s="23">
        <f>EXP(-LN(2)/25)*AV190+(1-EXP(-LN(2)/25))/(LN(2)/25)*Calculateur!AQ191*Calculateur!AS191*VLOOKUP('Données projet'!$B$10,Paramètres!$A$1:$I$89,3,0)*0.475*44/12</f>
        <v>0.12241301639745204</v>
      </c>
      <c r="AW191" s="23">
        <f>EXP(-LN(2)/2)*AW190+(1-EXP(-LN(2)/2))/(LN(2)/2)*AQ191*AT191*VLOOKUP('Données projet'!$B$10,Paramètres!$A$1:$I$89,3,0)*0.475*44/12</f>
        <v>9.6517694492883648E-24</v>
      </c>
      <c r="AX191" s="23">
        <f t="shared" si="166"/>
        <v>1.242932356408929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138.5747999999997</v>
      </c>
      <c r="D192" s="12">
        <f t="shared" si="140"/>
        <v>35.970318012093358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1347.3658232512446</v>
      </c>
      <c r="H192" s="70">
        <f t="shared" si="110"/>
        <v>597.33274720439533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5.3205440053716299E-14</v>
      </c>
      <c r="P192" s="14">
        <f t="shared" si="141"/>
        <v>8.602146238565607E-13</v>
      </c>
      <c r="Q192" s="22">
        <f t="shared" si="162"/>
        <v>1.590873277977066E-12</v>
      </c>
      <c r="R192" s="62">
        <f t="shared" si="109"/>
        <v>293.33333333333491</v>
      </c>
      <c r="S192" s="62">
        <f ca="1">AVERAGE(OFFSET($R$3,0,0,'Données projet'!$E$9+1,1))-AVERAGE(OFFSET($H$3,0,0,'Données projet'!$E$9+1,1))</f>
        <v>145.91567711893987</v>
      </c>
      <c r="T192" s="62">
        <f t="shared" si="142"/>
        <v>136.44398554363522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2.8421709430404007E-14</v>
      </c>
      <c r="AJ192" s="14">
        <f>AI192*VLOOKUP('Données projet'!$B$10,Paramètres!$A$1:$I$89,3,0)*VLOOKUP('Données projet'!$B$10,Paramètres!$A$1:$I$89,5,0)</f>
        <v>2.4829205358400945E-14</v>
      </c>
      <c r="AK192" s="14">
        <f t="shared" si="164"/>
        <v>4.3867331143352915E-13</v>
      </c>
      <c r="AL192" s="22">
        <f t="shared" si="165"/>
        <v>8.0726688341261168E-13</v>
      </c>
      <c r="AM192" s="62">
        <f t="shared" si="113"/>
        <v>293.33333333333411</v>
      </c>
      <c r="AN192" s="62">
        <f ca="1">AVERAGE(OFFSET($AM$3,0,0,'Données projet'!$E$10+1,1))-AVERAGE(OFFSET($H$3,0,0,'Données projet'!$E$10+1,1))</f>
        <v>222.48114295382305</v>
      </c>
      <c r="AO192" s="62">
        <f t="shared" si="144"/>
        <v>261.55066338953611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1.0985466392031644</v>
      </c>
      <c r="AV192" s="23">
        <f>EXP(-LN(2)/25)*AV191+(1-EXP(-LN(2)/25))/(LN(2)/25)*Calculateur!AQ192*Calculateur!AS192*VLOOKUP('Données projet'!$B$10,Paramètres!$A$1:$I$89,3,0)*0.475*44/12</f>
        <v>0.11906562602664296</v>
      </c>
      <c r="AW192" s="23">
        <f>EXP(-LN(2)/2)*AW191+(1-EXP(-LN(2)/2))/(LN(2)/2)*AQ192*AT192*VLOOKUP('Données projet'!$B$10,Paramètres!$A$1:$I$89,3,0)*0.475*44/12</f>
        <v>6.8248316280409519E-24</v>
      </c>
      <c r="AX192" s="23">
        <f t="shared" si="166"/>
        <v>1.2176122652298074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139.30799999999971</v>
      </c>
      <c r="D193" s="12">
        <f t="shared" si="140"/>
        <v>36.138432324006331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1354.3233372379414</v>
      </c>
      <c r="H193" s="70">
        <f t="shared" si="110"/>
        <v>598.90253629764379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5.3205440053716299E-14</v>
      </c>
      <c r="P193" s="14">
        <f t="shared" si="141"/>
        <v>8.602146238565607E-13</v>
      </c>
      <c r="Q193" s="22">
        <f t="shared" si="162"/>
        <v>1.590873277977066E-12</v>
      </c>
      <c r="R193" s="62">
        <f t="shared" si="109"/>
        <v>293.33333333333491</v>
      </c>
      <c r="S193" s="62">
        <f ca="1">AVERAGE(OFFSET($R$3,0,0,'Données projet'!$E$9+1,1))-AVERAGE(OFFSET($H$3,0,0,'Données projet'!$E$9+1,1))</f>
        <v>145.91567711893987</v>
      </c>
      <c r="T193" s="62">
        <f t="shared" si="142"/>
        <v>136.44398554363522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2.8421709430404007E-14</v>
      </c>
      <c r="AJ193" s="14">
        <f>AI193*VLOOKUP('Données projet'!$B$10,Paramètres!$A$1:$I$89,3,0)*VLOOKUP('Données projet'!$B$10,Paramètres!$A$1:$I$89,5,0)</f>
        <v>2.4829205358400945E-14</v>
      </c>
      <c r="AK193" s="14">
        <f t="shared" si="164"/>
        <v>4.3867331143352915E-13</v>
      </c>
      <c r="AL193" s="22">
        <f t="shared" si="165"/>
        <v>8.0726688341261168E-13</v>
      </c>
      <c r="AM193" s="62">
        <f t="shared" si="113"/>
        <v>293.33333333333411</v>
      </c>
      <c r="AN193" s="62">
        <f ca="1">AVERAGE(OFFSET($AM$3,0,0,'Données projet'!$E$10+1,1))-AVERAGE(OFFSET($H$3,0,0,'Données projet'!$E$10+1,1))</f>
        <v>222.48114295382305</v>
      </c>
      <c r="AO193" s="62">
        <f t="shared" si="144"/>
        <v>261.55066338953611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1.0770048096556786</v>
      </c>
      <c r="AV193" s="23">
        <f>EXP(-LN(2)/25)*AV192+(1-EXP(-LN(2)/25))/(LN(2)/25)*Calculateur!AQ193*Calculateur!AS193*VLOOKUP('Données projet'!$B$10,Paramètres!$A$1:$I$89,3,0)*0.475*44/12</f>
        <v>0.11580977022155527</v>
      </c>
      <c r="AW193" s="23">
        <f>EXP(-LN(2)/2)*AW192+(1-EXP(-LN(2)/2))/(LN(2)/2)*AQ193*AT193*VLOOKUP('Données projet'!$B$10,Paramètres!$A$1:$I$89,3,0)*0.475*44/12</f>
        <v>4.8258847246441824E-24</v>
      </c>
      <c r="AX193" s="23">
        <f t="shared" si="166"/>
        <v>1.1928145798772338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140.04119999999972</v>
      </c>
      <c r="D194" s="12">
        <f t="shared" si="140"/>
        <v>36.306443674821708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1361.280056437218</v>
      </c>
      <c r="H194" s="70">
        <f t="shared" si="110"/>
        <v>600.4721460669806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5.3205440053716299E-14</v>
      </c>
      <c r="P194" s="14">
        <f t="shared" si="141"/>
        <v>8.602146238565607E-13</v>
      </c>
      <c r="Q194" s="22">
        <f t="shared" si="162"/>
        <v>1.590873277977066E-12</v>
      </c>
      <c r="R194" s="62">
        <f t="shared" si="109"/>
        <v>293.33333333333491</v>
      </c>
      <c r="S194" s="62">
        <f ca="1">AVERAGE(OFFSET($R$3,0,0,'Données projet'!$E$9+1,1))-AVERAGE(OFFSET($H$3,0,0,'Données projet'!$E$9+1,1))</f>
        <v>145.91567711893987</v>
      </c>
      <c r="T194" s="62">
        <f t="shared" si="142"/>
        <v>136.44398554363522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2.8421709430404007E-14</v>
      </c>
      <c r="AJ194" s="14">
        <f>AI194*VLOOKUP('Données projet'!$B$10,Paramètres!$A$1:$I$89,3,0)*VLOOKUP('Données projet'!$B$10,Paramètres!$A$1:$I$89,5,0)</f>
        <v>2.4829205358400945E-14</v>
      </c>
      <c r="AK194" s="14">
        <f t="shared" si="164"/>
        <v>4.3867331143352915E-13</v>
      </c>
      <c r="AL194" s="22">
        <f t="shared" si="165"/>
        <v>8.0726688341261168E-13</v>
      </c>
      <c r="AM194" s="62">
        <f t="shared" si="113"/>
        <v>293.33333333333411</v>
      </c>
      <c r="AN194" s="62">
        <f ca="1">AVERAGE(OFFSET($AM$3,0,0,'Données projet'!$E$10+1,1))-AVERAGE(OFFSET($H$3,0,0,'Données projet'!$E$10+1,1))</f>
        <v>222.48114295382305</v>
      </c>
      <c r="AO194" s="62">
        <f t="shared" si="144"/>
        <v>261.55066338953611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1.0558854022464004</v>
      </c>
      <c r="AV194" s="23">
        <f>EXP(-LN(2)/25)*AV193+(1-EXP(-LN(2)/25))/(LN(2)/25)*Calculateur!AQ194*Calculateur!AS194*VLOOKUP('Données projet'!$B$10,Paramètres!$A$1:$I$89,3,0)*0.475*44/12</f>
        <v>0.11264294596467571</v>
      </c>
      <c r="AW194" s="23">
        <f>EXP(-LN(2)/2)*AW193+(1-EXP(-LN(2)/2))/(LN(2)/2)*AQ194*AT194*VLOOKUP('Données projet'!$B$10,Paramètres!$A$1:$I$89,3,0)*0.475*44/12</f>
        <v>3.4124158140204759E-24</v>
      </c>
      <c r="AX194" s="23">
        <f t="shared" si="166"/>
        <v>1.168528348211076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140.77439999999973</v>
      </c>
      <c r="D195" s="12">
        <f t="shared" si="140"/>
        <v>36.474352666172038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1368.2359854932556</v>
      </c>
      <c r="H195" s="70">
        <f t="shared" si="110"/>
        <v>602.04157756024915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5.3205440053716299E-14</v>
      </c>
      <c r="P195" s="14">
        <f t="shared" si="141"/>
        <v>8.602146238565607E-13</v>
      </c>
      <c r="Q195" s="22">
        <f t="shared" si="162"/>
        <v>1.590873277977066E-12</v>
      </c>
      <c r="R195" s="62">
        <f t="shared" ref="R195:R203" si="191">Q195+(I195+J195)*44/12</f>
        <v>293.33333333333491</v>
      </c>
      <c r="S195" s="62">
        <f ca="1">AVERAGE(OFFSET($R$3,0,0,'Données projet'!$E$9+1,1))-AVERAGE(OFFSET($H$3,0,0,'Données projet'!$E$9+1,1))</f>
        <v>145.91567711893987</v>
      </c>
      <c r="T195" s="62">
        <f t="shared" si="142"/>
        <v>136.44398554363522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2.8421709430404007E-14</v>
      </c>
      <c r="AJ195" s="14">
        <f>AI195*VLOOKUP('Données projet'!$B$10,Paramètres!$A$1:$I$89,3,0)*VLOOKUP('Données projet'!$B$10,Paramètres!$A$1:$I$89,5,0)</f>
        <v>2.4829205358400945E-14</v>
      </c>
      <c r="AK195" s="14">
        <f t="shared" si="164"/>
        <v>4.3867331143352915E-13</v>
      </c>
      <c r="AL195" s="22">
        <f t="shared" si="165"/>
        <v>8.0726688341261168E-13</v>
      </c>
      <c r="AM195" s="62">
        <f t="shared" si="113"/>
        <v>293.33333333333411</v>
      </c>
      <c r="AN195" s="62">
        <f ca="1">AVERAGE(OFFSET($AM$3,0,0,'Données projet'!$E$10+1,1))-AVERAGE(OFFSET($H$3,0,0,'Données projet'!$E$10+1,1))</f>
        <v>222.48114295382305</v>
      </c>
      <c r="AO195" s="62">
        <f t="shared" si="144"/>
        <v>261.55066338953611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1.0351801335348514</v>
      </c>
      <c r="AV195" s="23">
        <f>EXP(-LN(2)/25)*AV194+(1-EXP(-LN(2)/25))/(LN(2)/25)*Calculateur!AQ195*Calculateur!AS195*VLOOKUP('Données projet'!$B$10,Paramètres!$A$1:$I$89,3,0)*0.475*44/12</f>
        <v>0.10956271868363657</v>
      </c>
      <c r="AW195" s="23">
        <f>EXP(-LN(2)/2)*AW194+(1-EXP(-LN(2)/2))/(LN(2)/2)*AQ195*AT195*VLOOKUP('Données projet'!$B$10,Paramètres!$A$1:$I$89,3,0)*0.475*44/12</f>
        <v>2.4129423623220912E-24</v>
      </c>
      <c r="AX195" s="23">
        <f t="shared" si="166"/>
        <v>1.1447428522184879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141.50759999999974</v>
      </c>
      <c r="D196" s="12">
        <f t="shared" si="140"/>
        <v>36.642159893059954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1375.1911289990574</v>
      </c>
      <c r="H196" s="70">
        <f t="shared" ref="H196:H203" si="192">(B196+E196+F196)*44/12+(C196+D196)*0.475*44/12</f>
        <v>603.61083181374556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5.3205440053716299E-14</v>
      </c>
      <c r="P196" s="14">
        <f t="shared" si="141"/>
        <v>8.602146238565607E-13</v>
      </c>
      <c r="Q196" s="22">
        <f t="shared" si="162"/>
        <v>1.590873277977066E-12</v>
      </c>
      <c r="R196" s="62">
        <f t="shared" si="191"/>
        <v>293.33333333333491</v>
      </c>
      <c r="S196" s="62">
        <f ca="1">AVERAGE(OFFSET($R$3,0,0,'Données projet'!$E$9+1,1))-AVERAGE(OFFSET($H$3,0,0,'Données projet'!$E$9+1,1))</f>
        <v>145.91567711893987</v>
      </c>
      <c r="T196" s="62">
        <f t="shared" si="142"/>
        <v>136.44398554363522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2.8421709430404007E-14</v>
      </c>
      <c r="AJ196" s="14">
        <f>AI196*VLOOKUP('Données projet'!$B$10,Paramètres!$A$1:$I$89,3,0)*VLOOKUP('Données projet'!$B$10,Paramètres!$A$1:$I$89,5,0)</f>
        <v>2.4829205358400945E-14</v>
      </c>
      <c r="AK196" s="14">
        <f t="shared" si="164"/>
        <v>4.3867331143352915E-13</v>
      </c>
      <c r="AL196" s="22">
        <f t="shared" si="165"/>
        <v>8.0726688341261168E-13</v>
      </c>
      <c r="AM196" s="62">
        <f t="shared" ref="AM196:AM203" si="193">AL196+(AD196+AE196)*44/12</f>
        <v>293.33333333333411</v>
      </c>
      <c r="AN196" s="62">
        <f ca="1">AVERAGE(OFFSET($AM$3,0,0,'Données projet'!$E$10+1,1))-AVERAGE(OFFSET($H$3,0,0,'Données projet'!$E$10+1,1))</f>
        <v>222.48114295382305</v>
      </c>
      <c r="AO196" s="62">
        <f t="shared" si="144"/>
        <v>261.55066338953611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1.0148808825137692</v>
      </c>
      <c r="AV196" s="23">
        <f>EXP(-LN(2)/25)*AV195+(1-EXP(-LN(2)/25))/(LN(2)/25)*Calculateur!AQ196*Calculateur!AS196*VLOOKUP('Données projet'!$B$10,Paramètres!$A$1:$I$89,3,0)*0.475*44/12</f>
        <v>0.10656672037957955</v>
      </c>
      <c r="AW196" s="23">
        <f>EXP(-LN(2)/2)*AW195+(1-EXP(-LN(2)/2))/(LN(2)/2)*AQ196*AT196*VLOOKUP('Données projet'!$B$10,Paramètres!$A$1:$I$89,3,0)*0.475*44/12</f>
        <v>1.706207907010238E-24</v>
      </c>
      <c r="AX196" s="23">
        <f t="shared" si="166"/>
        <v>1.1214476028933487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142.24079999999975</v>
      </c>
      <c r="D197" s="12">
        <f t="shared" ref="D197:D203" si="202">IFERROR(EXP(-1.0587+0.8836*LN(C197)+0.284),0)</f>
        <v>36.80986594396532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1382.1454914972744</v>
      </c>
      <c r="H197" s="70">
        <f t="shared" si="192"/>
        <v>605.17990985240579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5.3205440053716299E-14</v>
      </c>
      <c r="P197" s="14">
        <f t="shared" ref="P197:P203" si="203">EXP(-1.0587+0.8836*LN(O197)+0.284)</f>
        <v>8.602146238565607E-13</v>
      </c>
      <c r="Q197" s="22">
        <f t="shared" si="162"/>
        <v>1.590873277977066E-12</v>
      </c>
      <c r="R197" s="62">
        <f t="shared" si="191"/>
        <v>293.33333333333491</v>
      </c>
      <c r="S197" s="62">
        <f ca="1">AVERAGE(OFFSET($R$3,0,0,'Données projet'!$E$9+1,1))-AVERAGE(OFFSET($H$3,0,0,'Données projet'!$E$9+1,1))</f>
        <v>145.91567711893987</v>
      </c>
      <c r="T197" s="62">
        <f t="shared" ref="T197:T203" si="204">$T$3</f>
        <v>136.44398554363522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2.8421709430404007E-14</v>
      </c>
      <c r="AJ197" s="14">
        <f>AI197*VLOOKUP('Données projet'!$B$10,Paramètres!$A$1:$I$89,3,0)*VLOOKUP('Données projet'!$B$10,Paramètres!$A$1:$I$89,5,0)</f>
        <v>2.4829205358400945E-14</v>
      </c>
      <c r="AK197" s="14">
        <f t="shared" si="164"/>
        <v>4.3867331143352915E-13</v>
      </c>
      <c r="AL197" s="22">
        <f t="shared" si="165"/>
        <v>8.0726688341261168E-13</v>
      </c>
      <c r="AM197" s="62">
        <f t="shared" si="193"/>
        <v>293.33333333333411</v>
      </c>
      <c r="AN197" s="62">
        <f ca="1">AVERAGE(OFFSET($AM$3,0,0,'Données projet'!$E$10+1,1))-AVERAGE(OFFSET($H$3,0,0,'Données projet'!$E$10+1,1))</f>
        <v>222.48114295382305</v>
      </c>
      <c r="AO197" s="62">
        <f t="shared" ref="AO197:AO203" si="205">$AO$3</f>
        <v>261.55066338953611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0.99497968742388976</v>
      </c>
      <c r="AV197" s="23">
        <f>EXP(-LN(2)/25)*AV196+(1-EXP(-LN(2)/25))/(LN(2)/25)*Calculateur!AQ197*Calculateur!AS197*VLOOKUP('Données projet'!$B$10,Paramètres!$A$1:$I$89,3,0)*0.475*44/12</f>
        <v>0.10365264780669968</v>
      </c>
      <c r="AW197" s="23">
        <f>EXP(-LN(2)/2)*AW196+(1-EXP(-LN(2)/2))/(LN(2)/2)*AQ197*AT197*VLOOKUP('Données projet'!$B$10,Paramètres!$A$1:$I$89,3,0)*0.475*44/12</f>
        <v>1.2064711811610456E-24</v>
      </c>
      <c r="AX197" s="23">
        <f t="shared" si="166"/>
        <v>1.0986323352305893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142.97399999999976</v>
      </c>
      <c r="D198" s="12">
        <f t="shared" si="202"/>
        <v>36.977471400949966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1389.0990774810155</v>
      </c>
      <c r="H198" s="70">
        <f t="shared" si="192"/>
        <v>606.7488126899874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5.3205440053716299E-14</v>
      </c>
      <c r="P198" s="14">
        <f t="shared" si="203"/>
        <v>8.602146238565607E-13</v>
      </c>
      <c r="Q198" s="22">
        <f t="shared" si="162"/>
        <v>1.590873277977066E-12</v>
      </c>
      <c r="R198" s="62">
        <f t="shared" si="191"/>
        <v>293.33333333333491</v>
      </c>
      <c r="S198" s="62">
        <f ca="1">AVERAGE(OFFSET($R$3,0,0,'Données projet'!$E$9+1,1))-AVERAGE(OFFSET($H$3,0,0,'Données projet'!$E$9+1,1))</f>
        <v>145.91567711893987</v>
      </c>
      <c r="T198" s="62">
        <f t="shared" si="204"/>
        <v>136.44398554363522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2.8421709430404007E-14</v>
      </c>
      <c r="AJ198" s="14">
        <f>AI198*VLOOKUP('Données projet'!$B$10,Paramètres!$A$1:$I$89,3,0)*VLOOKUP('Données projet'!$B$10,Paramètres!$A$1:$I$89,5,0)</f>
        <v>2.4829205358400945E-14</v>
      </c>
      <c r="AK198" s="14">
        <f t="shared" si="164"/>
        <v>4.3867331143352915E-13</v>
      </c>
      <c r="AL198" s="22">
        <f t="shared" si="165"/>
        <v>8.0726688341261168E-13</v>
      </c>
      <c r="AM198" s="62">
        <f t="shared" si="193"/>
        <v>293.33333333333411</v>
      </c>
      <c r="AN198" s="62">
        <f ca="1">AVERAGE(OFFSET($AM$3,0,0,'Données projet'!$E$10+1,1))-AVERAGE(OFFSET($H$3,0,0,'Données projet'!$E$10+1,1))</f>
        <v>222.48114295382305</v>
      </c>
      <c r="AO198" s="62">
        <f t="shared" si="205"/>
        <v>261.55066338953611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0.97546874263119243</v>
      </c>
      <c r="AV198" s="23">
        <f>EXP(-LN(2)/25)*AV197+(1-EXP(-LN(2)/25))/(LN(2)/25)*Calculateur!AQ198*Calculateur!AS198*VLOOKUP('Données projet'!$B$10,Paramètres!$A$1:$I$89,3,0)*0.475*44/12</f>
        <v>0.10081826070156963</v>
      </c>
      <c r="AW198" s="23">
        <f>EXP(-LN(2)/2)*AW197+(1-EXP(-LN(2)/2))/(LN(2)/2)*AQ198*AT198*VLOOKUP('Données projet'!$B$10,Paramètres!$A$1:$I$89,3,0)*0.475*44/12</f>
        <v>8.5310395350511898E-25</v>
      </c>
      <c r="AX198" s="23">
        <f t="shared" si="166"/>
        <v>1.0762870033327621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143.70719999999977</v>
      </c>
      <c r="D199" s="12">
        <f t="shared" si="202"/>
        <v>37.144976839760147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1396.051891394638</v>
      </c>
      <c r="H199" s="70">
        <f t="shared" si="192"/>
        <v>608.31754132924857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5.3205440053716299E-14</v>
      </c>
      <c r="P199" s="14">
        <f t="shared" si="203"/>
        <v>8.602146238565607E-13</v>
      </c>
      <c r="Q199" s="22">
        <f t="shared" si="162"/>
        <v>1.590873277977066E-12</v>
      </c>
      <c r="R199" s="62">
        <f t="shared" si="191"/>
        <v>293.33333333333491</v>
      </c>
      <c r="S199" s="62">
        <f ca="1">AVERAGE(OFFSET($R$3,0,0,'Données projet'!$E$9+1,1))-AVERAGE(OFFSET($H$3,0,0,'Données projet'!$E$9+1,1))</f>
        <v>145.91567711893987</v>
      </c>
      <c r="T199" s="62">
        <f t="shared" si="204"/>
        <v>136.44398554363522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2.8421709430404007E-14</v>
      </c>
      <c r="AJ199" s="14">
        <f>AI199*VLOOKUP('Données projet'!$B$10,Paramètres!$A$1:$I$89,3,0)*VLOOKUP('Données projet'!$B$10,Paramètres!$A$1:$I$89,5,0)</f>
        <v>2.4829205358400945E-14</v>
      </c>
      <c r="AK199" s="14">
        <f t="shared" si="164"/>
        <v>4.3867331143352915E-13</v>
      </c>
      <c r="AL199" s="22">
        <f t="shared" si="165"/>
        <v>8.0726688341261168E-13</v>
      </c>
      <c r="AM199" s="62">
        <f t="shared" si="193"/>
        <v>293.33333333333411</v>
      </c>
      <c r="AN199" s="62">
        <f ca="1">AVERAGE(OFFSET($AM$3,0,0,'Données projet'!$E$10+1,1))-AVERAGE(OFFSET($H$3,0,0,'Données projet'!$E$10+1,1))</f>
        <v>222.48114295382305</v>
      </c>
      <c r="AO199" s="62">
        <f t="shared" si="205"/>
        <v>261.55066338953611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0.95634039556537864</v>
      </c>
      <c r="AV199" s="23">
        <f>EXP(-LN(2)/25)*AV198+(1-EXP(-LN(2)/25))/(LN(2)/25)*Calculateur!AQ199*Calculateur!AS199*VLOOKUP('Données projet'!$B$10,Paramètres!$A$1:$I$89,3,0)*0.475*44/12</f>
        <v>9.8061380060883302E-2</v>
      </c>
      <c r="AW199" s="23">
        <f>EXP(-LN(2)/2)*AW198+(1-EXP(-LN(2)/2))/(LN(2)/2)*AQ199*AT199*VLOOKUP('Données projet'!$B$10,Paramètres!$A$1:$I$89,3,0)*0.475*44/12</f>
        <v>6.032355905805228E-25</v>
      </c>
      <c r="AX199" s="23">
        <f t="shared" si="166"/>
        <v>1.054401775626262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144.44039999999978</v>
      </c>
      <c r="D200" s="12">
        <f t="shared" si="202"/>
        <v>37.312382829927017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1403.0039376345223</v>
      </c>
      <c r="H200" s="70">
        <f t="shared" si="192"/>
        <v>609.88609676212241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5.3205440053716299E-14</v>
      </c>
      <c r="P200" s="14">
        <f t="shared" si="203"/>
        <v>8.602146238565607E-13</v>
      </c>
      <c r="Q200" s="22">
        <f t="shared" si="162"/>
        <v>1.590873277977066E-12</v>
      </c>
      <c r="R200" s="62">
        <f t="shared" si="191"/>
        <v>293.33333333333491</v>
      </c>
      <c r="S200" s="62">
        <f ca="1">AVERAGE(OFFSET($R$3,0,0,'Données projet'!$E$9+1,1))-AVERAGE(OFFSET($H$3,0,0,'Données projet'!$E$9+1,1))</f>
        <v>145.91567711893987</v>
      </c>
      <c r="T200" s="62">
        <f t="shared" si="204"/>
        <v>136.44398554363522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2.8421709430404007E-14</v>
      </c>
      <c r="AJ200" s="14">
        <f>AI200*VLOOKUP('Données projet'!$B$10,Paramètres!$A$1:$I$89,3,0)*VLOOKUP('Données projet'!$B$10,Paramètres!$A$1:$I$89,5,0)</f>
        <v>2.4829205358400945E-14</v>
      </c>
      <c r="AK200" s="14">
        <f t="shared" si="164"/>
        <v>4.3867331143352915E-13</v>
      </c>
      <c r="AL200" s="22">
        <f t="shared" si="165"/>
        <v>8.0726688341261168E-13</v>
      </c>
      <c r="AM200" s="62">
        <f t="shared" si="193"/>
        <v>293.33333333333411</v>
      </c>
      <c r="AN200" s="62">
        <f ca="1">AVERAGE(OFFSET($AM$3,0,0,'Données projet'!$E$10+1,1))-AVERAGE(OFFSET($H$3,0,0,'Données projet'!$E$10+1,1))</f>
        <v>222.48114295382305</v>
      </c>
      <c r="AO200" s="62">
        <f t="shared" si="205"/>
        <v>261.55066338953611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0.93758714371838581</v>
      </c>
      <c r="AV200" s="23">
        <f>EXP(-LN(2)/25)*AV199+(1-EXP(-LN(2)/25))/(LN(2)/25)*Calculateur!AQ200*Calculateur!AS200*VLOOKUP('Données projet'!$B$10,Paramètres!$A$1:$I$89,3,0)*0.475*44/12</f>
        <v>9.5379886466294597E-2</v>
      </c>
      <c r="AW200" s="23">
        <f>EXP(-LN(2)/2)*AW199+(1-EXP(-LN(2)/2))/(LN(2)/2)*AQ200*AT200*VLOOKUP('Données projet'!$B$10,Paramètres!$A$1:$I$89,3,0)*0.475*44/12</f>
        <v>4.2655197675255949E-25</v>
      </c>
      <c r="AX200" s="23">
        <f t="shared" si="166"/>
        <v>1.0329670301846805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145.17359999999979</v>
      </c>
      <c r="D201" s="12">
        <f t="shared" si="202"/>
        <v>37.479689934865021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1409.9552205498337</v>
      </c>
      <c r="H201" s="70">
        <f t="shared" si="192"/>
        <v>611.45447996988946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5.3205440053716299E-14</v>
      </c>
      <c r="P201" s="14">
        <f t="shared" si="203"/>
        <v>8.602146238565607E-13</v>
      </c>
      <c r="Q201" s="22">
        <f t="shared" si="162"/>
        <v>1.590873277977066E-12</v>
      </c>
      <c r="R201" s="62">
        <f t="shared" si="191"/>
        <v>293.33333333333491</v>
      </c>
      <c r="S201" s="62">
        <f ca="1">AVERAGE(OFFSET($R$3,0,0,'Données projet'!$E$9+1,1))-AVERAGE(OFFSET($H$3,0,0,'Données projet'!$E$9+1,1))</f>
        <v>145.91567711893987</v>
      </c>
      <c r="T201" s="62">
        <f t="shared" si="204"/>
        <v>136.44398554363522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2.8421709430404007E-14</v>
      </c>
      <c r="AJ201" s="14">
        <f>AI201*VLOOKUP('Données projet'!$B$10,Paramètres!$A$1:$I$89,3,0)*VLOOKUP('Données projet'!$B$10,Paramètres!$A$1:$I$89,5,0)</f>
        <v>2.4829205358400945E-14</v>
      </c>
      <c r="AK201" s="14">
        <f t="shared" si="164"/>
        <v>4.3867331143352915E-13</v>
      </c>
      <c r="AL201" s="22">
        <f t="shared" si="165"/>
        <v>8.0726688341261168E-13</v>
      </c>
      <c r="AM201" s="62">
        <f t="shared" si="193"/>
        <v>293.33333333333411</v>
      </c>
      <c r="AN201" s="62">
        <f ca="1">AVERAGE(OFFSET($AM$3,0,0,'Données projet'!$E$10+1,1))-AVERAGE(OFFSET($H$3,0,0,'Données projet'!$E$10+1,1))</f>
        <v>222.48114295382305</v>
      </c>
      <c r="AO201" s="62">
        <f t="shared" si="205"/>
        <v>261.55066338953611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0.91920163170175828</v>
      </c>
      <c r="AV201" s="23">
        <f>EXP(-LN(2)/25)*AV200+(1-EXP(-LN(2)/25))/(LN(2)/25)*Calculateur!AQ201*Calculateur!AS201*VLOOKUP('Données projet'!$B$10,Paramètres!$A$1:$I$89,3,0)*0.475*44/12</f>
        <v>9.2771718455063532E-2</v>
      </c>
      <c r="AW201" s="23">
        <f>EXP(-LN(2)/2)*AW200+(1-EXP(-LN(2)/2))/(LN(2)/2)*AQ201*AT201*VLOOKUP('Données projet'!$B$10,Paramètres!$A$1:$I$89,3,0)*0.475*44/12</f>
        <v>3.016177952902614E-25</v>
      </c>
      <c r="AX201" s="23">
        <f t="shared" si="166"/>
        <v>1.0119733501568218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145.90679999999981</v>
      </c>
      <c r="D202" s="12">
        <f t="shared" si="202"/>
        <v>37.646898711967857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1416.9057444432592</v>
      </c>
      <c r="H202" s="70">
        <f t="shared" si="192"/>
        <v>613.0226919233437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5.3205440053716299E-14</v>
      </c>
      <c r="P202" s="14">
        <f t="shared" si="203"/>
        <v>8.602146238565607E-13</v>
      </c>
      <c r="Q202" s="22">
        <f t="shared" si="162"/>
        <v>1.590873277977066E-12</v>
      </c>
      <c r="R202" s="62">
        <f t="shared" si="191"/>
        <v>293.33333333333491</v>
      </c>
      <c r="S202" s="62">
        <f ca="1">AVERAGE(OFFSET($R$3,0,0,'Données projet'!$E$9+1,1))-AVERAGE(OFFSET($H$3,0,0,'Données projet'!$E$9+1,1))</f>
        <v>145.91567711893987</v>
      </c>
      <c r="T202" s="62">
        <f t="shared" si="204"/>
        <v>136.44398554363522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2.8421709430404007E-14</v>
      </c>
      <c r="AJ202" s="14">
        <f>AI202*VLOOKUP('Données projet'!$B$10,Paramètres!$A$1:$I$89,3,0)*VLOOKUP('Données projet'!$B$10,Paramètres!$A$1:$I$89,5,0)</f>
        <v>2.4829205358400945E-14</v>
      </c>
      <c r="AK202" s="14">
        <f t="shared" si="164"/>
        <v>4.3867331143352915E-13</v>
      </c>
      <c r="AL202" s="22">
        <f t="shared" si="165"/>
        <v>8.0726688341261168E-13</v>
      </c>
      <c r="AM202" s="62">
        <f t="shared" si="193"/>
        <v>293.33333333333411</v>
      </c>
      <c r="AN202" s="62">
        <f ca="1">AVERAGE(OFFSET($AM$3,0,0,'Données projet'!$E$10+1,1))-AVERAGE(OFFSET($H$3,0,0,'Données projet'!$E$10+1,1))</f>
        <v>222.48114295382305</v>
      </c>
      <c r="AO202" s="62">
        <f t="shared" si="205"/>
        <v>261.55066338953611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0.90117664836172184</v>
      </c>
      <c r="AV202" s="23">
        <f>EXP(-LN(2)/25)*AV201+(1-EXP(-LN(2)/25))/(LN(2)/25)*Calculateur!AQ202*Calculateur!AS202*VLOOKUP('Données projet'!$B$10,Paramètres!$A$1:$I$89,3,0)*0.475*44/12</f>
        <v>9.0234870935257172E-2</v>
      </c>
      <c r="AW202" s="23">
        <f>EXP(-LN(2)/2)*AW201+(1-EXP(-LN(2)/2))/(LN(2)/2)*AQ202*AT202*VLOOKUP('Données projet'!$B$10,Paramètres!$A$1:$I$89,3,0)*0.475*44/12</f>
        <v>2.1327598837627975E-25</v>
      </c>
      <c r="AX202" s="23">
        <f t="shared" si="166"/>
        <v>0.99141151929697902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146.63999999999982</v>
      </c>
      <c r="D203" s="12">
        <f t="shared" si="202"/>
        <v>37.81400971270299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1423.8555135717409</v>
      </c>
      <c r="H203" s="70">
        <f t="shared" si="192"/>
        <v>614.59073358295734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5.3205440053716299E-14</v>
      </c>
      <c r="P203" s="14">
        <f t="shared" si="203"/>
        <v>8.602146238565607E-13</v>
      </c>
      <c r="Q203" s="22">
        <f t="shared" si="162"/>
        <v>1.590873277977066E-12</v>
      </c>
      <c r="R203" s="62">
        <f t="shared" si="191"/>
        <v>293.33333333333491</v>
      </c>
      <c r="S203" s="62">
        <f ca="1">AVERAGE(OFFSET($R$3,0,0,'Données projet'!$E$9+1,1))-AVERAGE(OFFSET($H$3,0,0,'Données projet'!$E$9+1,1))</f>
        <v>145.91567711893987</v>
      </c>
      <c r="T203" s="62">
        <f t="shared" si="204"/>
        <v>136.44398554363522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2.8421709430404007E-14</v>
      </c>
      <c r="AJ203" s="14">
        <f>AI203*VLOOKUP('Données projet'!$B$10,Paramètres!$A$1:$I$89,3,0)*VLOOKUP('Données projet'!$B$10,Paramètres!$A$1:$I$89,5,0)</f>
        <v>2.4829205358400945E-14</v>
      </c>
      <c r="AK203" s="14">
        <f t="shared" si="164"/>
        <v>4.3867331143352915E-13</v>
      </c>
      <c r="AL203" s="22">
        <f t="shared" si="165"/>
        <v>8.0726688341261168E-13</v>
      </c>
      <c r="AM203" s="62">
        <f t="shared" si="193"/>
        <v>293.33333333333411</v>
      </c>
      <c r="AN203" s="62">
        <f ca="1">AVERAGE(OFFSET($AM$3,0,0,'Données projet'!$E$10+1,1))-AVERAGE(OFFSET($H$3,0,0,'Données projet'!$E$10+1,1))</f>
        <v>222.48114295382305</v>
      </c>
      <c r="AO203" s="62">
        <f t="shared" si="205"/>
        <v>261.55066338953611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0.88350512395082925</v>
      </c>
      <c r="AV203" s="23">
        <f>EXP(-LN(2)/25)*AV202+(1-EXP(-LN(2)/25))/(LN(2)/25)*Calculateur!AQ203*Calculateur!AS203*VLOOKUP('Données projet'!$B$10,Paramètres!$A$1:$I$89,3,0)*0.475*44/12</f>
        <v>8.7767393644286942E-2</v>
      </c>
      <c r="AW203" s="23">
        <f>EXP(-LN(2)/2)*AW202+(1-EXP(-LN(2)/2))/(LN(2)/2)*AQ203*AT203*VLOOKUP('Données projet'!$B$10,Paramètres!$A$1:$I$89,3,0)*0.475*44/12</f>
        <v>1.508088976451307E-25</v>
      </c>
      <c r="AX203" s="23">
        <f t="shared" si="166"/>
        <v>0.97127251759511624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1.2677537154322802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1.2765231539157764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J22" sqref="J2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5.04</v>
      </c>
      <c r="C6" s="156">
        <f ca="1">IF(OR('Données projet'!B9="",'Données projet'!C9="",'Données projet'!C9=0%),0,Calculateur!S3)</f>
        <v>145.91567711893987</v>
      </c>
      <c r="D6" s="156">
        <f>IF(OR('Données projet'!B9="",'Données projet'!C9="",'Données projet'!C9=0%),0,Calculateur!T3)</f>
        <v>136.44398554363522</v>
      </c>
      <c r="E6" s="156">
        <f ca="1">MIN(C6,D6)</f>
        <v>136.44398554363522</v>
      </c>
      <c r="F6" s="156">
        <f ca="1">E6*B6</f>
        <v>687.67768713992155</v>
      </c>
      <c r="G6" s="156">
        <f ca="1">F6*(100%-'Données projet'!$C$24)*(100%-'Données projet'!$C$25)*(100%-'Données projet'!$C$26)*(100%-'Données projet'!$C$27)</f>
        <v>557.01892658333645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557.01892658333645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rouge d'Amérique</v>
      </c>
      <c r="B7" s="163">
        <f>'Données projet'!D10</f>
        <v>1.9600000000000002</v>
      </c>
      <c r="C7" s="156">
        <f ca="1">IF(OR('Données projet'!B10="",'Données projet'!C10="",'Données projet'!C10=0%),0,Calculateur!AN3)</f>
        <v>222.48114295382305</v>
      </c>
      <c r="D7" s="156">
        <f>IF(OR('Données projet'!B10="",'Données projet'!C10="",'Données projet'!C10=0%),0,Calculateur!AO3)</f>
        <v>261.55066338953611</v>
      </c>
      <c r="E7" s="156">
        <f t="shared" ref="E7:E15" ca="1" si="0">MIN(C7,D7)</f>
        <v>222.48114295382305</v>
      </c>
      <c r="F7" s="156">
        <f t="shared" ref="F7:F15" ca="1" si="1">E7*B7</f>
        <v>436.06304018949322</v>
      </c>
      <c r="G7" s="156">
        <f ca="1">F7*(100%-'Données projet'!$C$24)*(100%-'Données projet'!$C$25)*(100%-'Données projet'!$C$26)*(100%-'Données projet'!$C$27)</f>
        <v>353.21106255348957</v>
      </c>
      <c r="H7" s="164">
        <f>IF(OR('Données projet'!B10="",'Données projet'!C10="",'Données projet'!C10=0%),0,AVERAGE(Calculateur!$AX$3:$AX$33)*B7)</f>
        <v>18.053133058209713</v>
      </c>
      <c r="I7" s="158">
        <f>H7*(100%-'Données projet'!$C$24)*(100%-'Données projet'!$C$25)*(100%-'Données projet'!$C$26)*(100%-'Données projet'!$C$27)</f>
        <v>14.62303777714987</v>
      </c>
      <c r="J7" s="159">
        <f>IF(OR('Données projet'!B10="",'Données projet'!C10="",'Données projet'!C10=0%),0,SUM(Calculateur!$AQ$3:$AQ$33)*VLOOKUP('Données projet'!$B$10,Paramètres!$A$1:$I$89,9,0)*B7)</f>
        <v>60.760000000000005</v>
      </c>
      <c r="K7" s="160">
        <f>J7*(100%-'Données projet'!$C$24)*(100%-'Données projet'!$C$25)*(100%-'Données projet'!$C$26)*(100%-'Données projet'!$C$27)</f>
        <v>49.215600000000002</v>
      </c>
      <c r="L7" s="161">
        <f t="shared" ref="L7:L15" ca="1" si="2">G7+I7+K7</f>
        <v>417.04970033063944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1123.7407273294148</v>
      </c>
      <c r="G16" s="175">
        <f t="shared" ca="1" si="3"/>
        <v>910.22998913682602</v>
      </c>
      <c r="H16" s="176">
        <f t="shared" si="3"/>
        <v>18.053133058209713</v>
      </c>
      <c r="I16" s="176">
        <f t="shared" si="3"/>
        <v>14.62303777714987</v>
      </c>
      <c r="J16" s="177">
        <f t="shared" si="3"/>
        <v>60.760000000000005</v>
      </c>
      <c r="K16" s="177">
        <f t="shared" si="3"/>
        <v>49.215600000000002</v>
      </c>
      <c r="L16" s="178">
        <f t="shared" ca="1" si="3"/>
        <v>974.06862691397589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rouge d'Amérique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D10" zoomScale="90" zoomScaleNormal="90" workbookViewId="0">
      <selection activeCell="T43" sqref="T4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546.73268594722913</v>
      </c>
      <c r="U10" s="190">
        <f>'Données projet'!D9</f>
        <v>5.04</v>
      </c>
      <c r="V10" s="189">
        <f>U10*T10</f>
        <v>2755.532737174035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rouge d'Amérique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1772.2412651515551</v>
      </c>
      <c r="U11" s="190">
        <f>'Données projet'!D10</f>
        <v>1.9600000000000002</v>
      </c>
      <c r="V11" s="189">
        <f t="shared" ref="V11" si="0">U11*T11</f>
        <v>3473.5928796970484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40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40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35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1400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6342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1026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627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>
        <v>0</v>
      </c>
      <c r="D23" s="194">
        <f>B23*C23</f>
        <v>0</v>
      </c>
      <c r="E23" s="206"/>
      <c r="F23" s="261"/>
      <c r="H23" s="203">
        <v>3</v>
      </c>
      <c r="I23" s="204">
        <v>342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-53162.11033850666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06">
        <v>0</v>
      </c>
      <c r="D24" s="194">
        <f t="shared" ref="D24:D42" si="2">B24*C24</f>
        <v>0</v>
      </c>
      <c r="E24" s="206"/>
      <c r="F24" s="264"/>
      <c r="H24" s="203">
        <v>4</v>
      </c>
      <c r="I24" s="204">
        <v>342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1684.9012706566186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40</v>
      </c>
      <c r="B25" s="193">
        <f>'Données projet'!D38</f>
        <v>63</v>
      </c>
      <c r="C25" s="206">
        <v>6</v>
      </c>
      <c r="D25" s="194">
        <f t="shared" si="2"/>
        <v>378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-54847.011609163281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50</v>
      </c>
      <c r="B26" s="193">
        <f>'Données projet'!D39</f>
        <v>0</v>
      </c>
      <c r="C26" s="206">
        <v>0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60</v>
      </c>
      <c r="B27" s="193">
        <f>'Données projet'!D40</f>
        <v>67</v>
      </c>
      <c r="C27" s="206">
        <v>15</v>
      </c>
      <c r="D27" s="194">
        <f t="shared" si="2"/>
        <v>1005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70</v>
      </c>
      <c r="B28" s="193">
        <f>'Données projet'!D41</f>
        <v>69</v>
      </c>
      <c r="C28" s="206">
        <v>25</v>
      </c>
      <c r="D28" s="194">
        <f t="shared" si="2"/>
        <v>1725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80</v>
      </c>
      <c r="B29" s="193">
        <f>'Données projet'!D42</f>
        <v>71</v>
      </c>
      <c r="C29" s="206">
        <v>25</v>
      </c>
      <c r="D29" s="194">
        <f t="shared" si="2"/>
        <v>1775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90</v>
      </c>
      <c r="B30" s="193">
        <f>'Données projet'!D43</f>
        <v>73</v>
      </c>
      <c r="C30" s="206">
        <v>35</v>
      </c>
      <c r="D30" s="194">
        <f t="shared" si="2"/>
        <v>2555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100</v>
      </c>
      <c r="B31" s="193">
        <f>'Données projet'!D44</f>
        <v>375</v>
      </c>
      <c r="C31" s="206">
        <v>50</v>
      </c>
      <c r="D31" s="194">
        <f t="shared" si="2"/>
        <v>18750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rouge d'Amérique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50</v>
      </c>
      <c r="C54" s="204">
        <v>18</v>
      </c>
      <c r="D54" s="191">
        <f>B54*C54</f>
        <v>900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37</v>
      </c>
      <c r="C55" s="204">
        <v>22</v>
      </c>
      <c r="D55" s="191">
        <f t="shared" ref="D55:D73" si="4">B55*C55</f>
        <v>814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37</v>
      </c>
      <c r="C56" s="204">
        <v>26</v>
      </c>
      <c r="D56" s="191">
        <f t="shared" si="4"/>
        <v>962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36</v>
      </c>
      <c r="C57" s="204">
        <v>30</v>
      </c>
      <c r="D57" s="191">
        <f t="shared" si="4"/>
        <v>1080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33</v>
      </c>
      <c r="C58" s="204">
        <v>30</v>
      </c>
      <c r="D58" s="191">
        <f t="shared" si="4"/>
        <v>990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31</v>
      </c>
      <c r="C59" s="204">
        <v>32</v>
      </c>
      <c r="D59" s="191">
        <f t="shared" si="4"/>
        <v>992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28</v>
      </c>
      <c r="C60" s="204">
        <v>34</v>
      </c>
      <c r="D60" s="191">
        <f t="shared" si="4"/>
        <v>952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25</v>
      </c>
      <c r="C61" s="204">
        <v>36</v>
      </c>
      <c r="D61" s="191">
        <f t="shared" si="4"/>
        <v>900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22</v>
      </c>
      <c r="C62" s="204">
        <v>38</v>
      </c>
      <c r="D62" s="191">
        <f t="shared" si="4"/>
        <v>836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20</v>
      </c>
      <c r="C63" s="204">
        <v>40</v>
      </c>
      <c r="D63" s="191">
        <f t="shared" si="4"/>
        <v>800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17</v>
      </c>
      <c r="C64" s="204">
        <v>42</v>
      </c>
      <c r="D64" s="191">
        <f t="shared" si="4"/>
        <v>714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15</v>
      </c>
      <c r="C65" s="204">
        <v>44</v>
      </c>
      <c r="D65" s="191">
        <f t="shared" si="4"/>
        <v>660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13</v>
      </c>
      <c r="C66" s="204">
        <v>46</v>
      </c>
      <c r="D66" s="191">
        <f t="shared" si="4"/>
        <v>598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12</v>
      </c>
      <c r="C67" s="204">
        <v>48</v>
      </c>
      <c r="D67" s="191">
        <f t="shared" si="4"/>
        <v>576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236</v>
      </c>
      <c r="C68" s="204">
        <v>50</v>
      </c>
      <c r="D68" s="191">
        <f t="shared" si="4"/>
        <v>11800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str">
        <f>IF(O123+1&lt;=MIN('Données projet'!$E$9:$E$18),O123+1,"STOP")</f>
        <v>STOP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2023-04-17T09:31:13Z</dcterms:modified>
</cp:coreProperties>
</file>