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Unisylva\Projets_LBC\Projets_LBC\Projet Vienne-en-Val_062022\"/>
    </mc:Choice>
  </mc:AlternateContent>
  <bookViews>
    <workbookView xWindow="0" yWindow="0" windowWidth="28800" windowHeight="12624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A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H38" i="2"/>
  <c r="HG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HH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C113" i="2"/>
  <c r="EX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HG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HH156" i="2"/>
  <c r="FS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X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DI167" i="2"/>
  <c r="HH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A175" i="2" l="1"/>
  <c r="EW175" i="2"/>
  <c r="HI175" i="2"/>
  <c r="EB175" i="2"/>
  <c r="A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H179" i="2" l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HG192" i="2"/>
  <c r="EA192" i="2"/>
  <c r="EV192" i="2"/>
  <c r="HH192" i="2"/>
  <c r="EC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A195" i="2" l="1"/>
  <c r="EB195" i="2"/>
  <c r="HI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HG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DI200" i="2"/>
  <c r="FS201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FY109" i="2" a="1"/>
  <c r="FY109" i="2" s="1"/>
  <c r="HG203" i="2"/>
  <c r="FR203" i="2"/>
  <c r="AH62" i="2" a="1"/>
  <c r="AH62" i="2" s="1"/>
  <c r="AH90" i="2" a="1"/>
  <c r="AH90" i="2" s="1"/>
  <c r="AH151" i="2" a="1"/>
  <c r="AH151" i="2" s="1"/>
  <c r="AH92" i="2" a="1"/>
  <c r="AH92" i="2" s="1"/>
  <c r="AH166" i="2" a="1"/>
  <c r="AH166" i="2" s="1"/>
  <c r="AH199" i="2" a="1"/>
  <c r="AH199" i="2" s="1"/>
  <c r="AH163" i="2" a="1"/>
  <c r="AH163" i="2" s="1"/>
  <c r="AH19" i="2" a="1"/>
  <c r="AH19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<sst xmlns="http://schemas.openxmlformats.org/spreadsheetml/2006/main" count="1173" uniqueCount="325">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</sst>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1.9751469543703284</c:v>
                </c:pt>
                <c:pt idx="2">
                  <c:v>2.5156007982095305</c:v>
                </c:pt>
                <c:pt idx="3">
                  <c:v>3.2045293307604297</c:v>
                </c:pt>
                <c:pt idx="4">
                  <c:v>4.082875345875836</c:v>
                </c:pt>
                <c:pt idx="5">
                  <c:v>5.2029115112692326</c:v>
                </c:pt>
                <c:pt idx="6">
                  <c:v>6.6313858262305061</c:v>
                </c:pt>
                <c:pt idx="7">
                  <c:v>8.4535429542945408</c:v>
                </c:pt>
                <c:pt idx="8">
                  <c:v>10.77826599335063</c:v>
                </c:pt>
                <c:pt idx="9">
                  <c:v>13.744651703083976</c:v>
                </c:pt>
                <c:pt idx="10">
                  <c:v>17.530419872819859</c:v>
                </c:pt>
                <c:pt idx="11">
                  <c:v>22.362669780975192</c:v>
                </c:pt>
                <c:pt idx="12">
                  <c:v>28.531640490201386</c:v>
                </c:pt>
                <c:pt idx="13">
                  <c:v>36.408315909288063</c:v>
                </c:pt>
                <c:pt idx="14">
                  <c:v>46.466951503072629</c:v>
                </c:pt>
                <c:pt idx="15">
                  <c:v>59.313901819384263</c:v>
                </c:pt>
                <c:pt idx="16">
                  <c:v>75.724515312270583</c:v>
                </c:pt>
                <c:pt idx="17">
                  <c:v>96.690359229624207</c:v>
                </c:pt>
                <c:pt idx="18">
                  <c:v>123.4796733177774</c:v>
                </c:pt>
                <c:pt idx="19">
                  <c:v>157.71476616396276</c:v>
                </c:pt>
                <c:pt idx="20">
                  <c:v>201.47111266072736</c:v>
                </c:pt>
                <c:pt idx="21">
                  <c:v>184.65292865116098</c:v>
                </c:pt>
                <c:pt idx="22">
                  <c:v>206.63925413557971</c:v>
                </c:pt>
                <c:pt idx="23">
                  <c:v>228.57151265786101</c:v>
                </c:pt>
                <c:pt idx="24">
                  <c:v>250.45562182479364</c:v>
                </c:pt>
                <c:pt idx="25">
                  <c:v>272.29637963914485</c:v>
                </c:pt>
                <c:pt idx="26">
                  <c:v>294.09775112221092</c:v>
                </c:pt>
                <c:pt idx="27">
                  <c:v>315.8630652915503</c:v>
                </c:pt>
                <c:pt idx="28">
                  <c:v>337.59515490696043</c:v>
                </c:pt>
                <c:pt idx="29">
                  <c:v>359.29645830338887</c:v>
                </c:pt>
                <c:pt idx="30">
                  <c:v>380.96909531199549</c:v>
                </c:pt>
                <c:pt idx="31">
                  <c:v>289.22774169786447</c:v>
                </c:pt>
                <c:pt idx="32">
                  <c:v>312.53647021104257</c:v>
                </c:pt>
                <c:pt idx="33">
                  <c:v>335.80664766068816</c:v>
                </c:pt>
                <c:pt idx="34">
                  <c:v>359.04131937574431</c:v>
                </c:pt>
                <c:pt idx="35">
                  <c:v>382.24310448239453</c:v>
                </c:pt>
                <c:pt idx="36">
                  <c:v>405.41427833807921</c:v>
                </c:pt>
                <c:pt idx="37">
                  <c:v>428.55683512546557</c:v>
                </c:pt>
                <c:pt idx="38">
                  <c:v>451.67253621627088</c:v>
                </c:pt>
                <c:pt idx="39">
                  <c:v>474.76294811711551</c:v>
                </c:pt>
                <c:pt idx="40">
                  <c:v>497.82947264900895</c:v>
                </c:pt>
                <c:pt idx="41">
                  <c:v>394.59625328405656</c:v>
                </c:pt>
                <c:pt idx="42">
                  <c:v>418.38768983127187</c:v>
                </c:pt>
                <c:pt idx="43">
                  <c:v>442.14998393529703</c:v>
                </c:pt>
                <c:pt idx="44">
                  <c:v>465.88492060890104</c:v>
                </c:pt>
                <c:pt idx="45">
                  <c:v>489.59408829261832</c:v>
                </c:pt>
                <c:pt idx="46">
                  <c:v>513.27890916542094</c:v>
                </c:pt>
                <c:pt idx="47">
                  <c:v>536.94066357087036</c:v>
                </c:pt>
                <c:pt idx="48">
                  <c:v>560.58050991518382</c:v>
                </c:pt>
                <c:pt idx="49">
                  <c:v>584.19950103586768</c:v>
                </c:pt>
                <c:pt idx="50">
                  <c:v>607.79859778709636</c:v>
                </c:pt>
                <c:pt idx="51">
                  <c:v>498.92730474174624</c:v>
                </c:pt>
                <c:pt idx="52">
                  <c:v>521.54832100344322</c:v>
                </c:pt>
                <c:pt idx="53">
                  <c:v>544.14866287008874</c:v>
                </c:pt>
                <c:pt idx="54">
                  <c:v>566.72930897552408</c:v>
                </c:pt>
                <c:pt idx="55">
                  <c:v>589.29115368535508</c:v>
                </c:pt>
                <c:pt idx="56">
                  <c:v>611.83501736640812</c:v>
                </c:pt>
                <c:pt idx="57">
                  <c:v>634.36165506495661</c:v>
                </c:pt>
                <c:pt idx="58">
                  <c:v>656.87176388911973</c:v>
                </c:pt>
                <c:pt idx="59">
                  <c:v>679.36598932755112</c:v>
                </c:pt>
                <c:pt idx="60">
                  <c:v>701.84493068851486</c:v>
                </c:pt>
                <c:pt idx="61">
                  <c:v>724.30914580658521</c:v>
                </c:pt>
                <c:pt idx="62">
                  <c:v>746.75915513568123</c:v>
                </c:pt>
                <c:pt idx="63">
                  <c:v>769.19544532484372</c:v>
                </c:pt>
                <c:pt idx="64">
                  <c:v>791.61847235559526</c:v>
                </c:pt>
                <c:pt idx="65">
                  <c:v>814.0286643057666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858080"/>
        <c:axId val="660859168"/>
      </c:scatterChart>
      <c:valAx>
        <c:axId val="660858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0859168"/>
        <c:crosses val="autoZero"/>
        <c:crossBetween val="midCat"/>
      </c:valAx>
      <c:valAx>
        <c:axId val="66085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0858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715040"/>
        <c:axId val="844717216"/>
      </c:scatterChart>
      <c:valAx>
        <c:axId val="844715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717216"/>
        <c:crosses val="autoZero"/>
        <c:crossBetween val="midCat"/>
      </c:valAx>
      <c:valAx>
        <c:axId val="84471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715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1.9891317183802728</c:v>
                </c:pt>
                <c:pt idx="2">
                  <c:v>2.551377707660786</c:v>
                </c:pt>
                <c:pt idx="3">
                  <c:v>3.2731874979146398</c:v>
                </c:pt>
                <c:pt idx="4">
                  <c:v>4.2000162375779828</c:v>
                </c:pt>
                <c:pt idx="5">
                  <c:v>5.3903136674024026</c:v>
                </c:pt>
                <c:pt idx="6">
                  <c:v>6.9192511308247893</c:v>
                </c:pt>
                <c:pt idx="7">
                  <c:v>8.883520755477937</c:v>
                </c:pt>
                <c:pt idx="8">
                  <c:v>11.407516093197218</c:v>
                </c:pt>
                <c:pt idx="9">
                  <c:v>14.651292949045482</c:v>
                </c:pt>
                <c:pt idx="10">
                  <c:v>18.820824497897124</c:v>
                </c:pt>
                <c:pt idx="11">
                  <c:v>24.181213609600178</c:v>
                </c:pt>
                <c:pt idx="12">
                  <c:v>31.073717301191024</c:v>
                </c:pt>
                <c:pt idx="13">
                  <c:v>39.937685957038603</c:v>
                </c:pt>
                <c:pt idx="14">
                  <c:v>51.338839609480544</c:v>
                </c:pt>
                <c:pt idx="15">
                  <c:v>66.005716077945578</c:v>
                </c:pt>
                <c:pt idx="16">
                  <c:v>84.876658145338538</c:v>
                </c:pt>
                <c:pt idx="17">
                  <c:v>109.16039410460621</c:v>
                </c:pt>
                <c:pt idx="18">
                  <c:v>140.41415300952022</c:v>
                </c:pt>
                <c:pt idx="19">
                  <c:v>180.64440103221611</c:v>
                </c:pt>
                <c:pt idx="20">
                  <c:v>232.43676367300131</c:v>
                </c:pt>
                <c:pt idx="21">
                  <c:v>181.90048517191065</c:v>
                </c:pt>
                <c:pt idx="22">
                  <c:v>207.60794558745292</c:v>
                </c:pt>
                <c:pt idx="23">
                  <c:v>233.24183857077674</c:v>
                </c:pt>
                <c:pt idx="24">
                  <c:v>258.81138704625818</c:v>
                </c:pt>
                <c:pt idx="25">
                  <c:v>284.32384013216546</c:v>
                </c:pt>
                <c:pt idx="26">
                  <c:v>309.78503877313631</c:v>
                </c:pt>
                <c:pt idx="27">
                  <c:v>335.19978508001412</c:v>
                </c:pt>
                <c:pt idx="28">
                  <c:v>360.57209353569027</c:v>
                </c:pt>
                <c:pt idx="29">
                  <c:v>277.00184490652947</c:v>
                </c:pt>
                <c:pt idx="30">
                  <c:v>300.92982424386526</c:v>
                </c:pt>
                <c:pt idx="31">
                  <c:v>324.81544955459077</c:v>
                </c:pt>
                <c:pt idx="32">
                  <c:v>348.66227126658896</c:v>
                </c:pt>
                <c:pt idx="33">
                  <c:v>372.47331459708585</c:v>
                </c:pt>
                <c:pt idx="34">
                  <c:v>396.25118655434943</c:v>
                </c:pt>
                <c:pt idx="35">
                  <c:v>415.12396669309987</c:v>
                </c:pt>
                <c:pt idx="36">
                  <c:v>433.97824975285403</c:v>
                </c:pt>
                <c:pt idx="37">
                  <c:v>452.81495199208689</c:v>
                </c:pt>
                <c:pt idx="38">
                  <c:v>471.63490725940528</c:v>
                </c:pt>
                <c:pt idx="39">
                  <c:v>490.43887746565548</c:v>
                </c:pt>
                <c:pt idx="40">
                  <c:v>509.22756136675406</c:v>
                </c:pt>
                <c:pt idx="41">
                  <c:v>401.16054944130428</c:v>
                </c:pt>
                <c:pt idx="42">
                  <c:v>412.42901021207052</c:v>
                </c:pt>
                <c:pt idx="43">
                  <c:v>423.69082854064874</c:v>
                </c:pt>
                <c:pt idx="44">
                  <c:v>434.94620589965672</c:v>
                </c:pt>
                <c:pt idx="45">
                  <c:v>446.19533248225684</c:v>
                </c:pt>
                <c:pt idx="46">
                  <c:v>457.4383881081431</c:v>
                </c:pt>
                <c:pt idx="47">
                  <c:v>468.67554303581227</c:v>
                </c:pt>
                <c:pt idx="48">
                  <c:v>479.9069586928743</c:v>
                </c:pt>
                <c:pt idx="49">
                  <c:v>491.13278833443655</c:v>
                </c:pt>
                <c:pt idx="50">
                  <c:v>502.35317763816056</c:v>
                </c:pt>
                <c:pt idx="51">
                  <c:v>513.56826524339033</c:v>
                </c:pt>
                <c:pt idx="52">
                  <c:v>524.77818324074155</c:v>
                </c:pt>
                <c:pt idx="53">
                  <c:v>535.98305761768449</c:v>
                </c:pt>
                <c:pt idx="54">
                  <c:v>547.18300866493428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845568"/>
        <c:axId val="660846112"/>
      </c:scatterChart>
      <c:valAx>
        <c:axId val="660845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0846112"/>
        <c:crosses val="autoZero"/>
        <c:crossBetween val="midCat"/>
      </c:valAx>
      <c:valAx>
        <c:axId val="66084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0845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846656"/>
        <c:axId val="660847200"/>
      </c:scatterChart>
      <c:valAx>
        <c:axId val="660846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0847200"/>
        <c:crosses val="autoZero"/>
        <c:crossBetween val="midCat"/>
      </c:valAx>
      <c:valAx>
        <c:axId val="66084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0846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848832"/>
        <c:axId val="492553856"/>
      </c:scatterChart>
      <c:valAx>
        <c:axId val="660848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2553856"/>
        <c:crosses val="autoZero"/>
        <c:crossBetween val="midCat"/>
      </c:valAx>
      <c:valAx>
        <c:axId val="49255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0848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554944"/>
        <c:axId val="492556032"/>
      </c:scatterChart>
      <c:valAx>
        <c:axId val="492554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2556032"/>
        <c:crosses val="autoZero"/>
        <c:crossBetween val="midCat"/>
      </c:valAx>
      <c:valAx>
        <c:axId val="49255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2554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724832"/>
        <c:axId val="844721024"/>
      </c:scatterChart>
      <c:valAx>
        <c:axId val="844724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721024"/>
        <c:crosses val="autoZero"/>
        <c:crossBetween val="midCat"/>
      </c:valAx>
      <c:valAx>
        <c:axId val="84472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724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725376"/>
        <c:axId val="844721568"/>
      </c:scatterChart>
      <c:valAx>
        <c:axId val="844725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721568"/>
        <c:crosses val="autoZero"/>
        <c:crossBetween val="midCat"/>
      </c:valAx>
      <c:valAx>
        <c:axId val="84472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725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716672"/>
        <c:axId val="844711776"/>
      </c:scatterChart>
      <c:valAx>
        <c:axId val="844716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711776"/>
        <c:crosses val="autoZero"/>
        <c:crossBetween val="midCat"/>
      </c:valAx>
      <c:valAx>
        <c:axId val="84471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716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717760"/>
        <c:axId val="844712320"/>
      </c:scatterChart>
      <c:valAx>
        <c:axId val="844717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712320"/>
        <c:crosses val="autoZero"/>
        <c:crossBetween val="midCat"/>
      </c:valAx>
      <c:valAx>
        <c:axId val="8447123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4717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1" zoomScale="110" zoomScaleNormal="80" workbookViewId="0">
      <selection activeCell="C64" sqref="C6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10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35</v>
      </c>
      <c r="C9" s="35">
        <v>0.5</v>
      </c>
      <c r="D9" s="36">
        <f t="shared" ref="D9:D18" si="0">C9*$C$5</f>
        <v>5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36</v>
      </c>
      <c r="C10" s="35">
        <v>0.5</v>
      </c>
      <c r="D10" s="36">
        <f t="shared" si="0"/>
        <v>5</v>
      </c>
      <c r="E10" s="37">
        <v>54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10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152</v>
      </c>
      <c r="C36" s="63">
        <v>1</v>
      </c>
      <c r="D36" s="63">
        <v>30</v>
      </c>
      <c r="E36" s="54"/>
      <c r="F36" s="54"/>
      <c r="G36" s="54">
        <v>1</v>
      </c>
      <c r="H36" s="54"/>
      <c r="I36" s="52">
        <f>IFERROR(B36/A36,"")</f>
        <v>7.6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292</v>
      </c>
      <c r="C37" s="63">
        <v>2</v>
      </c>
      <c r="D37" s="63">
        <v>90</v>
      </c>
      <c r="E37" s="54">
        <v>0.5</v>
      </c>
      <c r="F37" s="54"/>
      <c r="G37" s="54">
        <v>0.5</v>
      </c>
      <c r="H37" s="54"/>
      <c r="I37" s="56">
        <f t="shared" ref="I37:I55" si="1">IF(A37&lt;&gt;0,(B37-(B36-D36))/(A37-A36),"")</f>
        <v>17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3">
        <v>384</v>
      </c>
      <c r="C38" s="63">
        <v>3</v>
      </c>
      <c r="D38" s="63">
        <v>100</v>
      </c>
      <c r="E38" s="54">
        <v>0.5</v>
      </c>
      <c r="F38" s="54"/>
      <c r="G38" s="54">
        <v>0.5</v>
      </c>
      <c r="H38" s="54"/>
      <c r="I38" s="56">
        <f t="shared" si="1"/>
        <v>18.2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v>471</v>
      </c>
      <c r="C39" s="63">
        <v>4</v>
      </c>
      <c r="D39" s="63">
        <v>104</v>
      </c>
      <c r="E39" s="54">
        <v>0.6</v>
      </c>
      <c r="F39" s="54"/>
      <c r="G39" s="54">
        <v>0.4</v>
      </c>
      <c r="H39" s="54"/>
      <c r="I39" s="52">
        <f t="shared" si="1"/>
        <v>18.7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65</v>
      </c>
      <c r="B40" s="63">
        <v>635</v>
      </c>
      <c r="C40" s="63" t="s">
        <v>324</v>
      </c>
      <c r="D40" s="63">
        <v>635</v>
      </c>
      <c r="E40" s="54">
        <v>0.9</v>
      </c>
      <c r="F40" s="54"/>
      <c r="G40" s="54">
        <v>0.1</v>
      </c>
      <c r="H40" s="54"/>
      <c r="I40" s="52">
        <f t="shared" si="1"/>
        <v>17.866666666666667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176</v>
      </c>
      <c r="C62" s="63">
        <v>1</v>
      </c>
      <c r="D62" s="63">
        <v>59</v>
      </c>
      <c r="E62" s="54"/>
      <c r="F62" s="54"/>
      <c r="G62" s="54">
        <v>1</v>
      </c>
      <c r="H62" s="54"/>
      <c r="I62" s="56">
        <f>IFERROR(B62/A62,"")</f>
        <v>8.8000000000000007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28</v>
      </c>
      <c r="B63" s="63">
        <v>276</v>
      </c>
      <c r="C63" s="63">
        <v>2</v>
      </c>
      <c r="D63" s="63">
        <v>84</v>
      </c>
      <c r="E63" s="54">
        <v>0.5</v>
      </c>
      <c r="F63" s="54"/>
      <c r="G63" s="54">
        <v>0.5</v>
      </c>
      <c r="H63" s="54"/>
      <c r="I63" s="52">
        <f>IF(A63&lt;&gt;0,(B63-(B62-D62))/(A63-A62),"")</f>
        <v>19.875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34</v>
      </c>
      <c r="B64" s="63">
        <v>304</v>
      </c>
      <c r="C64" s="63"/>
      <c r="D64" s="63"/>
      <c r="E64" s="54"/>
      <c r="F64" s="54"/>
      <c r="G64" s="54"/>
      <c r="H64" s="54"/>
      <c r="I64" s="52">
        <f>IF(A64&lt;&gt;0,(B64-(B63-D63))/(A64-A63),"")</f>
        <v>18.666666666666668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393</v>
      </c>
      <c r="C65" s="63">
        <v>3</v>
      </c>
      <c r="D65" s="63">
        <v>94</v>
      </c>
      <c r="E65" s="54">
        <v>0.5</v>
      </c>
      <c r="F65" s="54"/>
      <c r="G65" s="54">
        <v>0.5</v>
      </c>
      <c r="H65" s="54"/>
      <c r="I65" s="52">
        <f>IF(A65&lt;&gt;0,(B65-(B64-D64))/(A65-A64),"")</f>
        <v>14.833333333333334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54</v>
      </c>
      <c r="B66" s="63">
        <v>423</v>
      </c>
      <c r="C66" s="63" t="s">
        <v>324</v>
      </c>
      <c r="D66" s="63">
        <v>423</v>
      </c>
      <c r="E66" s="54">
        <v>0.9</v>
      </c>
      <c r="F66" s="54"/>
      <c r="G66" s="54">
        <v>0.1</v>
      </c>
      <c r="H66" s="54"/>
      <c r="I66" s="52">
        <f>IF(A66&lt;&gt;0,(B66-(B65-D65))/(A66-A65),"")</f>
        <v>8.8571428571428577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>IF(A67&lt;&gt;0,(B67-(B66-D66))/(A67-A66),"")</f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ref="I68:I81" si="2">IF(A68&lt;&gt;0,(B68-(B67-D67))/(A68-A67),"")</f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276.05121228874452</v>
      </c>
      <c r="T3" s="62">
        <f>IF('Données projet'!E9&gt;30,$R$33-$H$33,LOOKUP('Données projet'!$E$9,$A$3:$A$203,R3:R203)-LOOKUP('Données projet'!$E$9,$A$3:$A$203,$H$3:$H$203))</f>
        <v>319.89882768207553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211.38734697794843</v>
      </c>
      <c r="AO3" s="62">
        <f>IF('Données projet'!E10&gt;30,$AM$33-$H$33,LOOKUP('Données projet'!$E$10,$A$3:$A$203,AM3:AM203)-LOOKUP('Données projet'!$E$10,$A$3:$A$203,$H$3:$H$203))</f>
        <v>239.85955661394541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7.6</v>
      </c>
      <c r="N4" s="14">
        <f>IF('Données projet'!$A$36&gt;35,N3+M4-V3,IF(A4&lt;'Données projet'!$A$36,$K$205^A4,IF(A4='Données projet'!$A$36,'Données projet'!$B$36,N3+M4-V3)))</f>
        <v>1.2855594921550282</v>
      </c>
      <c r="O4" s="14">
        <f>N4*VLOOKUP('Données projet'!$B$9,Paramètres!$A$1:$I$89,3,0)*VLOOKUP('Données projet'!$B$9,Paramètres!$A$1:$I$89,5,0)</f>
        <v>0.76876457630870687</v>
      </c>
      <c r="P4" s="14">
        <f>EXP(-1.0587+0.8836*LN(O4)+0.284)</f>
        <v>0.36529109127234299</v>
      </c>
      <c r="Q4" s="22">
        <f t="shared" ref="Q4:Q34" si="2">(O4+P4)*0.475*44/12</f>
        <v>1.9751469543703284</v>
      </c>
      <c r="R4" s="62">
        <f t="shared" si="0"/>
        <v>295.30848028770362</v>
      </c>
      <c r="S4" s="62">
        <f ca="1">AVERAGE(OFFSET($R$3,0,0,'Données projet'!$E$9+1,1))-AVERAGE(OFFSET($H$3,0,0,'Données projet'!$E$9+1,1))</f>
        <v>276.05121228874452</v>
      </c>
      <c r="T4" s="62">
        <f>$T$3</f>
        <v>319.89882768207553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8.8000000000000007</v>
      </c>
      <c r="AI4" s="14">
        <f>IF('Données projet'!$A$62&gt;35,AI3+AH4-AQ3,IF(A4&lt;'Données projet'!$A$62,$AF$205^A4,IF(A4='Données projet'!$A$62,'Données projet'!$B$62,AI3+AH4-AQ3)))</f>
        <v>1.2950174885756143</v>
      </c>
      <c r="AJ4" s="14">
        <f>AI4*VLOOKUP('Données projet'!$B$10,Paramètres!$A$1:$I$89,3,0)*VLOOKUP('Données projet'!$B$10,Paramètres!$A$1:$I$89,5,0)</f>
        <v>0.77442045816821736</v>
      </c>
      <c r="AK4" s="14">
        <f>EXP(-1.0587+0.8836*LN(AJ4)+0.284)</f>
        <v>0.36766473898792007</v>
      </c>
      <c r="AL4" s="22">
        <f t="shared" ref="AL4:AL67" si="4">(AJ4+AK4)*0.475*44/12</f>
        <v>1.9891317183802728</v>
      </c>
      <c r="AM4" s="62">
        <f t="shared" ref="AM4:AM67" si="5">AL4+(AD4+AE4)*44/12</f>
        <v>295.32246505171361</v>
      </c>
      <c r="AN4" s="62">
        <f ca="1">AVERAGE(OFFSET($AM$3,0,0,'Données projet'!$E$10+1,1))-AVERAGE(OFFSET($H$3,0,0,'Données projet'!$E$10+1,1))</f>
        <v>211.38734697794843</v>
      </c>
      <c r="AO4" s="62">
        <f>$AO$3</f>
        <v>239.85955661394541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7.6</v>
      </c>
      <c r="N5" s="14">
        <f>IF('Données projet'!$A$36&gt;35,N4+M5-V4,IF(A5&lt;'Données projet'!$A$36,$K$205^A5,IF(A5='Données projet'!$A$36,'Données projet'!$B$36,N4+M5-V4)))</f>
        <v>1.652663207869894</v>
      </c>
      <c r="O5" s="14">
        <f>N5*VLOOKUP('Données projet'!$B$9,Paramètres!$A$1:$I$89,3,0)*VLOOKUP('Données projet'!$B$9,Paramètres!$A$1:$I$89,5,0)</f>
        <v>0.98829259830619676</v>
      </c>
      <c r="P5" s="14">
        <f t="shared" ref="P5:P68" si="33">EXP(-1.0587+0.8836*LN(O5)+0.284)</f>
        <v>0.45607149635956251</v>
      </c>
      <c r="Q5" s="22">
        <f t="shared" si="2"/>
        <v>2.5156007982095305</v>
      </c>
      <c r="R5" s="62">
        <f t="shared" si="0"/>
        <v>295.84893413154282</v>
      </c>
      <c r="S5" s="62">
        <f ca="1">AVERAGE(OFFSET($R$3,0,0,'Données projet'!$E$9+1,1))-AVERAGE(OFFSET($H$3,0,0,'Données projet'!$E$9+1,1))</f>
        <v>276.05121228874452</v>
      </c>
      <c r="T5" s="62">
        <f t="shared" ref="T5:T68" si="34">$T$3</f>
        <v>319.89882768207553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8.8000000000000007</v>
      </c>
      <c r="AI5" s="14">
        <f>IF('Données projet'!$A$62&gt;35,AI4+AH5-AQ4,IF(A5&lt;'Données projet'!$A$62,$AF$205^A5,IF(A5='Données projet'!$A$62,'Données projet'!$B$62,AI4+AH5-AQ4)))</f>
        <v>1.6770702957166912</v>
      </c>
      <c r="AJ5" s="14">
        <f>AI5*VLOOKUP('Données projet'!$B$10,Paramètres!$A$1:$I$89,3,0)*VLOOKUP('Données projet'!$B$10,Paramètres!$A$1:$I$89,5,0)</f>
        <v>1.0028880368385815</v>
      </c>
      <c r="AK5" s="14">
        <f t="shared" ref="AK5:AK68" si="35">EXP(-1.0587+0.8836*LN(AJ5)+0.284)</f>
        <v>0.46201782401928632</v>
      </c>
      <c r="AL5" s="22">
        <f t="shared" si="4"/>
        <v>2.551377707660786</v>
      </c>
      <c r="AM5" s="62">
        <f t="shared" si="5"/>
        <v>295.88471104099409</v>
      </c>
      <c r="AN5" s="62">
        <f ca="1">AVERAGE(OFFSET($AM$3,0,0,'Données projet'!$E$10+1,1))-AVERAGE(OFFSET($H$3,0,0,'Données projet'!$E$10+1,1))</f>
        <v>211.38734697794843</v>
      </c>
      <c r="AO5" s="62">
        <f t="shared" ref="AO5:AO68" si="36">$AO$3</f>
        <v>239.85955661394541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7.6</v>
      </c>
      <c r="N6" s="14">
        <f>IF('Données projet'!$A$36&gt;35,N5+M6-V5,IF(A6&lt;'Données projet'!$A$36,$K$205^A6,IF(A6='Données projet'!$A$36,'Données projet'!$B$36,N5+M6-V5)))</f>
        <v>2.1245968742125205</v>
      </c>
      <c r="O6" s="14">
        <f>N6*VLOOKUP('Données projet'!$B$9,Paramètres!$A$1:$I$89,3,0)*VLOOKUP('Données projet'!$B$9,Paramètres!$A$1:$I$89,5,0)</f>
        <v>1.2705089307790873</v>
      </c>
      <c r="P6" s="14">
        <f t="shared" si="33"/>
        <v>0.56941221606900616</v>
      </c>
      <c r="Q6" s="22">
        <f t="shared" si="2"/>
        <v>3.2045293307604297</v>
      </c>
      <c r="R6" s="62">
        <f t="shared" si="0"/>
        <v>296.53786266409372</v>
      </c>
      <c r="S6" s="62">
        <f ca="1">AVERAGE(OFFSET($R$3,0,0,'Données projet'!$E$9+1,1))-AVERAGE(OFFSET($H$3,0,0,'Données projet'!$E$9+1,1))</f>
        <v>276.05121228874452</v>
      </c>
      <c r="T6" s="62">
        <f t="shared" si="34"/>
        <v>319.89882768207553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8.8000000000000007</v>
      </c>
      <c r="AI6" s="14">
        <f>IF('Données projet'!$A$62&gt;35,AI5+AH6-AQ5,IF(A6&lt;'Données projet'!$A$62,$AF$205^A6,IF(A6='Données projet'!$A$62,'Données projet'!$B$62,AI5+AH6-AQ5)))</f>
        <v>2.1718353625237921</v>
      </c>
      <c r="AJ6" s="14">
        <f>AI6*VLOOKUP('Données projet'!$B$10,Paramètres!$A$1:$I$89,3,0)*VLOOKUP('Données projet'!$B$10,Paramètres!$A$1:$I$89,5,0)</f>
        <v>1.2987575467892278</v>
      </c>
      <c r="AK6" s="14">
        <f t="shared" si="35"/>
        <v>0.5805845572765943</v>
      </c>
      <c r="AL6" s="22">
        <f t="shared" si="4"/>
        <v>3.2731874979146398</v>
      </c>
      <c r="AM6" s="62">
        <f t="shared" si="5"/>
        <v>296.60652083124796</v>
      </c>
      <c r="AN6" s="62">
        <f ca="1">AVERAGE(OFFSET($AM$3,0,0,'Données projet'!$E$10+1,1))-AVERAGE(OFFSET($H$3,0,0,'Données projet'!$E$10+1,1))</f>
        <v>211.38734697794843</v>
      </c>
      <c r="AO6" s="62">
        <f t="shared" si="36"/>
        <v>239.85955661394541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7.6</v>
      </c>
      <c r="N7" s="14">
        <f>IF('Données projet'!$A$36&gt;35,N6+M7-V6,IF(A7&lt;'Données projet'!$A$36,$K$205^A7,IF(A7='Données projet'!$A$36,'Données projet'!$B$36,N6+M7-V6)))</f>
        <v>2.7312956786468083</v>
      </c>
      <c r="O7" s="14">
        <f>N7*VLOOKUP('Données projet'!$B$9,Paramètres!$A$1:$I$89,3,0)*VLOOKUP('Données projet'!$B$9,Paramètres!$A$1:$I$89,5,0)</f>
        <v>1.6333148158307915</v>
      </c>
      <c r="P7" s="14">
        <f t="shared" si="33"/>
        <v>0.71091983251897084</v>
      </c>
      <c r="Q7" s="22">
        <f t="shared" si="2"/>
        <v>4.082875345875836</v>
      </c>
      <c r="R7" s="62">
        <f t="shared" si="0"/>
        <v>297.41620867920915</v>
      </c>
      <c r="S7" s="62">
        <f ca="1">AVERAGE(OFFSET($R$3,0,0,'Données projet'!$E$9+1,1))-AVERAGE(OFFSET($H$3,0,0,'Données projet'!$E$9+1,1))</f>
        <v>276.05121228874452</v>
      </c>
      <c r="T7" s="62">
        <f t="shared" si="34"/>
        <v>319.89882768207553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8.8000000000000007</v>
      </c>
      <c r="AI7" s="14">
        <f>IF('Données projet'!$A$62&gt;35,AI6+AH7-AQ6,IF(A7&lt;'Données projet'!$A$62,$AF$205^A7,IF(A7='Données projet'!$A$62,'Données projet'!$B$62,AI6+AH7-AQ6)))</f>
        <v>2.8125647767752699</v>
      </c>
      <c r="AJ7" s="14">
        <f>AI7*VLOOKUP('Données projet'!$B$10,Paramètres!$A$1:$I$89,3,0)*VLOOKUP('Données projet'!$B$10,Paramètres!$A$1:$I$89,5,0)</f>
        <v>1.6819137365116117</v>
      </c>
      <c r="AK7" s="14">
        <f t="shared" si="35"/>
        <v>0.72957884008818696</v>
      </c>
      <c r="AL7" s="22">
        <f t="shared" si="4"/>
        <v>4.2000162375779828</v>
      </c>
      <c r="AM7" s="62">
        <f t="shared" si="5"/>
        <v>297.5333495709113</v>
      </c>
      <c r="AN7" s="62">
        <f ca="1">AVERAGE(OFFSET($AM$3,0,0,'Données projet'!$E$10+1,1))-AVERAGE(OFFSET($H$3,0,0,'Données projet'!$E$10+1,1))</f>
        <v>211.38734697794843</v>
      </c>
      <c r="AO7" s="62">
        <f t="shared" si="36"/>
        <v>239.85955661394541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7.6</v>
      </c>
      <c r="N8" s="14">
        <f>IF('Données projet'!$A$36&gt;35,N7+M8-V7,IF(A8&lt;'Données projet'!$A$36,$K$205^A8,IF(A8='Données projet'!$A$36,'Données projet'!$B$36,N7+M8-V7)))</f>
        <v>3.5112430855664138</v>
      </c>
      <c r="O8" s="14">
        <f>N8*VLOOKUP('Données projet'!$B$9,Paramètres!$A$1:$I$89,3,0)*VLOOKUP('Données projet'!$B$9,Paramètres!$A$1:$I$89,5,0)</f>
        <v>2.0997233651687157</v>
      </c>
      <c r="P8" s="14">
        <f t="shared" si="33"/>
        <v>0.88759424895715988</v>
      </c>
      <c r="Q8" s="22">
        <f t="shared" si="2"/>
        <v>5.2029115112692326</v>
      </c>
      <c r="R8" s="62">
        <f t="shared" si="0"/>
        <v>298.53624484460255</v>
      </c>
      <c r="S8" s="62">
        <f ca="1">AVERAGE(OFFSET($R$3,0,0,'Données projet'!$E$9+1,1))-AVERAGE(OFFSET($H$3,0,0,'Données projet'!$E$9+1,1))</f>
        <v>276.05121228874452</v>
      </c>
      <c r="T8" s="62">
        <f t="shared" si="34"/>
        <v>319.89882768207553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8.8000000000000007</v>
      </c>
      <c r="AI8" s="14">
        <f>IF('Données projet'!$A$62&gt;35,AI7+AH8-AQ7,IF(A8&lt;'Données projet'!$A$62,$AF$205^A8,IF(A8='Données projet'!$A$62,'Données projet'!$B$62,AI7+AH8-AQ7)))</f>
        <v>3.6423205736757431</v>
      </c>
      <c r="AJ8" s="14">
        <f>AI8*VLOOKUP('Données projet'!$B$10,Paramètres!$A$1:$I$89,3,0)*VLOOKUP('Données projet'!$B$10,Paramètres!$A$1:$I$89,5,0)</f>
        <v>2.1781077030580946</v>
      </c>
      <c r="AK8" s="14">
        <f t="shared" si="35"/>
        <v>0.91680923516338042</v>
      </c>
      <c r="AL8" s="22">
        <f t="shared" si="4"/>
        <v>5.3903136674024026</v>
      </c>
      <c r="AM8" s="62">
        <f t="shared" si="5"/>
        <v>298.7236470007357</v>
      </c>
      <c r="AN8" s="62">
        <f ca="1">AVERAGE(OFFSET($AM$3,0,0,'Données projet'!$E$10+1,1))-AVERAGE(OFFSET($H$3,0,0,'Données projet'!$E$10+1,1))</f>
        <v>211.38734697794843</v>
      </c>
      <c r="AO8" s="62">
        <f t="shared" si="36"/>
        <v>239.85955661394541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7.6</v>
      </c>
      <c r="N9" s="14">
        <f>IF('Données projet'!$A$36&gt;35,N8+M9-V8,IF(A9&lt;'Données projet'!$A$36,$K$205^A9,IF(A9='Données projet'!$A$36,'Données projet'!$B$36,N8+M9-V8)))</f>
        <v>4.5139118779136131</v>
      </c>
      <c r="O9" s="14">
        <f>N9*VLOOKUP('Données projet'!$B$9,Paramètres!$A$1:$I$89,3,0)*VLOOKUP('Données projet'!$B$9,Paramètres!$A$1:$I$89,5,0)</f>
        <v>2.699319302992341</v>
      </c>
      <c r="P9" s="14">
        <f t="shared" si="33"/>
        <v>1.1081749513026866</v>
      </c>
      <c r="Q9" s="22">
        <f t="shared" si="2"/>
        <v>6.6313858262305061</v>
      </c>
      <c r="R9" s="62">
        <f t="shared" si="0"/>
        <v>299.9647191595638</v>
      </c>
      <c r="S9" s="62">
        <f ca="1">AVERAGE(OFFSET($R$3,0,0,'Données projet'!$E$9+1,1))-AVERAGE(OFFSET($H$3,0,0,'Données projet'!$E$9+1,1))</f>
        <v>276.05121228874452</v>
      </c>
      <c r="T9" s="62">
        <f t="shared" si="34"/>
        <v>319.89882768207553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8.8000000000000007</v>
      </c>
      <c r="AI9" s="14">
        <f>IF('Données projet'!$A$62&gt;35,AI8+AH9-AQ8,IF(A9&lt;'Données projet'!$A$62,$AF$205^A9,IF(A9='Données projet'!$A$62,'Données projet'!$B$62,AI8+AH9-AQ8)))</f>
        <v>4.7168688419088518</v>
      </c>
      <c r="AJ9" s="14">
        <f>AI9*VLOOKUP('Données projet'!$B$10,Paramètres!$A$1:$I$89,3,0)*VLOOKUP('Données projet'!$B$10,Paramètres!$A$1:$I$89,5,0)</f>
        <v>2.8206875674614937</v>
      </c>
      <c r="AK9" s="14">
        <f t="shared" si="35"/>
        <v>1.1520882014331222</v>
      </c>
      <c r="AL9" s="22">
        <f t="shared" si="4"/>
        <v>6.9192511308247893</v>
      </c>
      <c r="AM9" s="62">
        <f t="shared" si="5"/>
        <v>300.25258446415808</v>
      </c>
      <c r="AN9" s="62">
        <f ca="1">AVERAGE(OFFSET($AM$3,0,0,'Données projet'!$E$10+1,1))-AVERAGE(OFFSET($H$3,0,0,'Données projet'!$E$10+1,1))</f>
        <v>211.38734697794843</v>
      </c>
      <c r="AO9" s="62">
        <f t="shared" si="36"/>
        <v>239.85955661394541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7.6</v>
      </c>
      <c r="N10" s="14">
        <f>IF('Données projet'!$A$36&gt;35,N9+M10-V9,IF(A10&lt;'Données projet'!$A$36,$K$205^A10,IF(A10='Données projet'!$A$36,'Données projet'!$B$36,N9+M10-V9)))</f>
        <v>5.8029022614031742</v>
      </c>
      <c r="O10" s="14">
        <f>N10*VLOOKUP('Données projet'!$B$9,Paramètres!$A$1:$I$89,3,0)*VLOOKUP('Données projet'!$B$9,Paramètres!$A$1:$I$89,5,0)</f>
        <v>3.4701355523190984</v>
      </c>
      <c r="P10" s="14">
        <f t="shared" si="33"/>
        <v>1.3835733209600647</v>
      </c>
      <c r="Q10" s="22">
        <f t="shared" si="2"/>
        <v>8.4535429542945408</v>
      </c>
      <c r="R10" s="62">
        <f t="shared" si="0"/>
        <v>301.78687628762788</v>
      </c>
      <c r="S10" s="62">
        <f ca="1">AVERAGE(OFFSET($R$3,0,0,'Données projet'!$E$9+1,1))-AVERAGE(OFFSET($H$3,0,0,'Données projet'!$E$9+1,1))</f>
        <v>276.05121228874452</v>
      </c>
      <c r="T10" s="62">
        <f t="shared" si="34"/>
        <v>319.89882768207553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8.8000000000000007</v>
      </c>
      <c r="AI10" s="14">
        <f>IF('Données projet'!$A$62&gt;35,AI9+AH10-AQ9,IF(A10&lt;'Données projet'!$A$62,$AF$205^A10,IF(A10='Données projet'!$A$62,'Données projet'!$B$62,AI9+AH10-AQ9)))</f>
        <v>6.1084276415893664</v>
      </c>
      <c r="AJ10" s="14">
        <f>AI10*VLOOKUP('Données projet'!$B$10,Paramètres!$A$1:$I$89,3,0)*VLOOKUP('Données projet'!$B$10,Paramètres!$A$1:$I$89,5,0)</f>
        <v>3.6528397296704411</v>
      </c>
      <c r="AK10" s="14">
        <f t="shared" si="35"/>
        <v>1.4477463500298098</v>
      </c>
      <c r="AL10" s="22">
        <f t="shared" si="4"/>
        <v>8.883520755477937</v>
      </c>
      <c r="AM10" s="62">
        <f t="shared" si="5"/>
        <v>302.21685408881126</v>
      </c>
      <c r="AN10" s="62">
        <f ca="1">AVERAGE(OFFSET($AM$3,0,0,'Données projet'!$E$10+1,1))-AVERAGE(OFFSET($H$3,0,0,'Données projet'!$E$10+1,1))</f>
        <v>211.38734697794843</v>
      </c>
      <c r="AO10" s="62">
        <f t="shared" si="36"/>
        <v>239.85955661394541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7.6</v>
      </c>
      <c r="N11" s="14">
        <f>IF('Données projet'!$A$36&gt;35,N10+M11-V10,IF(A11&lt;'Données projet'!$A$36,$K$205^A11,IF(A11='Données projet'!$A$36,'Données projet'!$B$36,N10+M11-V10)))</f>
        <v>7.4599760841947296</v>
      </c>
      <c r="O11" s="14">
        <f>N11*VLOOKUP('Données projet'!$B$9,Paramètres!$A$1:$I$89,3,0)*VLOOKUP('Données projet'!$B$9,Paramètres!$A$1:$I$89,5,0)</f>
        <v>4.461065698348448</v>
      </c>
      <c r="P11" s="14">
        <f t="shared" si="33"/>
        <v>1.7274123839581328</v>
      </c>
      <c r="Q11" s="22">
        <f t="shared" si="2"/>
        <v>10.77826599335063</v>
      </c>
      <c r="R11" s="62">
        <f t="shared" si="0"/>
        <v>304.11159932668397</v>
      </c>
      <c r="S11" s="62">
        <f ca="1">AVERAGE(OFFSET($R$3,0,0,'Données projet'!$E$9+1,1))-AVERAGE(OFFSET($H$3,0,0,'Données projet'!$E$9+1,1))</f>
        <v>276.05121228874452</v>
      </c>
      <c r="T11" s="62">
        <f t="shared" si="34"/>
        <v>319.89882768207553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8.8000000000000007</v>
      </c>
      <c r="AI11" s="14">
        <f>IF('Données projet'!$A$62&gt;35,AI10+AH11-AQ10,IF(A11&lt;'Données projet'!$A$62,$AF$205^A11,IF(A11='Données projet'!$A$62,'Données projet'!$B$62,AI10+AH11-AQ10)))</f>
        <v>7.9105206235569243</v>
      </c>
      <c r="AJ11" s="14">
        <f>AI11*VLOOKUP('Données projet'!$B$10,Paramètres!$A$1:$I$89,3,0)*VLOOKUP('Données projet'!$B$10,Paramètres!$A$1:$I$89,5,0)</f>
        <v>4.7304913328870413</v>
      </c>
      <c r="AK11" s="14">
        <f t="shared" si="35"/>
        <v>1.8192786727764332</v>
      </c>
      <c r="AL11" s="22">
        <f t="shared" si="4"/>
        <v>11.407516093197218</v>
      </c>
      <c r="AM11" s="62">
        <f t="shared" si="5"/>
        <v>304.74084942653053</v>
      </c>
      <c r="AN11" s="62">
        <f ca="1">AVERAGE(OFFSET($AM$3,0,0,'Données projet'!$E$10+1,1))-AVERAGE(OFFSET($H$3,0,0,'Données projet'!$E$10+1,1))</f>
        <v>211.38734697794843</v>
      </c>
      <c r="AO11" s="62">
        <f t="shared" si="36"/>
        <v>239.85955661394541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7.6</v>
      </c>
      <c r="N12" s="14">
        <f>IF('Données projet'!$A$36&gt;35,N11+M12-V11,IF(A12&lt;'Données projet'!$A$36,$K$205^A12,IF(A12='Données projet'!$A$36,'Données projet'!$B$36,N11+M12-V11)))</f>
        <v>9.5902430662860318</v>
      </c>
      <c r="O12" s="14">
        <f>N12*VLOOKUP('Données projet'!$B$9,Paramètres!$A$1:$I$89,3,0)*VLOOKUP('Données projet'!$B$9,Paramètres!$A$1:$I$89,5,0)</f>
        <v>5.7349653536390477</v>
      </c>
      <c r="P12" s="14">
        <f t="shared" si="33"/>
        <v>2.1567006959785462</v>
      </c>
      <c r="Q12" s="22">
        <f t="shared" si="2"/>
        <v>13.744651703083976</v>
      </c>
      <c r="R12" s="62">
        <f t="shared" si="0"/>
        <v>307.07798503641732</v>
      </c>
      <c r="S12" s="62">
        <f ca="1">AVERAGE(OFFSET($R$3,0,0,'Données projet'!$E$9+1,1))-AVERAGE(OFFSET($H$3,0,0,'Données projet'!$E$9+1,1))</f>
        <v>276.05121228874452</v>
      </c>
      <c r="T12" s="62">
        <f t="shared" si="34"/>
        <v>319.89882768207553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8.8000000000000007</v>
      </c>
      <c r="AI12" s="14">
        <f>IF('Données projet'!$A$62&gt;35,AI11+AH12-AQ11,IF(A12&lt;'Données projet'!$A$62,$AF$205^A12,IF(A12='Données projet'!$A$62,'Données projet'!$B$62,AI11+AH12-AQ11)))</f>
        <v>10.24426255124429</v>
      </c>
      <c r="AJ12" s="14">
        <f>AI12*VLOOKUP('Données projet'!$B$10,Paramètres!$A$1:$I$89,3,0)*VLOOKUP('Données projet'!$B$10,Paramètres!$A$1:$I$89,5,0)</f>
        <v>6.1260690056440863</v>
      </c>
      <c r="AK12" s="14">
        <f t="shared" si="35"/>
        <v>2.2861566110327458</v>
      </c>
      <c r="AL12" s="22">
        <f t="shared" si="4"/>
        <v>14.651292949045482</v>
      </c>
      <c r="AM12" s="62">
        <f t="shared" si="5"/>
        <v>307.98462628237877</v>
      </c>
      <c r="AN12" s="62">
        <f ca="1">AVERAGE(OFFSET($AM$3,0,0,'Données projet'!$E$10+1,1))-AVERAGE(OFFSET($H$3,0,0,'Données projet'!$E$10+1,1))</f>
        <v>211.38734697794843</v>
      </c>
      <c r="AO12" s="62">
        <f t="shared" si="36"/>
        <v>239.85955661394541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7.6</v>
      </c>
      <c r="N13" s="14">
        <f>IF('Données projet'!$A$36&gt;35,N12+M13-V12,IF(A13&lt;'Données projet'!$A$36,$K$205^A13,IF(A13='Données projet'!$A$36,'Données projet'!$B$36,N12+M13-V12)))</f>
        <v>12.328828005937952</v>
      </c>
      <c r="O13" s="14">
        <f>N13*VLOOKUP('Données projet'!$B$9,Paramètres!$A$1:$I$89,3,0)*VLOOKUP('Données projet'!$B$9,Paramètres!$A$1:$I$89,5,0)</f>
        <v>7.3726391475508954</v>
      </c>
      <c r="P13" s="14">
        <f t="shared" si="33"/>
        <v>2.6926736980873009</v>
      </c>
      <c r="Q13" s="22">
        <f t="shared" si="2"/>
        <v>17.530419872819859</v>
      </c>
      <c r="R13" s="62">
        <f t="shared" si="0"/>
        <v>310.86375320615315</v>
      </c>
      <c r="S13" s="62">
        <f ca="1">AVERAGE(OFFSET($R$3,0,0,'Données projet'!$E$9+1,1))-AVERAGE(OFFSET($H$3,0,0,'Données projet'!$E$9+1,1))</f>
        <v>276.05121228874452</v>
      </c>
      <c r="T13" s="62">
        <f t="shared" si="34"/>
        <v>319.89882768207553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8.8000000000000007</v>
      </c>
      <c r="AI13" s="14">
        <f>IF('Données projet'!$A$62&gt;35,AI12+AH13-AQ12,IF(A13&lt;'Données projet'!$A$62,$AF$205^A13,IF(A13='Données projet'!$A$62,'Données projet'!$B$62,AI12+AH13-AQ12)))</f>
        <v>13.266499161421596</v>
      </c>
      <c r="AJ13" s="14">
        <f>AI13*VLOOKUP('Données projet'!$B$10,Paramètres!$A$1:$I$89,3,0)*VLOOKUP('Données projet'!$B$10,Paramètres!$A$1:$I$89,5,0)</f>
        <v>7.9333664985301144</v>
      </c>
      <c r="AK13" s="14">
        <f t="shared" si="35"/>
        <v>2.8728485241859398</v>
      </c>
      <c r="AL13" s="22">
        <f t="shared" si="4"/>
        <v>18.820824497897124</v>
      </c>
      <c r="AM13" s="62">
        <f t="shared" si="5"/>
        <v>312.15415783123046</v>
      </c>
      <c r="AN13" s="62">
        <f ca="1">AVERAGE(OFFSET($AM$3,0,0,'Données projet'!$E$10+1,1))-AVERAGE(OFFSET($H$3,0,0,'Données projet'!$E$10+1,1))</f>
        <v>211.38734697794843</v>
      </c>
      <c r="AO13" s="62">
        <f t="shared" si="36"/>
        <v>239.85955661394541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7.6</v>
      </c>
      <c r="N14" s="14">
        <f>IF('Données projet'!$A$36&gt;35,N13+M14-V13,IF(A14&lt;'Données projet'!$A$36,$K$205^A14,IF(A14='Données projet'!$A$36,'Données projet'!$B$36,N13+M14-V13)))</f>
        <v>15.849441870180282</v>
      </c>
      <c r="O14" s="14">
        <f>N14*VLOOKUP('Données projet'!$B$9,Paramètres!$A$1:$I$89,3,0)*VLOOKUP('Données projet'!$B$9,Paramètres!$A$1:$I$89,5,0)</f>
        <v>9.4779662383678094</v>
      </c>
      <c r="P14" s="14">
        <f t="shared" si="33"/>
        <v>3.3618441621921122</v>
      </c>
      <c r="Q14" s="22">
        <f t="shared" si="2"/>
        <v>22.362669780975192</v>
      </c>
      <c r="R14" s="62">
        <f t="shared" si="0"/>
        <v>315.6960031143085</v>
      </c>
      <c r="S14" s="62">
        <f ca="1">AVERAGE(OFFSET($R$3,0,0,'Données projet'!$E$9+1,1))-AVERAGE(OFFSET($H$3,0,0,'Données projet'!$E$9+1,1))</f>
        <v>276.05121228874452</v>
      </c>
      <c r="T14" s="62">
        <f t="shared" si="34"/>
        <v>319.89882768207553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8.8000000000000007</v>
      </c>
      <c r="AI14" s="14">
        <f>IF('Données projet'!$A$62&gt;35,AI13+AH14-AQ13,IF(A14&lt;'Données projet'!$A$62,$AF$205^A14,IF(A14='Données projet'!$A$62,'Données projet'!$B$62,AI13+AH14-AQ13)))</f>
        <v>17.180348426214685</v>
      </c>
      <c r="AJ14" s="14">
        <f>AI14*VLOOKUP('Données projet'!$B$10,Paramètres!$A$1:$I$89,3,0)*VLOOKUP('Données projet'!$B$10,Paramètres!$A$1:$I$89,5,0)</f>
        <v>10.273848358876382</v>
      </c>
      <c r="AK14" s="14">
        <f t="shared" si="35"/>
        <v>3.6101020389801781</v>
      </c>
      <c r="AL14" s="22">
        <f t="shared" si="4"/>
        <v>24.181213609600178</v>
      </c>
      <c r="AM14" s="62">
        <f t="shared" si="5"/>
        <v>317.51454694293352</v>
      </c>
      <c r="AN14" s="62">
        <f ca="1">AVERAGE(OFFSET($AM$3,0,0,'Données projet'!$E$10+1,1))-AVERAGE(OFFSET($H$3,0,0,'Données projet'!$E$10+1,1))</f>
        <v>211.38734697794843</v>
      </c>
      <c r="AO14" s="62">
        <f t="shared" si="36"/>
        <v>239.85955661394541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7.6</v>
      </c>
      <c r="N15" s="14">
        <f>IF('Données projet'!$A$36&gt;35,N14+M15-V14,IF(A15&lt;'Données projet'!$A$36,$K$205^A15,IF(A15='Données projet'!$A$36,'Données projet'!$B$36,N14+M15-V14)))</f>
        <v>20.375400441569603</v>
      </c>
      <c r="O15" s="14">
        <f>N15*VLOOKUP('Données projet'!$B$9,Paramètres!$A$1:$I$89,3,0)*VLOOKUP('Données projet'!$B$9,Paramètres!$A$1:$I$89,5,0)</f>
        <v>12.184489464058624</v>
      </c>
      <c r="P15" s="14">
        <f t="shared" si="33"/>
        <v>4.1973136882101167</v>
      </c>
      <c r="Q15" s="22">
        <f t="shared" si="2"/>
        <v>28.531640490201386</v>
      </c>
      <c r="R15" s="62">
        <f t="shared" si="0"/>
        <v>321.86497382353468</v>
      </c>
      <c r="S15" s="62">
        <f ca="1">AVERAGE(OFFSET($R$3,0,0,'Données projet'!$E$9+1,1))-AVERAGE(OFFSET($H$3,0,0,'Données projet'!$E$9+1,1))</f>
        <v>276.05121228874452</v>
      </c>
      <c r="T15" s="62">
        <f t="shared" si="34"/>
        <v>319.89882768207553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8.8000000000000007</v>
      </c>
      <c r="AI15" s="14">
        <f>IF('Données projet'!$A$62&gt;35,AI14+AH15-AQ14,IF(A15&lt;'Données projet'!$A$62,$AF$205^A15,IF(A15='Données projet'!$A$62,'Données projet'!$B$62,AI14+AH15-AQ14)))</f>
        <v>22.248851671770549</v>
      </c>
      <c r="AJ15" s="14">
        <f>AI15*VLOOKUP('Données projet'!$B$10,Paramètres!$A$1:$I$89,3,0)*VLOOKUP('Données projet'!$B$10,Paramètres!$A$1:$I$89,5,0)</f>
        <v>13.30481329971879</v>
      </c>
      <c r="AK15" s="14">
        <f t="shared" si="35"/>
        <v>4.5365554856540449</v>
      </c>
      <c r="AL15" s="22">
        <f t="shared" si="4"/>
        <v>31.073717301191024</v>
      </c>
      <c r="AM15" s="62">
        <f t="shared" si="5"/>
        <v>324.40705063452435</v>
      </c>
      <c r="AN15" s="62">
        <f ca="1">AVERAGE(OFFSET($AM$3,0,0,'Données projet'!$E$10+1,1))-AVERAGE(OFFSET($H$3,0,0,'Données projet'!$E$10+1,1))</f>
        <v>211.38734697794843</v>
      </c>
      <c r="AO15" s="62">
        <f t="shared" si="36"/>
        <v>239.85955661394541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7.6</v>
      </c>
      <c r="N16" s="14">
        <f>IF('Données projet'!$A$36&gt;35,N15+M16-V15,IF(A16&lt;'Données projet'!$A$36,$K$205^A16,IF(A16='Données projet'!$A$36,'Données projet'!$B$36,N15+M16-V15)))</f>
        <v>26.193789444119556</v>
      </c>
      <c r="O16" s="14">
        <f>N16*VLOOKUP('Données projet'!$B$9,Paramètres!$A$1:$I$89,3,0)*VLOOKUP('Données projet'!$B$9,Paramètres!$A$1:$I$89,5,0)</f>
        <v>15.663886087583496</v>
      </c>
      <c r="P16" s="14">
        <f t="shared" si="33"/>
        <v>5.2404101282756796</v>
      </c>
      <c r="Q16" s="22">
        <f t="shared" si="2"/>
        <v>36.408315909288063</v>
      </c>
      <c r="R16" s="62">
        <f t="shared" si="0"/>
        <v>329.74164924262141</v>
      </c>
      <c r="S16" s="62">
        <f ca="1">AVERAGE(OFFSET($R$3,0,0,'Données projet'!$E$9+1,1))-AVERAGE(OFFSET($H$3,0,0,'Données projet'!$E$9+1,1))</f>
        <v>276.05121228874452</v>
      </c>
      <c r="T16" s="62">
        <f t="shared" si="34"/>
        <v>319.89882768207553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8.8000000000000007</v>
      </c>
      <c r="AI16" s="14">
        <f>IF('Données projet'!$A$62&gt;35,AI15+AH16-AQ15,IF(A16&lt;'Données projet'!$A$62,$AF$205^A16,IF(A16='Données projet'!$A$62,'Données projet'!$B$62,AI15+AH16-AQ15)))</f>
        <v>28.812652015667656</v>
      </c>
      <c r="AJ16" s="14">
        <f>AI16*VLOOKUP('Données projet'!$B$10,Paramètres!$A$1:$I$89,3,0)*VLOOKUP('Données projet'!$B$10,Paramètres!$A$1:$I$89,5,0)</f>
        <v>17.229965905369259</v>
      </c>
      <c r="AK16" s="14">
        <f t="shared" si="35"/>
        <v>5.700762873791664</v>
      </c>
      <c r="AL16" s="22">
        <f t="shared" si="4"/>
        <v>39.937685957038603</v>
      </c>
      <c r="AM16" s="62">
        <f t="shared" si="5"/>
        <v>333.2710192903719</v>
      </c>
      <c r="AN16" s="62">
        <f ca="1">AVERAGE(OFFSET($AM$3,0,0,'Données projet'!$E$10+1,1))-AVERAGE(OFFSET($H$3,0,0,'Données projet'!$E$10+1,1))</f>
        <v>211.38734697794843</v>
      </c>
      <c r="AO16" s="62">
        <f t="shared" si="36"/>
        <v>239.85955661394541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7.6</v>
      </c>
      <c r="N17" s="14">
        <f>IF('Données projet'!$A$36&gt;35,N16+M17-V16,IF(A17&lt;'Données projet'!$A$36,$K$205^A17,IF(A17='Données projet'!$A$36,'Données projet'!$B$36,N16+M17-V16)))</f>
        <v>33.673674655398074</v>
      </c>
      <c r="O17" s="14">
        <f>N17*VLOOKUP('Données projet'!$B$9,Paramètres!$A$1:$I$89,3,0)*VLOOKUP('Données projet'!$B$9,Paramètres!$A$1:$I$89,5,0)</f>
        <v>20.136857443928051</v>
      </c>
      <c r="P17" s="14">
        <f t="shared" si="33"/>
        <v>6.5427319358265699</v>
      </c>
      <c r="Q17" s="22">
        <f t="shared" si="2"/>
        <v>46.466951503072629</v>
      </c>
      <c r="R17" s="62">
        <f t="shared" si="0"/>
        <v>339.80028483640592</v>
      </c>
      <c r="S17" s="62">
        <f ca="1">AVERAGE(OFFSET($R$3,0,0,'Données projet'!$E$9+1,1))-AVERAGE(OFFSET($H$3,0,0,'Données projet'!$E$9+1,1))</f>
        <v>276.05121228874452</v>
      </c>
      <c r="T17" s="62">
        <f t="shared" si="34"/>
        <v>319.89882768207553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8.8000000000000007</v>
      </c>
      <c r="AI17" s="14">
        <f>IF('Données projet'!$A$62&gt;35,AI16+AH17-AQ16,IF(A17&lt;'Données projet'!$A$62,$AF$205^A17,IF(A17='Données projet'!$A$62,'Données projet'!$B$62,AI16+AH17-AQ16)))</f>
        <v>37.312888252533035</v>
      </c>
      <c r="AJ17" s="14">
        <f>AI17*VLOOKUP('Données projet'!$B$10,Paramètres!$A$1:$I$89,3,0)*VLOOKUP('Données projet'!$B$10,Paramètres!$A$1:$I$89,5,0)</f>
        <v>22.313107175014757</v>
      </c>
      <c r="AK17" s="14">
        <f t="shared" si="35"/>
        <v>7.1637385337778996</v>
      </c>
      <c r="AL17" s="22">
        <f t="shared" si="4"/>
        <v>51.338839609480544</v>
      </c>
      <c r="AM17" s="62">
        <f t="shared" si="5"/>
        <v>344.67217294281386</v>
      </c>
      <c r="AN17" s="62">
        <f ca="1">AVERAGE(OFFSET($AM$3,0,0,'Données projet'!$E$10+1,1))-AVERAGE(OFFSET($H$3,0,0,'Données projet'!$E$10+1,1))</f>
        <v>211.38734697794843</v>
      </c>
      <c r="AO17" s="62">
        <f t="shared" si="36"/>
        <v>239.85955661394541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7.6</v>
      </c>
      <c r="N18" s="14">
        <f>IF('Données projet'!$A$36&gt;35,N17+M18-V17,IF(A18&lt;'Données projet'!$A$36,$K$205^A18,IF(A18='Données projet'!$A$36,'Données projet'!$B$36,N17+M18-V17)))</f>
        <v>43.289512088987195</v>
      </c>
      <c r="O18" s="14">
        <f>N18*VLOOKUP('Données projet'!$B$9,Paramètres!$A$1:$I$89,3,0)*VLOOKUP('Données projet'!$B$9,Paramètres!$A$1:$I$89,5,0)</f>
        <v>25.887128229214344</v>
      </c>
      <c r="P18" s="14">
        <f t="shared" si="33"/>
        <v>8.168700566604377</v>
      </c>
      <c r="Q18" s="22">
        <f t="shared" si="2"/>
        <v>59.313901819384263</v>
      </c>
      <c r="R18" s="62">
        <f t="shared" si="0"/>
        <v>352.6472351527176</v>
      </c>
      <c r="S18" s="62">
        <f ca="1">AVERAGE(OFFSET($R$3,0,0,'Données projet'!$E$9+1,1))-AVERAGE(OFFSET($H$3,0,0,'Données projet'!$E$9+1,1))</f>
        <v>276.05121228874452</v>
      </c>
      <c r="T18" s="62">
        <f t="shared" si="34"/>
        <v>319.89882768207553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8.8000000000000007</v>
      </c>
      <c r="AI18" s="14">
        <f>IF('Données projet'!$A$62&gt;35,AI17+AH18-AQ17,IF(A18&lt;'Données projet'!$A$62,$AF$205^A18,IF(A18='Données projet'!$A$62,'Données projet'!$B$62,AI17+AH18-AQ17)))</f>
        <v>48.320842836297864</v>
      </c>
      <c r="AJ18" s="14">
        <f>AI18*VLOOKUP('Données projet'!$B$10,Paramètres!$A$1:$I$89,3,0)*VLOOKUP('Données projet'!$B$10,Paramètres!$A$1:$I$89,5,0)</f>
        <v>28.895864016106124</v>
      </c>
      <c r="AK18" s="14">
        <f t="shared" si="35"/>
        <v>9.0021547846281837</v>
      </c>
      <c r="AL18" s="22">
        <f t="shared" si="4"/>
        <v>66.005716077945578</v>
      </c>
      <c r="AM18" s="62">
        <f t="shared" si="5"/>
        <v>359.33904941127889</v>
      </c>
      <c r="AN18" s="62">
        <f ca="1">AVERAGE(OFFSET($AM$3,0,0,'Données projet'!$E$10+1,1))-AVERAGE(OFFSET($H$3,0,0,'Données projet'!$E$10+1,1))</f>
        <v>211.38734697794843</v>
      </c>
      <c r="AO18" s="62">
        <f t="shared" si="36"/>
        <v>239.85955661394541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7.6</v>
      </c>
      <c r="N19" s="14">
        <f>IF('Données projet'!$A$36&gt;35,N18+M19-V18,IF(A19&lt;'Données projet'!$A$36,$K$205^A19,IF(A19='Données projet'!$A$36,'Données projet'!$B$36,N18+M19-V18)))</f>
        <v>55.651243176757333</v>
      </c>
      <c r="O19" s="14">
        <f>N19*VLOOKUP('Données projet'!$B$9,Paramètres!$A$1:$I$89,3,0)*VLOOKUP('Données projet'!$B$9,Paramètres!$A$1:$I$89,5,0)</f>
        <v>33.27944341970089</v>
      </c>
      <c r="P19" s="14">
        <f t="shared" si="33"/>
        <v>10.198747190215236</v>
      </c>
      <c r="Q19" s="22">
        <f t="shared" si="2"/>
        <v>75.724515312270583</v>
      </c>
      <c r="R19" s="62">
        <f t="shared" si="0"/>
        <v>369.05784864560388</v>
      </c>
      <c r="S19" s="62">
        <f ca="1">AVERAGE(OFFSET($R$3,0,0,'Données projet'!$E$9+1,1))-AVERAGE(OFFSET($H$3,0,0,'Données projet'!$E$9+1,1))</f>
        <v>276.05121228874452</v>
      </c>
      <c r="T19" s="62">
        <f t="shared" si="34"/>
        <v>319.89882768207553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8.8000000000000007</v>
      </c>
      <c r="AI19" s="14">
        <f>IF('Données projet'!$A$62&gt;35,AI18+AH19-AQ18,IF(A19&lt;'Données projet'!$A$62,$AF$205^A19,IF(A19='Données projet'!$A$62,'Données projet'!$B$62,AI18+AH19-AQ18)))</f>
        <v>62.576336535719427</v>
      </c>
      <c r="AJ19" s="14">
        <f>AI19*VLOOKUP('Données projet'!$B$10,Paramètres!$A$1:$I$89,3,0)*VLOOKUP('Données projet'!$B$10,Paramètres!$A$1:$I$89,5,0)</f>
        <v>37.42064924836022</v>
      </c>
      <c r="AK19" s="14">
        <f t="shared" si="35"/>
        <v>11.312360213078179</v>
      </c>
      <c r="AL19" s="22">
        <f t="shared" si="4"/>
        <v>84.876658145338538</v>
      </c>
      <c r="AM19" s="62">
        <f t="shared" si="5"/>
        <v>378.20999147867184</v>
      </c>
      <c r="AN19" s="62">
        <f ca="1">AVERAGE(OFFSET($AM$3,0,0,'Données projet'!$E$10+1,1))-AVERAGE(OFFSET($H$3,0,0,'Données projet'!$E$10+1,1))</f>
        <v>211.38734697794843</v>
      </c>
      <c r="AO19" s="62">
        <f t="shared" si="36"/>
        <v>239.85955661394541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7.6</v>
      </c>
      <c r="N20" s="14">
        <f>IF('Données projet'!$A$36&gt;35,N19+M20-V19,IF(A20&lt;'Données projet'!$A$36,$K$205^A20,IF(A20='Données projet'!$A$36,'Données projet'!$B$36,N19+M20-V19)))</f>
        <v>71.542983916108128</v>
      </c>
      <c r="O20" s="14">
        <f>N20*VLOOKUP('Données projet'!$B$9,Paramètres!$A$1:$I$89,3,0)*VLOOKUP('Données projet'!$B$9,Paramètres!$A$1:$I$89,5,0)</f>
        <v>42.782704381832666</v>
      </c>
      <c r="P20" s="14">
        <f t="shared" si="33"/>
        <v>12.73329134809511</v>
      </c>
      <c r="Q20" s="22">
        <f t="shared" si="2"/>
        <v>96.690359229624207</v>
      </c>
      <c r="R20" s="62">
        <f t="shared" si="0"/>
        <v>390.02369256295754</v>
      </c>
      <c r="S20" s="62">
        <f ca="1">AVERAGE(OFFSET($R$3,0,0,'Données projet'!$E$9+1,1))-AVERAGE(OFFSET($H$3,0,0,'Données projet'!$E$9+1,1))</f>
        <v>276.05121228874452</v>
      </c>
      <c r="T20" s="62">
        <f t="shared" si="34"/>
        <v>319.89882768207553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8.8000000000000007</v>
      </c>
      <c r="AI20" s="14">
        <f>IF('Données projet'!$A$62&gt;35,AI19+AH20-AQ19,IF(A20&lt;'Données projet'!$A$62,$AF$205^A20,IF(A20='Données projet'!$A$62,'Données projet'!$B$62,AI19+AH20-AQ19)))</f>
        <v>81.037450184749829</v>
      </c>
      <c r="AJ20" s="14">
        <f>AI20*VLOOKUP('Données projet'!$B$10,Paramètres!$A$1:$I$89,3,0)*VLOOKUP('Données projet'!$B$10,Paramètres!$A$1:$I$89,5,0)</f>
        <v>48.460395210480399</v>
      </c>
      <c r="AK20" s="14">
        <f t="shared" si="35"/>
        <v>14.215429155800685</v>
      </c>
      <c r="AL20" s="22">
        <f t="shared" si="4"/>
        <v>109.16039410460621</v>
      </c>
      <c r="AM20" s="62">
        <f t="shared" si="5"/>
        <v>402.49372743793953</v>
      </c>
      <c r="AN20" s="62">
        <f ca="1">AVERAGE(OFFSET($AM$3,0,0,'Données projet'!$E$10+1,1))-AVERAGE(OFFSET($H$3,0,0,'Données projet'!$E$10+1,1))</f>
        <v>211.38734697794843</v>
      </c>
      <c r="AO20" s="62">
        <f t="shared" si="36"/>
        <v>239.85955661394541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7.6</v>
      </c>
      <c r="N21" s="14">
        <f>IF('Données projet'!$A$36&gt;35,N20+M21-V20,IF(A21&lt;'Données projet'!$A$36,$K$205^A21,IF(A21='Données projet'!$A$36,'Données projet'!$B$36,N20+M21-V20)))</f>
        <v>91.972762070447317</v>
      </c>
      <c r="O21" s="14">
        <f>N21*VLOOKUP('Données projet'!$B$9,Paramètres!$A$1:$I$89,3,0)*VLOOKUP('Données projet'!$B$9,Paramètres!$A$1:$I$89,5,0)</f>
        <v>54.9997117181275</v>
      </c>
      <c r="P21" s="14">
        <f t="shared" si="33"/>
        <v>15.897708368634639</v>
      </c>
      <c r="Q21" s="22">
        <f t="shared" si="2"/>
        <v>123.4796733177774</v>
      </c>
      <c r="R21" s="62">
        <f t="shared" si="0"/>
        <v>416.8130066511107</v>
      </c>
      <c r="S21" s="62">
        <f ca="1">AVERAGE(OFFSET($R$3,0,0,'Données projet'!$E$9+1,1))-AVERAGE(OFFSET($H$3,0,0,'Données projet'!$E$9+1,1))</f>
        <v>276.05121228874452</v>
      </c>
      <c r="T21" s="62">
        <f t="shared" si="34"/>
        <v>319.89882768207553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8.8000000000000007</v>
      </c>
      <c r="AI21" s="14">
        <f>IF('Données projet'!$A$62&gt;35,AI20+AH21-AQ20,IF(A21&lt;'Données projet'!$A$62,$AF$205^A21,IF(A21='Données projet'!$A$62,'Données projet'!$B$62,AI20+AH21-AQ20)))</f>
        <v>104.94491521882617</v>
      </c>
      <c r="AJ21" s="14">
        <f>AI21*VLOOKUP('Données projet'!$B$10,Paramètres!$A$1:$I$89,3,0)*VLOOKUP('Données projet'!$B$10,Paramètres!$A$1:$I$89,5,0)</f>
        <v>62.757059300858053</v>
      </c>
      <c r="AK21" s="14">
        <f t="shared" si="35"/>
        <v>17.863507020397584</v>
      </c>
      <c r="AL21" s="22">
        <f t="shared" si="4"/>
        <v>140.41415300952022</v>
      </c>
      <c r="AM21" s="62">
        <f t="shared" si="5"/>
        <v>433.74748634285356</v>
      </c>
      <c r="AN21" s="62">
        <f ca="1">AVERAGE(OFFSET($AM$3,0,0,'Données projet'!$E$10+1,1))-AVERAGE(OFFSET($H$3,0,0,'Données projet'!$E$10+1,1))</f>
        <v>211.38734697794843</v>
      </c>
      <c r="AO21" s="62">
        <f t="shared" si="36"/>
        <v>239.85955661394541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7.6</v>
      </c>
      <c r="N22" s="14">
        <f>IF('Données projet'!$A$36&gt;35,N21+M22-V21,IF(A22&lt;'Données projet'!$A$36,$K$205^A22,IF(A22='Données projet'!$A$36,'Données projet'!$B$36,N21+M22-V21)))</f>
        <v>118.2364572993795</v>
      </c>
      <c r="O22" s="14">
        <f>N22*VLOOKUP('Données projet'!$B$9,Paramètres!$A$1:$I$89,3,0)*VLOOKUP('Données projet'!$B$9,Paramètres!$A$1:$I$89,5,0)</f>
        <v>70.705401465028942</v>
      </c>
      <c r="P22" s="14">
        <f t="shared" si="33"/>
        <v>19.848531260691299</v>
      </c>
      <c r="Q22" s="22">
        <f t="shared" si="2"/>
        <v>157.71476616396276</v>
      </c>
      <c r="R22" s="62">
        <f t="shared" si="0"/>
        <v>451.04809949729611</v>
      </c>
      <c r="S22" s="62">
        <f ca="1">AVERAGE(OFFSET($R$3,0,0,'Données projet'!$E$9+1,1))-AVERAGE(OFFSET($H$3,0,0,'Données projet'!$E$9+1,1))</f>
        <v>276.05121228874452</v>
      </c>
      <c r="T22" s="62">
        <f t="shared" si="34"/>
        <v>319.89882768207553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8.8000000000000007</v>
      </c>
      <c r="AI22" s="14">
        <f>IF('Données projet'!$A$62&gt;35,AI21+AH22-AQ21,IF(A22&lt;'Données projet'!$A$62,$AF$205^A22,IF(A22='Données projet'!$A$62,'Données projet'!$B$62,AI21+AH22-AQ21)))</f>
        <v>135.905500545465</v>
      </c>
      <c r="AJ22" s="14">
        <f>AI22*VLOOKUP('Données projet'!$B$10,Paramètres!$A$1:$I$89,3,0)*VLOOKUP('Données projet'!$B$10,Paramètres!$A$1:$I$89,5,0)</f>
        <v>81.271489326188075</v>
      </c>
      <c r="AK22" s="14">
        <f t="shared" si="35"/>
        <v>22.447783993744626</v>
      </c>
      <c r="AL22" s="22">
        <f t="shared" si="4"/>
        <v>180.64440103221611</v>
      </c>
      <c r="AM22" s="62">
        <f t="shared" si="5"/>
        <v>473.9777343655494</v>
      </c>
      <c r="AN22" s="62">
        <f ca="1">AVERAGE(OFFSET($AM$3,0,0,'Données projet'!$E$10+1,1))-AVERAGE(OFFSET($H$3,0,0,'Données projet'!$E$10+1,1))</f>
        <v>211.38734697794843</v>
      </c>
      <c r="AO22" s="62">
        <f t="shared" si="36"/>
        <v>239.85955661394541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152</v>
      </c>
      <c r="L23" s="13">
        <f>VLOOKUP(A23,'Données projet'!$A$35:$I$55,9,0)</f>
        <v>7.6</v>
      </c>
      <c r="M23" s="13">
        <f t="array" ref="M23">INDEX(L:L,MIN(IF(ISNUMBER(L23:L219),ROW(L23:L219),"")))</f>
        <v>7.6</v>
      </c>
      <c r="N23" s="14">
        <f>IF('Données projet'!$A$36&gt;35,N22+M23-V22,IF(A23&lt;'Données projet'!$A$36,$K$205^A23,IF(A23='Données projet'!$A$36,'Données projet'!$B$36,N22+M23-V22)))</f>
        <v>152</v>
      </c>
      <c r="O23" s="14">
        <f>N23*VLOOKUP('Données projet'!$B$9,Paramètres!$A$1:$I$89,3,0)*VLOOKUP('Données projet'!$B$9,Paramètres!$A$1:$I$89,5,0)</f>
        <v>90.896000000000001</v>
      </c>
      <c r="P23" s="14">
        <f t="shared" si="33"/>
        <v>24.781193872187952</v>
      </c>
      <c r="Q23" s="22">
        <f t="shared" si="2"/>
        <v>201.47111266072736</v>
      </c>
      <c r="R23" s="62">
        <f t="shared" si="0"/>
        <v>494.80444599406064</v>
      </c>
      <c r="S23" s="62">
        <f ca="1">AVERAGE(OFFSET($R$3,0,0,'Données projet'!$E$9+1,1))-AVERAGE(OFFSET($H$3,0,0,'Données projet'!$E$9+1,1))</f>
        <v>276.05121228874452</v>
      </c>
      <c r="T23" s="62">
        <f t="shared" si="34"/>
        <v>319.89882768207553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20.3122474176248</v>
      </c>
      <c r="AC23" s="24">
        <f t="shared" si="3"/>
        <v>20.3122474176248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176</v>
      </c>
      <c r="AG23" s="13">
        <f>VLOOKUP(A23,'Données projet'!$A$61:$I$81,9,0)</f>
        <v>8.8000000000000007</v>
      </c>
      <c r="AH23" s="13">
        <f t="array" ref="AH23">INDEX(AG:AG,MIN(IF(ISNUMBER(AG23:AG219),ROW(AG23:AG219),"")))</f>
        <v>8.8000000000000007</v>
      </c>
      <c r="AI23" s="14">
        <f>IF('Données projet'!$A$62&gt;35,AI22+AH23-AQ22,IF(A23&lt;'Données projet'!$A$62,$AF$205^A23,IF(A23='Données projet'!$A$62,'Données projet'!$B$62,AI22+AH23-AQ22)))</f>
        <v>176</v>
      </c>
      <c r="AJ23" s="14">
        <f>AI23*VLOOKUP('Données projet'!$B$10,Paramètres!$A$1:$I$89,3,0)*VLOOKUP('Données projet'!$B$10,Paramètres!$A$1:$I$89,5,0)</f>
        <v>105.24800000000002</v>
      </c>
      <c r="AK23" s="14">
        <f t="shared" si="35"/>
        <v>28.208515027560551</v>
      </c>
      <c r="AL23" s="22">
        <f t="shared" si="4"/>
        <v>232.43676367300131</v>
      </c>
      <c r="AM23" s="62">
        <f t="shared" si="5"/>
        <v>525.77009700633459</v>
      </c>
      <c r="AN23" s="62">
        <f ca="1">AVERAGE(OFFSET($AM$3,0,0,'Données projet'!$E$10+1,1))-AVERAGE(OFFSET($H$3,0,0,'Données projet'!$E$10+1,1))</f>
        <v>211.38734697794843</v>
      </c>
      <c r="AO23" s="62">
        <f t="shared" si="36"/>
        <v>239.85955661394541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59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39.947419921328766</v>
      </c>
      <c r="AX23" s="23">
        <f t="shared" si="6"/>
        <v>39.947419921328766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</v>
      </c>
      <c r="N24" s="14">
        <f>IF('Données projet'!$A$36&gt;35,N23+M24-V23,IF(A24&lt;'Données projet'!$A$36,$K$205^A24,IF(A24='Données projet'!$A$36,'Données projet'!$B$36,N23+M24-V23)))</f>
        <v>139</v>
      </c>
      <c r="O24" s="14">
        <f>N24*VLOOKUP('Données projet'!$B$9,Paramètres!$A$1:$I$89,3,0)*VLOOKUP('Données projet'!$B$9,Paramètres!$A$1:$I$89,5,0)</f>
        <v>83.122000000000014</v>
      </c>
      <c r="P24" s="14">
        <f t="shared" si="33"/>
        <v>22.898820278178533</v>
      </c>
      <c r="Q24" s="22">
        <f t="shared" si="2"/>
        <v>184.65292865116098</v>
      </c>
      <c r="R24" s="62">
        <f t="shared" si="0"/>
        <v>477.98626198449426</v>
      </c>
      <c r="S24" s="62">
        <f ca="1">AVERAGE(OFFSET($R$3,0,0,'Données projet'!$E$9+1,1))-AVERAGE(OFFSET($H$3,0,0,'Données projet'!$E$9+1,1))</f>
        <v>276.05121228874452</v>
      </c>
      <c r="T24" s="62">
        <f t="shared" si="34"/>
        <v>319.89882768207553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14.362927890141435</v>
      </c>
      <c r="AC24" s="24">
        <f t="shared" si="3"/>
        <v>14.362927890141435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19.875</v>
      </c>
      <c r="AI24" s="14">
        <f>IF('Données projet'!$A$62&gt;35,AI23+AH24-AQ23,IF(A24&lt;'Données projet'!$A$62,$AF$205^A24,IF(A24='Données projet'!$A$62,'Données projet'!$B$62,AI23+AH24-AQ23)))</f>
        <v>136.875</v>
      </c>
      <c r="AJ24" s="14">
        <f>AI24*VLOOKUP('Données projet'!$B$10,Paramètres!$A$1:$I$89,3,0)*VLOOKUP('Données projet'!$B$10,Paramètres!$A$1:$I$89,5,0)</f>
        <v>81.851250000000007</v>
      </c>
      <c r="AK24" s="14">
        <f t="shared" si="35"/>
        <v>22.589219955163998</v>
      </c>
      <c r="AL24" s="22">
        <f t="shared" si="4"/>
        <v>181.90048517191065</v>
      </c>
      <c r="AM24" s="62">
        <f t="shared" si="5"/>
        <v>475.23381850524396</v>
      </c>
      <c r="AN24" s="62">
        <f ca="1">AVERAGE(OFFSET($AM$3,0,0,'Données projet'!$E$10+1,1))-AVERAGE(OFFSET($H$3,0,0,'Données projet'!$E$10+1,1))</f>
        <v>211.38734697794843</v>
      </c>
      <c r="AO24" s="62">
        <f t="shared" si="36"/>
        <v>239.85955661394541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28.24709151727815</v>
      </c>
      <c r="AX24" s="23">
        <f t="shared" si="6"/>
        <v>28.24709151727815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</v>
      </c>
      <c r="N25" s="14">
        <f>IF('Données projet'!$A$36&gt;35,N24+M25-V24,IF(A25&lt;'Données projet'!$A$36,$K$205^A25,IF(A25='Données projet'!$A$36,'Données projet'!$B$36,N24+M25-V24)))</f>
        <v>156</v>
      </c>
      <c r="O25" s="14">
        <f>N25*VLOOKUP('Données projet'!$B$9,Paramètres!$A$1:$I$89,3,0)*VLOOKUP('Données projet'!$B$9,Paramètres!$A$1:$I$89,5,0)</f>
        <v>93.288000000000011</v>
      </c>
      <c r="P25" s="14">
        <f t="shared" si="33"/>
        <v>25.356547829040977</v>
      </c>
      <c r="Q25" s="22">
        <f t="shared" si="2"/>
        <v>206.63925413557971</v>
      </c>
      <c r="R25" s="62">
        <f t="shared" si="0"/>
        <v>499.97258746891305</v>
      </c>
      <c r="S25" s="62">
        <f ca="1">AVERAGE(OFFSET($R$3,0,0,'Données projet'!$E$9+1,1))-AVERAGE(OFFSET($H$3,0,0,'Données projet'!$E$9+1,1))</f>
        <v>276.05121228874452</v>
      </c>
      <c r="T25" s="62">
        <f t="shared" si="34"/>
        <v>319.89882768207553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10.156123708812402</v>
      </c>
      <c r="AC25" s="24">
        <f t="shared" si="3"/>
        <v>10.156123708812402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19.875</v>
      </c>
      <c r="AI25" s="14">
        <f>IF('Données projet'!$A$62&gt;35,AI24+AH25-AQ24,IF(A25&lt;'Données projet'!$A$62,$AF$205^A25,IF(A25='Données projet'!$A$62,'Données projet'!$B$62,AI24+AH25-AQ24)))</f>
        <v>156.75</v>
      </c>
      <c r="AJ25" s="14">
        <f>AI25*VLOOKUP('Données projet'!$B$10,Paramètres!$A$1:$I$89,3,0)*VLOOKUP('Données projet'!$B$10,Paramètres!$A$1:$I$89,5,0)</f>
        <v>93.736500000000007</v>
      </c>
      <c r="AK25" s="14">
        <f t="shared" si="35"/>
        <v>25.464234308585397</v>
      </c>
      <c r="AL25" s="22">
        <f t="shared" si="4"/>
        <v>207.60794558745292</v>
      </c>
      <c r="AM25" s="62">
        <f t="shared" si="5"/>
        <v>500.9412789207862</v>
      </c>
      <c r="AN25" s="62">
        <f ca="1">AVERAGE(OFFSET($AM$3,0,0,'Données projet'!$E$10+1,1))-AVERAGE(OFFSET($H$3,0,0,'Données projet'!$E$10+1,1))</f>
        <v>211.38734697794843</v>
      </c>
      <c r="AO25" s="62">
        <f t="shared" si="36"/>
        <v>239.85955661394541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19.973709960664387</v>
      </c>
      <c r="AX25" s="23">
        <f t="shared" si="6"/>
        <v>19.973709960664387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17</v>
      </c>
      <c r="N26" s="14">
        <f>IF('Données projet'!$A$36&gt;35,N25+M26-V25,IF(A26&lt;'Données projet'!$A$36,$K$205^A26,IF(A26='Données projet'!$A$36,'Données projet'!$B$36,N25+M26-V25)))</f>
        <v>173</v>
      </c>
      <c r="O26" s="14">
        <f>N26*VLOOKUP('Données projet'!$B$9,Paramètres!$A$1:$I$89,3,0)*VLOOKUP('Données projet'!$B$9,Paramètres!$A$1:$I$89,5,0)</f>
        <v>103.45400000000001</v>
      </c>
      <c r="P26" s="14">
        <f t="shared" si="33"/>
        <v>27.783232148054164</v>
      </c>
      <c r="Q26" s="22">
        <f t="shared" si="2"/>
        <v>228.57151265786101</v>
      </c>
      <c r="R26" s="62">
        <f t="shared" si="0"/>
        <v>521.90484599119429</v>
      </c>
      <c r="S26" s="62">
        <f ca="1">AVERAGE(OFFSET($R$3,0,0,'Données projet'!$E$9+1,1))-AVERAGE(OFFSET($H$3,0,0,'Données projet'!$E$9+1,1))</f>
        <v>276.05121228874452</v>
      </c>
      <c r="T26" s="62">
        <f t="shared" si="34"/>
        <v>319.89882768207553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7.1814639450707185</v>
      </c>
      <c r="AC26" s="24">
        <f t="shared" si="3"/>
        <v>7.1814639450707185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19.875</v>
      </c>
      <c r="AI26" s="14">
        <f>IF('Données projet'!$A$62&gt;35,AI25+AH26-AQ25,IF(A26&lt;'Données projet'!$A$62,$AF$205^A26,IF(A26='Données projet'!$A$62,'Données projet'!$B$62,AI25+AH26-AQ25)))</f>
        <v>176.625</v>
      </c>
      <c r="AJ26" s="14">
        <f>AI26*VLOOKUP('Données projet'!$B$10,Paramètres!$A$1:$I$89,3,0)*VLOOKUP('Données projet'!$B$10,Paramètres!$A$1:$I$89,5,0)</f>
        <v>105.62175000000001</v>
      </c>
      <c r="AK26" s="14">
        <f t="shared" si="35"/>
        <v>28.297008988005807</v>
      </c>
      <c r="AL26" s="22">
        <f t="shared" si="4"/>
        <v>233.24183857077674</v>
      </c>
      <c r="AM26" s="62">
        <f t="shared" si="5"/>
        <v>526.57517190410999</v>
      </c>
      <c r="AN26" s="62">
        <f ca="1">AVERAGE(OFFSET($AM$3,0,0,'Données projet'!$E$10+1,1))-AVERAGE(OFFSET($H$3,0,0,'Données projet'!$E$10+1,1))</f>
        <v>211.38734697794843</v>
      </c>
      <c r="AO26" s="62">
        <f t="shared" si="36"/>
        <v>239.85955661394541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14.123545758639079</v>
      </c>
      <c r="AX26" s="23">
        <f t="shared" si="6"/>
        <v>14.123545758639079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17</v>
      </c>
      <c r="N27" s="14">
        <f>IF('Données projet'!$A$36&gt;35,N26+M27-V26,IF(A27&lt;'Données projet'!$A$36,$K$205^A27,IF(A27='Données projet'!$A$36,'Données projet'!$B$36,N26+M27-V26)))</f>
        <v>190</v>
      </c>
      <c r="O27" s="14">
        <f>N27*VLOOKUP('Données projet'!$B$9,Paramètres!$A$1:$I$89,3,0)*VLOOKUP('Données projet'!$B$9,Paramètres!$A$1:$I$89,5,0)</f>
        <v>113.62</v>
      </c>
      <c r="P27" s="14">
        <f t="shared" si="33"/>
        <v>30.182270904187739</v>
      </c>
      <c r="Q27" s="22">
        <f t="shared" si="2"/>
        <v>250.45562182479364</v>
      </c>
      <c r="R27" s="62">
        <f t="shared" si="0"/>
        <v>543.78895515812701</v>
      </c>
      <c r="S27" s="62">
        <f ca="1">AVERAGE(OFFSET($R$3,0,0,'Données projet'!$E$9+1,1))-AVERAGE(OFFSET($H$3,0,0,'Données projet'!$E$9+1,1))</f>
        <v>276.05121228874452</v>
      </c>
      <c r="T27" s="62">
        <f t="shared" si="34"/>
        <v>319.89882768207553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5.0780618544062008</v>
      </c>
      <c r="AC27" s="24">
        <f t="shared" si="3"/>
        <v>5.0780618544062008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19.875</v>
      </c>
      <c r="AI27" s="14">
        <f>IF('Données projet'!$A$62&gt;35,AI26+AH27-AQ26,IF(A27&lt;'Données projet'!$A$62,$AF$205^A27,IF(A27='Données projet'!$A$62,'Données projet'!$B$62,AI26+AH27-AQ26)))</f>
        <v>196.5</v>
      </c>
      <c r="AJ27" s="14">
        <f>AI27*VLOOKUP('Données projet'!$B$10,Paramètres!$A$1:$I$89,3,0)*VLOOKUP('Données projet'!$B$10,Paramètres!$A$1:$I$89,5,0)</f>
        <v>117.50700000000001</v>
      </c>
      <c r="AK27" s="14">
        <f t="shared" si="35"/>
        <v>31.09283945239704</v>
      </c>
      <c r="AL27" s="22">
        <f t="shared" si="4"/>
        <v>258.81138704625818</v>
      </c>
      <c r="AM27" s="62">
        <f t="shared" si="5"/>
        <v>552.14472037959149</v>
      </c>
      <c r="AN27" s="62">
        <f ca="1">AVERAGE(OFFSET($AM$3,0,0,'Données projet'!$E$10+1,1))-AVERAGE(OFFSET($H$3,0,0,'Données projet'!$E$10+1,1))</f>
        <v>211.38734697794843</v>
      </c>
      <c r="AO27" s="62">
        <f t="shared" si="36"/>
        <v>239.85955661394541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9.9868549803321951</v>
      </c>
      <c r="AX27" s="23">
        <f t="shared" si="6"/>
        <v>9.9868549803321951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17</v>
      </c>
      <c r="N28" s="14">
        <f>IF('Données projet'!$A$36&gt;35,N27+M28-V27,IF(A28&lt;'Données projet'!$A$36,$K$205^A28,IF(A28='Données projet'!$A$36,'Données projet'!$B$36,N27+M28-V27)))</f>
        <v>207</v>
      </c>
      <c r="O28" s="14">
        <f>N28*VLOOKUP('Données projet'!$B$9,Paramètres!$A$1:$I$89,3,0)*VLOOKUP('Données projet'!$B$9,Paramètres!$A$1:$I$89,5,0)</f>
        <v>123.786</v>
      </c>
      <c r="P28" s="14">
        <f t="shared" si="33"/>
        <v>32.556418931566412</v>
      </c>
      <c r="Q28" s="22">
        <f t="shared" si="2"/>
        <v>272.29637963914485</v>
      </c>
      <c r="R28" s="62">
        <f t="shared" si="0"/>
        <v>565.62971297247816</v>
      </c>
      <c r="S28" s="62">
        <f ca="1">AVERAGE(OFFSET($R$3,0,0,'Données projet'!$E$9+1,1))-AVERAGE(OFFSET($H$3,0,0,'Données projet'!$E$9+1,1))</f>
        <v>276.05121228874452</v>
      </c>
      <c r="T28" s="62">
        <f t="shared" si="34"/>
        <v>319.89882768207553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3.5907319725353593</v>
      </c>
      <c r="AC28" s="24">
        <f t="shared" si="3"/>
        <v>3.5907319725353593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19.875</v>
      </c>
      <c r="AI28" s="14">
        <f>IF('Données projet'!$A$62&gt;35,AI27+AH28-AQ27,IF(A28&lt;'Données projet'!$A$62,$AF$205^A28,IF(A28='Données projet'!$A$62,'Données projet'!$B$62,AI27+AH28-AQ27)))</f>
        <v>216.375</v>
      </c>
      <c r="AJ28" s="14">
        <f>AI28*VLOOKUP('Données projet'!$B$10,Paramètres!$A$1:$I$89,3,0)*VLOOKUP('Données projet'!$B$10,Paramètres!$A$1:$I$89,5,0)</f>
        <v>129.39224999999999</v>
      </c>
      <c r="AK28" s="14">
        <f t="shared" si="35"/>
        <v>33.855887874927532</v>
      </c>
      <c r="AL28" s="22">
        <f t="shared" si="4"/>
        <v>284.32384013216546</v>
      </c>
      <c r="AM28" s="62">
        <f t="shared" si="5"/>
        <v>577.65717346549877</v>
      </c>
      <c r="AN28" s="62">
        <f ca="1">AVERAGE(OFFSET($AM$3,0,0,'Données projet'!$E$10+1,1))-AVERAGE(OFFSET($H$3,0,0,'Données projet'!$E$10+1,1))</f>
        <v>211.38734697794843</v>
      </c>
      <c r="AO28" s="62">
        <f t="shared" si="36"/>
        <v>239.85955661394541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7.0617728793195402</v>
      </c>
      <c r="AX28" s="23">
        <f t="shared" si="6"/>
        <v>7.0617728793195402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17</v>
      </c>
      <c r="N29" s="14">
        <f>IF('Données projet'!$A$36&gt;35,N28+M29-V28,IF(A29&lt;'Données projet'!$A$36,$K$205^A29,IF(A29='Données projet'!$A$36,'Données projet'!$B$36,N28+M29-V28)))</f>
        <v>224</v>
      </c>
      <c r="O29" s="14">
        <f>N29*VLOOKUP('Données projet'!$B$9,Paramètres!$A$1:$I$89,3,0)*VLOOKUP('Données projet'!$B$9,Paramètres!$A$1:$I$89,5,0)</f>
        <v>133.95200000000003</v>
      </c>
      <c r="P29" s="14">
        <f t="shared" si="33"/>
        <v>34.907952797441666</v>
      </c>
      <c r="Q29" s="22">
        <f t="shared" si="2"/>
        <v>294.09775112221092</v>
      </c>
      <c r="R29" s="62">
        <f t="shared" si="0"/>
        <v>587.43108445554424</v>
      </c>
      <c r="S29" s="62">
        <f ca="1">AVERAGE(OFFSET($R$3,0,0,'Données projet'!$E$9+1,1))-AVERAGE(OFFSET($H$3,0,0,'Données projet'!$E$9+1,1))</f>
        <v>276.05121228874452</v>
      </c>
      <c r="T29" s="62">
        <f t="shared" si="34"/>
        <v>319.89882768207553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2.5390309272031004</v>
      </c>
      <c r="AC29" s="24">
        <f t="shared" si="3"/>
        <v>2.5390309272031004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19.875</v>
      </c>
      <c r="AI29" s="14">
        <f>IF('Données projet'!$A$62&gt;35,AI28+AH29-AQ28,IF(A29&lt;'Données projet'!$A$62,$AF$205^A29,IF(A29='Données projet'!$A$62,'Données projet'!$B$62,AI28+AH29-AQ28)))</f>
        <v>236.25</v>
      </c>
      <c r="AJ29" s="14">
        <f>AI29*VLOOKUP('Données projet'!$B$10,Paramètres!$A$1:$I$89,3,0)*VLOOKUP('Données projet'!$B$10,Paramètres!$A$1:$I$89,5,0)</f>
        <v>141.27750000000003</v>
      </c>
      <c r="AK29" s="14">
        <f t="shared" si="35"/>
        <v>36.589507908020828</v>
      </c>
      <c r="AL29" s="22">
        <f t="shared" si="4"/>
        <v>309.78503877313631</v>
      </c>
      <c r="AM29" s="62">
        <f t="shared" si="5"/>
        <v>603.11837210646968</v>
      </c>
      <c r="AN29" s="62">
        <f ca="1">AVERAGE(OFFSET($AM$3,0,0,'Données projet'!$E$10+1,1))-AVERAGE(OFFSET($H$3,0,0,'Données projet'!$E$10+1,1))</f>
        <v>211.38734697794843</v>
      </c>
      <c r="AO29" s="62">
        <f t="shared" si="36"/>
        <v>239.85955661394541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4.9934274901660984</v>
      </c>
      <c r="AX29" s="23">
        <f t="shared" si="6"/>
        <v>4.9934274901660984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17</v>
      </c>
      <c r="N30" s="14">
        <f>IF('Données projet'!$A$36&gt;35,N29+M30-V29,IF(A30&lt;'Données projet'!$A$36,$K$205^A30,IF(A30='Données projet'!$A$36,'Données projet'!$B$36,N29+M30-V29)))</f>
        <v>241</v>
      </c>
      <c r="O30" s="14">
        <f>N30*VLOOKUP('Données projet'!$B$9,Paramètres!$A$1:$I$89,3,0)*VLOOKUP('Données projet'!$B$9,Paramètres!$A$1:$I$89,5,0)</f>
        <v>144.11799999999999</v>
      </c>
      <c r="P30" s="14">
        <f t="shared" si="33"/>
        <v>37.238783899454731</v>
      </c>
      <c r="Q30" s="22">
        <f t="shared" si="2"/>
        <v>315.8630652915503</v>
      </c>
      <c r="R30" s="62">
        <f t="shared" si="0"/>
        <v>609.19639862488361</v>
      </c>
      <c r="S30" s="62">
        <f ca="1">AVERAGE(OFFSET($R$3,0,0,'Données projet'!$E$9+1,1))-AVERAGE(OFFSET($H$3,0,0,'Données projet'!$E$9+1,1))</f>
        <v>276.05121228874452</v>
      </c>
      <c r="T30" s="62">
        <f t="shared" si="34"/>
        <v>319.89882768207553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1.7953659862676796</v>
      </c>
      <c r="AC30" s="24">
        <f t="shared" si="3"/>
        <v>1.7953659862676796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19.875</v>
      </c>
      <c r="AI30" s="14">
        <f>IF('Données projet'!$A$62&gt;35,AI29+AH30-AQ29,IF(A30&lt;'Données projet'!$A$62,$AF$205^A30,IF(A30='Données projet'!$A$62,'Données projet'!$B$62,AI29+AH30-AQ29)))</f>
        <v>256.125</v>
      </c>
      <c r="AJ30" s="14">
        <f>AI30*VLOOKUP('Données projet'!$B$10,Paramètres!$A$1:$I$89,3,0)*VLOOKUP('Données projet'!$B$10,Paramètres!$A$1:$I$89,5,0)</f>
        <v>153.16275000000002</v>
      </c>
      <c r="AK30" s="14">
        <f t="shared" si="35"/>
        <v>39.296456744505726</v>
      </c>
      <c r="AL30" s="22">
        <f t="shared" si="4"/>
        <v>335.19978508001412</v>
      </c>
      <c r="AM30" s="62">
        <f t="shared" si="5"/>
        <v>628.53311841334744</v>
      </c>
      <c r="AN30" s="62">
        <f ca="1">AVERAGE(OFFSET($AM$3,0,0,'Données projet'!$E$10+1,1))-AVERAGE(OFFSET($H$3,0,0,'Données projet'!$E$10+1,1))</f>
        <v>211.38734697794843</v>
      </c>
      <c r="AO30" s="62">
        <f t="shared" si="36"/>
        <v>239.85955661394541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3.530886439659771</v>
      </c>
      <c r="AX30" s="23">
        <f t="shared" si="6"/>
        <v>3.530886439659771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17</v>
      </c>
      <c r="N31" s="14">
        <f>IF('Données projet'!$A$36&gt;35,N30+M31-V30,IF(A31&lt;'Données projet'!$A$36,$K$205^A31,IF(A31='Données projet'!$A$36,'Données projet'!$B$36,N30+M31-V30)))</f>
        <v>258</v>
      </c>
      <c r="O31" s="14">
        <f>N31*VLOOKUP('Données projet'!$B$9,Paramètres!$A$1:$I$89,3,0)*VLOOKUP('Données projet'!$B$9,Paramètres!$A$1:$I$89,5,0)</f>
        <v>154.28400000000002</v>
      </c>
      <c r="P31" s="14">
        <f t="shared" si="33"/>
        <v>39.550538702560999</v>
      </c>
      <c r="Q31" s="22">
        <f t="shared" si="2"/>
        <v>337.59515490696043</v>
      </c>
      <c r="R31" s="62">
        <f t="shared" si="0"/>
        <v>630.92848824029375</v>
      </c>
      <c r="S31" s="62">
        <f ca="1">AVERAGE(OFFSET($R$3,0,0,'Données projet'!$E$9+1,1))-AVERAGE(OFFSET($H$3,0,0,'Données projet'!$E$9+1,1))</f>
        <v>276.05121228874452</v>
      </c>
      <c r="T31" s="62">
        <f t="shared" si="34"/>
        <v>319.89882768207553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1.2695154636015502</v>
      </c>
      <c r="AC31" s="24">
        <f t="shared" si="3"/>
        <v>1.2695154636015502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>
        <f>VLOOKUP(A31,'Données projet'!$A$61:$I$81,2,0)</f>
        <v>276</v>
      </c>
      <c r="AG31" s="13">
        <f>VLOOKUP(A31,'Données projet'!$A$61:$I$81,9,0)</f>
        <v>19.875</v>
      </c>
      <c r="AH31" s="13">
        <f t="array" ref="AH31">INDEX(AG:AG,MIN(IF(ISNUMBER(AG31:AG227),ROW(AG31:AG227),"")))</f>
        <v>19.875</v>
      </c>
      <c r="AI31" s="14">
        <f>IF('Données projet'!$A$62&gt;35,AI30+AH31-AQ30,IF(A31&lt;'Données projet'!$A$62,$AF$205^A31,IF(A31='Données projet'!$A$62,'Données projet'!$B$62,AI30+AH31-AQ30)))</f>
        <v>276</v>
      </c>
      <c r="AJ31" s="14">
        <f>AI31*VLOOKUP('Données projet'!$B$10,Paramètres!$A$1:$I$89,3,0)*VLOOKUP('Données projet'!$B$10,Paramètres!$A$1:$I$89,5,0)</f>
        <v>165.048</v>
      </c>
      <c r="AK31" s="14">
        <f t="shared" si="35"/>
        <v>41.979039350635581</v>
      </c>
      <c r="AL31" s="22">
        <f t="shared" si="4"/>
        <v>360.57209353569027</v>
      </c>
      <c r="AM31" s="62">
        <f t="shared" si="5"/>
        <v>653.90542686902359</v>
      </c>
      <c r="AN31" s="62">
        <f ca="1">AVERAGE(OFFSET($AM$3,0,0,'Données projet'!$E$10+1,1))-AVERAGE(OFFSET($H$3,0,0,'Données projet'!$E$10+1,1))</f>
        <v>211.38734697794843</v>
      </c>
      <c r="AO31" s="62">
        <f t="shared" si="36"/>
        <v>239.85955661394541</v>
      </c>
      <c r="AP31" s="16">
        <f>IF(ISNA(VLOOKUP(A31,'Données projet'!$A$61:$I$81,3,0)),0,VLOOKUP(A31,'Données projet'!$A$61:$I$81,3,0))</f>
        <v>2</v>
      </c>
      <c r="AQ31" s="16">
        <f>IF(ISNA(VLOOKUP(A31,'Données projet'!$A$61:$I$81,4,0)),0,VLOOKUP(A31,'Données projet'!$A$61:$I$81,4,0))</f>
        <v>84</v>
      </c>
      <c r="AR31" s="17">
        <f>IF(ISNA(VLOOKUP(A31,'Données projet'!$A$61:$I$81,5,0)),0%,VLOOKUP(A31,'Données projet'!$A$61:$I$81,5,0)*VLOOKUP('Données projet'!$B$10,Paramètres!$A$1:$I$89,7,0))</f>
        <v>0.22500000000000001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0.5</v>
      </c>
      <c r="AU31" s="23">
        <f>EXP(-LN(2)/35)*AU30+(1-EXP(-LN(2)/35))/(LN(2)/35)*AQ31*AR31*VLOOKUP('Données projet'!$B$10,Paramètres!$A$1:$I$89,3,0)*0.475*44/12</f>
        <v>14.993096788268772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30.933860129757768</v>
      </c>
      <c r="AX31" s="23">
        <f t="shared" si="6"/>
        <v>45.926956918026541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17</v>
      </c>
      <c r="N32" s="14">
        <f>IF('Données projet'!$A$36&gt;35,N31+M32-V31,IF(A32&lt;'Données projet'!$A$36,$K$205^A32,IF(A32='Données projet'!$A$36,'Données projet'!$B$36,N31+M32-V31)))</f>
        <v>275</v>
      </c>
      <c r="O32" s="14">
        <f>N32*VLOOKUP('Données projet'!$B$9,Paramètres!$A$1:$I$89,3,0)*VLOOKUP('Données projet'!$B$9,Paramètres!$A$1:$I$89,5,0)</f>
        <v>164.45000000000002</v>
      </c>
      <c r="P32" s="14">
        <f t="shared" si="33"/>
        <v>41.844617207687371</v>
      </c>
      <c r="Q32" s="22">
        <f t="shared" si="2"/>
        <v>359.29645830338887</v>
      </c>
      <c r="R32" s="62">
        <f t="shared" si="0"/>
        <v>652.62979163672219</v>
      </c>
      <c r="S32" s="62">
        <f ca="1">AVERAGE(OFFSET($R$3,0,0,'Données projet'!$E$9+1,1))-AVERAGE(OFFSET($H$3,0,0,'Données projet'!$E$9+1,1))</f>
        <v>276.05121228874452</v>
      </c>
      <c r="T32" s="62">
        <f t="shared" si="34"/>
        <v>319.89882768207553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0.89768299313383981</v>
      </c>
      <c r="AC32" s="24">
        <f t="shared" si="3"/>
        <v>0.89768299313383981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18.666666666666668</v>
      </c>
      <c r="AI32" s="14">
        <f>IF('Données projet'!$A$62&gt;35,AI31+AH32-AQ31,IF(A32&lt;'Données projet'!$A$62,$AF$205^A32,IF(A32='Données projet'!$A$62,'Données projet'!$B$62,AI31+AH32-AQ31)))</f>
        <v>210.66666666666669</v>
      </c>
      <c r="AJ32" s="14">
        <f>AI32*VLOOKUP('Données projet'!$B$10,Paramètres!$A$1:$I$89,3,0)*VLOOKUP('Données projet'!$B$10,Paramètres!$A$1:$I$89,5,0)</f>
        <v>125.97866666666668</v>
      </c>
      <c r="AK32" s="14">
        <f t="shared" si="35"/>
        <v>33.065454810766525</v>
      </c>
      <c r="AL32" s="22">
        <f t="shared" si="4"/>
        <v>277.00184490652947</v>
      </c>
      <c r="AM32" s="62">
        <f t="shared" si="5"/>
        <v>570.33517823986278</v>
      </c>
      <c r="AN32" s="62">
        <f ca="1">AVERAGE(OFFSET($AM$3,0,0,'Données projet'!$E$10+1,1))-AVERAGE(OFFSET($H$3,0,0,'Données projet'!$E$10+1,1))</f>
        <v>211.38734697794843</v>
      </c>
      <c r="AO32" s="62">
        <f t="shared" si="36"/>
        <v>239.85955661394541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14.69909130513688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21.873542266027894</v>
      </c>
      <c r="AX32" s="23">
        <f t="shared" si="6"/>
        <v>36.572633571164772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292</v>
      </c>
      <c r="L33" s="13">
        <f>VLOOKUP(A33,'Données projet'!$A$35:$I$55,9,0)</f>
        <v>17</v>
      </c>
      <c r="M33" s="13">
        <f t="array" ref="M33">INDEX(L:L,MIN(IF(ISNUMBER(L33:L229),ROW(L33:L229),"")))</f>
        <v>17</v>
      </c>
      <c r="N33" s="14">
        <f>IF('Données projet'!$A$36&gt;35,N32+M33-V32,IF(A33&lt;'Données projet'!$A$36,$K$205^A33,IF(A33='Données projet'!$A$36,'Données projet'!$B$36,N32+M33-V32)))</f>
        <v>292</v>
      </c>
      <c r="O33" s="14">
        <f>N33*VLOOKUP('Données projet'!$B$9,Paramètres!$A$1:$I$89,3,0)*VLOOKUP('Données projet'!$B$9,Paramètres!$A$1:$I$89,5,0)</f>
        <v>174.61599999999999</v>
      </c>
      <c r="P33" s="14">
        <f t="shared" si="33"/>
        <v>44.122236542772548</v>
      </c>
      <c r="Q33" s="22">
        <f t="shared" si="2"/>
        <v>380.96909531199549</v>
      </c>
      <c r="R33" s="62">
        <f t="shared" si="0"/>
        <v>674.30242864532875</v>
      </c>
      <c r="S33" s="62">
        <f ca="1">AVERAGE(OFFSET($R$3,0,0,'Données projet'!$E$9+1,1))-AVERAGE(OFFSET($H$3,0,0,'Données projet'!$E$9+1,1))</f>
        <v>276.05121228874452</v>
      </c>
      <c r="T33" s="62">
        <f t="shared" si="34"/>
        <v>319.89882768207553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90</v>
      </c>
      <c r="W33" s="17">
        <f>IF(ISNA(VLOOKUP(A33,'Données projet'!$A$35:$I$55,5,0)),0%,VLOOKUP(A33,'Données projet'!$A$35:$I$55,5,0)*VLOOKUP('Données projet'!$B$9,Paramètres!$A$1:$I$89,7,0))</f>
        <v>0.22500000000000001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16.064032273145113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31.103128858237969</v>
      </c>
      <c r="AC33" s="24">
        <f t="shared" si="3"/>
        <v>47.167161131383082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18.666666666666668</v>
      </c>
      <c r="AI33" s="14">
        <f>IF('Données projet'!$A$62&gt;35,AI32+AH33-AQ32,IF(A33&lt;'Données projet'!$A$62,$AF$205^A33,IF(A33='Données projet'!$A$62,'Données projet'!$B$62,AI32+AH33-AQ32)))</f>
        <v>229.33333333333334</v>
      </c>
      <c r="AJ33" s="14">
        <f>AI33*VLOOKUP('Données projet'!$B$10,Paramètres!$A$1:$I$89,3,0)*VLOOKUP('Données projet'!$B$10,Paramètres!$A$1:$I$89,5,0)</f>
        <v>137.14133333333334</v>
      </c>
      <c r="AK33" s="14">
        <f t="shared" si="35"/>
        <v>35.641340873670629</v>
      </c>
      <c r="AL33" s="22">
        <f t="shared" si="4"/>
        <v>300.92982424386526</v>
      </c>
      <c r="AM33" s="62">
        <f t="shared" si="5"/>
        <v>594.26315757719863</v>
      </c>
      <c r="AN33" s="62">
        <f ca="1">AVERAGE(OFFSET($AM$3,0,0,'Données projet'!$E$10+1,1))-AVERAGE(OFFSET($H$3,0,0,'Données projet'!$E$10+1,1))</f>
        <v>211.38734697794843</v>
      </c>
      <c r="AO33" s="62">
        <f t="shared" si="36"/>
        <v>239.85955661394541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14.410851090203566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15.466930064878886</v>
      </c>
      <c r="AX33" s="23">
        <f t="shared" si="6"/>
        <v>29.877781155082452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18.2</v>
      </c>
      <c r="N34" s="14">
        <f>IF('Données projet'!$A$36&gt;35,N33+M34-V33,IF(A34&lt;'Données projet'!$A$36,$K$205^A34,IF(A34='Données projet'!$A$36,'Données projet'!$B$36,N33+M34-V33)))</f>
        <v>220.2</v>
      </c>
      <c r="O34" s="14">
        <f>N34*VLOOKUP('Données projet'!$B$9,Paramètres!$A$1:$I$89,3,0)*VLOOKUP('Données projet'!$B$9,Paramètres!$A$1:$I$89,5,0)</f>
        <v>131.67959999999999</v>
      </c>
      <c r="P34" s="14">
        <f t="shared" si="33"/>
        <v>34.38417513752983</v>
      </c>
      <c r="Q34" s="22">
        <f t="shared" si="2"/>
        <v>289.22774169786447</v>
      </c>
      <c r="R34" s="62">
        <f t="shared" si="0"/>
        <v>582.56107503119779</v>
      </c>
      <c r="S34" s="62">
        <f ca="1">AVERAGE(OFFSET($R$3,0,0,'Données projet'!$E$9+1,1))-AVERAGE(OFFSET($H$3,0,0,'Données projet'!$E$9+1,1))</f>
        <v>276.05121228874452</v>
      </c>
      <c r="T34" s="62">
        <f t="shared" si="34"/>
        <v>319.89882768207553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15.749026398360943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21.99323333177907</v>
      </c>
      <c r="AC34" s="24">
        <f t="shared" si="3"/>
        <v>37.742259730140013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18.666666666666668</v>
      </c>
      <c r="AI34" s="14">
        <f>IF('Données projet'!$A$62&gt;35,AI33+AH34-AQ33,IF(A34&lt;'Données projet'!$A$62,$AF$205^A34,IF(A34='Données projet'!$A$62,'Données projet'!$B$62,AI33+AH34-AQ33)))</f>
        <v>248</v>
      </c>
      <c r="AJ34" s="14">
        <f>AI34*VLOOKUP('Données projet'!$B$10,Paramètres!$A$1:$I$89,3,0)*VLOOKUP('Données projet'!$B$10,Paramètres!$A$1:$I$89,5,0)</f>
        <v>148.304</v>
      </c>
      <c r="AK34" s="14">
        <f t="shared" si="35"/>
        <v>38.192908835171721</v>
      </c>
      <c r="AL34" s="22">
        <f t="shared" si="4"/>
        <v>324.81544955459077</v>
      </c>
      <c r="AM34" s="62">
        <f t="shared" si="5"/>
        <v>618.14878288792409</v>
      </c>
      <c r="AN34" s="62">
        <f ca="1">AVERAGE(OFFSET($AM$3,0,0,'Données projet'!$E$10+1,1))-AVERAGE(OFFSET($H$3,0,0,'Données projet'!$E$10+1,1))</f>
        <v>211.38734697794843</v>
      </c>
      <c r="AO34" s="62">
        <f t="shared" si="36"/>
        <v>239.85955661394541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14.128263090075924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10.936771133013949</v>
      </c>
      <c r="AX34" s="23">
        <f t="shared" si="6"/>
        <v>25.065034223089874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18.2</v>
      </c>
      <c r="N35" s="14">
        <f>IF('Données projet'!$A$36&gt;35,N34+M35-V34,IF(A35&lt;'Données projet'!$A$36,$K$205^A35,IF(A35='Données projet'!$A$36,'Données projet'!$B$36,N34+M35-V34)))</f>
        <v>238.39999999999998</v>
      </c>
      <c r="O35" s="14">
        <f>N35*VLOOKUP('Données projet'!$B$9,Paramètres!$A$1:$I$89,3,0)*VLOOKUP('Données projet'!$B$9,Paramètres!$A$1:$I$89,5,0)</f>
        <v>142.56319999999999</v>
      </c>
      <c r="P35" s="14">
        <f t="shared" si="33"/>
        <v>36.883577154665602</v>
      </c>
      <c r="Q35" s="22">
        <f t="shared" ref="Q35:Q66" si="53">(O35+P35)*0.475*44/12</f>
        <v>312.53647021104257</v>
      </c>
      <c r="R35" s="62">
        <f t="shared" si="0"/>
        <v>605.86980354437583</v>
      </c>
      <c r="S35" s="62">
        <f ca="1">AVERAGE(OFFSET($R$3,0,0,'Données projet'!$E$9+1,1))-AVERAGE(OFFSET($H$3,0,0,'Données projet'!$E$9+1,1))</f>
        <v>276.05121228874452</v>
      </c>
      <c r="T35" s="62">
        <f t="shared" si="34"/>
        <v>319.89882768207553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15.440197596646678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15.551564429118988</v>
      </c>
      <c r="AC35" s="24">
        <f t="shared" si="3"/>
        <v>30.991762025765667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18.666666666666668</v>
      </c>
      <c r="AI35" s="14">
        <f>IF('Données projet'!$A$62&gt;35,AI34+AH35-AQ34,IF(A35&lt;'Données projet'!$A$62,$AF$205^A35,IF(A35='Données projet'!$A$62,'Données projet'!$B$62,AI34+AH35-AQ34)))</f>
        <v>266.66666666666669</v>
      </c>
      <c r="AJ35" s="14">
        <f>AI35*VLOOKUP('Données projet'!$B$10,Paramètres!$A$1:$I$89,3,0)*VLOOKUP('Données projet'!$B$10,Paramètres!$A$1:$I$89,5,0)</f>
        <v>159.4666666666667</v>
      </c>
      <c r="AK35" s="14">
        <f t="shared" si="35"/>
        <v>40.722197218456202</v>
      </c>
      <c r="AL35" s="22">
        <f t="shared" si="4"/>
        <v>348.66227126658896</v>
      </c>
      <c r="AM35" s="62">
        <f t="shared" si="5"/>
        <v>641.99560459992222</v>
      </c>
      <c r="AN35" s="62">
        <f ca="1">AVERAGE(OFFSET($AM$3,0,0,'Données projet'!$E$10+1,1))-AVERAGE(OFFSET($H$3,0,0,'Données projet'!$E$10+1,1))</f>
        <v>211.38734697794843</v>
      </c>
      <c r="AO35" s="62">
        <f t="shared" si="36"/>
        <v>239.85955661394541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13.851216468269124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7.7334650324394438</v>
      </c>
      <c r="AX35" s="23">
        <f t="shared" si="6"/>
        <v>21.58468150070857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18.2</v>
      </c>
      <c r="N36" s="14">
        <f>IF('Données projet'!$A$36&gt;35,N35+M36-V35,IF(A36&lt;'Données projet'!$A$36,$K$205^A36,IF(A36='Données projet'!$A$36,'Données projet'!$B$36,N35+M36-V35)))</f>
        <v>256.59999999999997</v>
      </c>
      <c r="O36" s="14">
        <f>N36*VLOOKUP('Données projet'!$B$9,Paramètres!$A$1:$I$89,3,0)*VLOOKUP('Données projet'!$B$9,Paramètres!$A$1:$I$89,5,0)</f>
        <v>153.4468</v>
      </c>
      <c r="P36" s="14">
        <f t="shared" si="33"/>
        <v>39.360844589868812</v>
      </c>
      <c r="Q36" s="22">
        <f t="shared" si="53"/>
        <v>335.80664766068816</v>
      </c>
      <c r="R36" s="62">
        <f t="shared" si="0"/>
        <v>629.13998099402147</v>
      </c>
      <c r="S36" s="62">
        <f ca="1">AVERAGE(OFFSET($R$3,0,0,'Données projet'!$E$9+1,1))-AVERAGE(OFFSET($H$3,0,0,'Données projet'!$E$9+1,1))</f>
        <v>276.05121228874452</v>
      </c>
      <c r="T36" s="62">
        <f t="shared" si="34"/>
        <v>319.89882768207553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15.137424739367061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10.996616665889537</v>
      </c>
      <c r="AC36" s="24">
        <f t="shared" si="3"/>
        <v>26.134041405256596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18.666666666666668</v>
      </c>
      <c r="AI36" s="14">
        <f>IF('Données projet'!$A$62&gt;35,AI35+AH36-AQ35,IF(A36&lt;'Données projet'!$A$62,$AF$205^A36,IF(A36='Données projet'!$A$62,'Données projet'!$B$62,AI35+AH36-AQ35)))</f>
        <v>285.33333333333337</v>
      </c>
      <c r="AJ36" s="14">
        <f>AI36*VLOOKUP('Données projet'!$B$10,Paramètres!$A$1:$I$89,3,0)*VLOOKUP('Données projet'!$B$10,Paramètres!$A$1:$I$89,5,0)</f>
        <v>170.62933333333336</v>
      </c>
      <c r="AK36" s="14">
        <f t="shared" si="35"/>
        <v>43.230942990352332</v>
      </c>
      <c r="AL36" s="22">
        <f t="shared" si="4"/>
        <v>372.47331459708585</v>
      </c>
      <c r="AM36" s="62">
        <f t="shared" si="5"/>
        <v>665.8066479304191</v>
      </c>
      <c r="AN36" s="62">
        <f ca="1">AVERAGE(OFFSET($AM$3,0,0,'Données projet'!$E$10+1,1))-AVERAGE(OFFSET($H$3,0,0,'Données projet'!$E$10+1,1))</f>
        <v>211.38734697794843</v>
      </c>
      <c r="AO36" s="62">
        <f t="shared" si="36"/>
        <v>239.85955661394541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13.579602561734202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5.4683855665069752</v>
      </c>
      <c r="AX36" s="23">
        <f t="shared" si="6"/>
        <v>19.047988128241176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18.2</v>
      </c>
      <c r="N37" s="14">
        <f>IF('Données projet'!$A$36&gt;35,N36+M37-V36,IF(A37&lt;'Données projet'!$A$36,$K$205^A37,IF(A37='Données projet'!$A$36,'Données projet'!$B$36,N36+M37-V36)))</f>
        <v>274.79999999999995</v>
      </c>
      <c r="O37" s="14">
        <f>N37*VLOOKUP('Données projet'!$B$9,Paramètres!$A$1:$I$89,3,0)*VLOOKUP('Données projet'!$B$9,Paramètres!$A$1:$I$89,5,0)</f>
        <v>164.3304</v>
      </c>
      <c r="P37" s="14">
        <f t="shared" si="33"/>
        <v>41.817725957365205</v>
      </c>
      <c r="Q37" s="22">
        <f t="shared" si="53"/>
        <v>359.04131937574431</v>
      </c>
      <c r="R37" s="62">
        <f t="shared" si="0"/>
        <v>652.37465270907762</v>
      </c>
      <c r="S37" s="62">
        <f ca="1">AVERAGE(OFFSET($R$3,0,0,'Données projet'!$E$9+1,1))-AVERAGE(OFFSET($H$3,0,0,'Données projet'!$E$9+1,1))</f>
        <v>276.05121228874452</v>
      </c>
      <c r="T37" s="62">
        <f t="shared" si="34"/>
        <v>319.89882768207553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14.840589073145489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7.775782214559495</v>
      </c>
      <c r="AC37" s="24">
        <f t="shared" si="3"/>
        <v>22.616371287704986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304</v>
      </c>
      <c r="AG37" s="13">
        <f>VLOOKUP(A37,'Données projet'!$A$61:$I$81,9,0)</f>
        <v>18.666666666666668</v>
      </c>
      <c r="AH37" s="13">
        <f t="array" ref="AH37">INDEX(AG:AG,MIN(IF(ISNUMBER(AG37:AG233),ROW(AG37:AG233),"")))</f>
        <v>18.666666666666668</v>
      </c>
      <c r="AI37" s="14">
        <f>IF('Données projet'!$A$62&gt;35,AI36+AH37-AQ36,IF(A37&lt;'Données projet'!$A$62,$AF$205^A37,IF(A37='Données projet'!$A$62,'Données projet'!$B$62,AI36+AH37-AQ36)))</f>
        <v>304.00000000000006</v>
      </c>
      <c r="AJ37" s="14">
        <f>AI37*VLOOKUP('Données projet'!$B$10,Paramètres!$A$1:$I$89,3,0)*VLOOKUP('Données projet'!$B$10,Paramètres!$A$1:$I$89,5,0)</f>
        <v>181.79200000000006</v>
      </c>
      <c r="AK37" s="14">
        <f t="shared" si="35"/>
        <v>45.720642997712531</v>
      </c>
      <c r="AL37" s="22">
        <f t="shared" si="4"/>
        <v>396.25118655434943</v>
      </c>
      <c r="AM37" s="62">
        <f t="shared" si="5"/>
        <v>689.58451988768275</v>
      </c>
      <c r="AN37" s="62">
        <f ca="1">AVERAGE(OFFSET($AM$3,0,0,'Données projet'!$E$10+1,1))-AVERAGE(OFFSET($H$3,0,0,'Données projet'!$E$10+1,1))</f>
        <v>211.38734697794843</v>
      </c>
      <c r="AO37" s="62">
        <f t="shared" si="36"/>
        <v>239.85955661394541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13.313314838238304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3.8667325162197228</v>
      </c>
      <c r="AX37" s="23">
        <f t="shared" si="6"/>
        <v>17.180047354458026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18.2</v>
      </c>
      <c r="N38" s="14">
        <f>IF('Données projet'!$A$36&gt;35,N37+M38-V37,IF(A38&lt;'Données projet'!$A$36,$K$205^A38,IF(A38='Données projet'!$A$36,'Données projet'!$B$36,N37+M38-V37)))</f>
        <v>292.99999999999994</v>
      </c>
      <c r="O38" s="14">
        <f>N38*VLOOKUP('Données projet'!$B$9,Paramètres!$A$1:$I$89,3,0)*VLOOKUP('Données projet'!$B$9,Paramètres!$A$1:$I$89,5,0)</f>
        <v>175.21399999999997</v>
      </c>
      <c r="P38" s="14">
        <f t="shared" si="33"/>
        <v>44.255725061661991</v>
      </c>
      <c r="Q38" s="22">
        <f t="shared" si="53"/>
        <v>382.24310448239453</v>
      </c>
      <c r="R38" s="62">
        <f t="shared" si="0"/>
        <v>675.57643781572779</v>
      </c>
      <c r="S38" s="62">
        <f ca="1">AVERAGE(OFFSET($R$3,0,0,'Données projet'!$E$9+1,1))-AVERAGE(OFFSET($H$3,0,0,'Données projet'!$E$9+1,1))</f>
        <v>276.05121228874452</v>
      </c>
      <c r="T38" s="62">
        <f t="shared" si="34"/>
        <v>319.89882768207553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14.549574173286643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5.4983083329447693</v>
      </c>
      <c r="AC38" s="24">
        <f t="shared" si="3"/>
        <v>20.047882506231414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14.833333333333334</v>
      </c>
      <c r="AI38" s="14">
        <f>IF('Données projet'!$A$62&gt;35,AI37+AH38-AQ37,IF(A38&lt;'Données projet'!$A$62,$AF$205^A38,IF(A38='Données projet'!$A$62,'Données projet'!$B$62,AI37+AH38-AQ37)))</f>
        <v>318.83333333333337</v>
      </c>
      <c r="AJ38" s="14">
        <f>AI38*VLOOKUP('Données projet'!$B$10,Paramètres!$A$1:$I$89,3,0)*VLOOKUP('Données projet'!$B$10,Paramètres!$A$1:$I$89,5,0)</f>
        <v>190.66233333333338</v>
      </c>
      <c r="AK38" s="14">
        <f t="shared" si="35"/>
        <v>47.68635567705892</v>
      </c>
      <c r="AL38" s="22">
        <f t="shared" si="4"/>
        <v>415.12396669309987</v>
      </c>
      <c r="AM38" s="62">
        <f t="shared" si="5"/>
        <v>708.45730002643313</v>
      </c>
      <c r="AN38" s="62">
        <f ca="1">AVERAGE(OFFSET($AM$3,0,0,'Données projet'!$E$10+1,1))-AVERAGE(OFFSET($H$3,0,0,'Données projet'!$E$10+1,1))</f>
        <v>211.38734697794843</v>
      </c>
      <c r="AO38" s="62">
        <f t="shared" si="36"/>
        <v>239.85955661394541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13.052248854580688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2.734192783253488</v>
      </c>
      <c r="AX38" s="23">
        <f t="shared" si="6"/>
        <v>15.786441637834177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18.2</v>
      </c>
      <c r="N39" s="14">
        <f>IF('Données projet'!$A$36&gt;35,N38+M39-V38,IF(A39&lt;'Données projet'!$A$36,$K$205^A39,IF(A39='Données projet'!$A$36,'Données projet'!$B$36,N38+M39-V38)))</f>
        <v>311.19999999999993</v>
      </c>
      <c r="O39" s="14">
        <f>N39*VLOOKUP('Données projet'!$B$9,Paramètres!$A$1:$I$89,3,0)*VLOOKUP('Données projet'!$B$9,Paramètres!$A$1:$I$89,5,0)</f>
        <v>186.0976</v>
      </c>
      <c r="P39" s="14">
        <f t="shared" si="33"/>
        <v>46.676148328083805</v>
      </c>
      <c r="Q39" s="22">
        <f t="shared" si="53"/>
        <v>405.41427833807921</v>
      </c>
      <c r="R39" s="62">
        <f t="shared" si="0"/>
        <v>698.74761167141253</v>
      </c>
      <c r="S39" s="62">
        <f ca="1">AVERAGE(OFFSET($R$3,0,0,'Données projet'!$E$9+1,1))-AVERAGE(OFFSET($H$3,0,0,'Données projet'!$E$9+1,1))</f>
        <v>276.05121228874452</v>
      </c>
      <c r="T39" s="62">
        <f t="shared" si="34"/>
        <v>319.89882768207553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14.264265898112468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3.887891107279748</v>
      </c>
      <c r="AC39" s="24">
        <f t="shared" si="3"/>
        <v>18.152157005392215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14.833333333333334</v>
      </c>
      <c r="AI39" s="14">
        <f>IF('Données projet'!$A$62&gt;35,AI38+AH39-AQ38,IF(A39&lt;'Données projet'!$A$62,$AF$205^A39,IF(A39='Données projet'!$A$62,'Données projet'!$B$62,AI38+AH39-AQ38)))</f>
        <v>333.66666666666669</v>
      </c>
      <c r="AJ39" s="14">
        <f>AI39*VLOOKUP('Données projet'!$B$10,Paramètres!$A$1:$I$89,3,0)*VLOOKUP('Données projet'!$B$10,Paramètres!$A$1:$I$89,5,0)</f>
        <v>199.5326666666667</v>
      </c>
      <c r="AK39" s="14">
        <f t="shared" si="35"/>
        <v>49.641448023967172</v>
      </c>
      <c r="AL39" s="22">
        <f t="shared" si="4"/>
        <v>433.97824975285403</v>
      </c>
      <c r="AM39" s="62">
        <f t="shared" si="5"/>
        <v>727.31158308618728</v>
      </c>
      <c r="AN39" s="62">
        <f ca="1">AVERAGE(OFFSET($AM$3,0,0,'Données projet'!$E$10+1,1))-AVERAGE(OFFSET($H$3,0,0,'Données projet'!$E$10+1,1))</f>
        <v>211.38734697794843</v>
      </c>
      <c r="AO39" s="62">
        <f t="shared" si="36"/>
        <v>239.85955661394541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12.796302215628069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1.9333662581098616</v>
      </c>
      <c r="AX39" s="23">
        <f t="shared" si="6"/>
        <v>14.729668473737931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18.2</v>
      </c>
      <c r="N40" s="14">
        <f>IF('Données projet'!$A$36&gt;35,N39+M40-V39,IF(A40&lt;'Données projet'!$A$36,$K$205^A40,IF(A40='Données projet'!$A$36,'Données projet'!$B$36,N39+M40-V39)))</f>
        <v>329.39999999999992</v>
      </c>
      <c r="O40" s="14">
        <f>N40*VLOOKUP('Données projet'!$B$9,Paramètres!$A$1:$I$89,3,0)*VLOOKUP('Données projet'!$B$9,Paramètres!$A$1:$I$89,5,0)</f>
        <v>196.98119999999997</v>
      </c>
      <c r="P40" s="14">
        <f t="shared" si="33"/>
        <v>49.080140741894134</v>
      </c>
      <c r="Q40" s="22">
        <f t="shared" si="53"/>
        <v>428.55683512546557</v>
      </c>
      <c r="R40" s="62">
        <f t="shared" si="0"/>
        <v>721.89016845879883</v>
      </c>
      <c r="S40" s="62">
        <f ca="1">AVERAGE(OFFSET($R$3,0,0,'Données projet'!$E$9+1,1))-AVERAGE(OFFSET($H$3,0,0,'Données projet'!$E$9+1,1))</f>
        <v>276.05121228874452</v>
      </c>
      <c r="T40" s="62">
        <f t="shared" si="34"/>
        <v>319.89882768207553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13.984552344193593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2.7491541664723851</v>
      </c>
      <c r="AC40" s="24">
        <f t="shared" si="3"/>
        <v>16.733706510665979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14.833333333333334</v>
      </c>
      <c r="AI40" s="14">
        <f>IF('Données projet'!$A$62&gt;35,AI39+AH40-AQ39,IF(A40&lt;'Données projet'!$A$62,$AF$205^A40,IF(A40='Données projet'!$A$62,'Données projet'!$B$62,AI39+AH40-AQ39)))</f>
        <v>348.5</v>
      </c>
      <c r="AJ40" s="14">
        <f>AI40*VLOOKUP('Données projet'!$B$10,Paramètres!$A$1:$I$89,3,0)*VLOOKUP('Données projet'!$B$10,Paramètres!$A$1:$I$89,5,0)</f>
        <v>208.40300000000002</v>
      </c>
      <c r="AK40" s="14">
        <f t="shared" si="35"/>
        <v>51.586446119858451</v>
      </c>
      <c r="AL40" s="22">
        <f t="shared" si="4"/>
        <v>452.81495199208689</v>
      </c>
      <c r="AM40" s="62">
        <f t="shared" si="5"/>
        <v>746.14828532542015</v>
      </c>
      <c r="AN40" s="62">
        <f ca="1">AVERAGE(OFFSET($AM$3,0,0,'Données projet'!$E$10+1,1))-AVERAGE(OFFSET($H$3,0,0,'Données projet'!$E$10+1,1))</f>
        <v>211.38734697794843</v>
      </c>
      <c r="AO40" s="62">
        <f t="shared" si="36"/>
        <v>239.85955661394541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12.545374534153277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1.3670963916267442</v>
      </c>
      <c r="AX40" s="23">
        <f t="shared" si="6"/>
        <v>13.912470925780021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18.2</v>
      </c>
      <c r="N41" s="14">
        <f>IF('Données projet'!$A$36&gt;35,N40+M41-V40,IF(A41&lt;'Données projet'!$A$36,$K$205^A41,IF(A41='Données projet'!$A$36,'Données projet'!$B$36,N40+M41-V40)))</f>
        <v>347.59999999999991</v>
      </c>
      <c r="O41" s="14">
        <f>N41*VLOOKUP('Données projet'!$B$9,Paramètres!$A$1:$I$89,3,0)*VLOOKUP('Données projet'!$B$9,Paramètres!$A$1:$I$89,5,0)</f>
        <v>207.86479999999995</v>
      </c>
      <c r="P41" s="14">
        <f t="shared" si="33"/>
        <v>51.468713616997725</v>
      </c>
      <c r="Q41" s="22">
        <f t="shared" si="53"/>
        <v>451.67253621627088</v>
      </c>
      <c r="R41" s="62">
        <f t="shared" si="0"/>
        <v>745.0058695496042</v>
      </c>
      <c r="S41" s="62">
        <f ca="1">AVERAGE(OFFSET($R$3,0,0,'Données projet'!$E$9+1,1))-AVERAGE(OFFSET($H$3,0,0,'Données projet'!$E$9+1,1))</f>
        <v>276.05121228874452</v>
      </c>
      <c r="T41" s="62">
        <f t="shared" si="34"/>
        <v>319.89882768207553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13.710323802458646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1.9439455536398744</v>
      </c>
      <c r="AC41" s="24">
        <f t="shared" si="3"/>
        <v>15.654269356098521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14.833333333333334</v>
      </c>
      <c r="AI41" s="14">
        <f>IF('Données projet'!$A$62&gt;35,AI40+AH41-AQ40,IF(A41&lt;'Données projet'!$A$62,$AF$205^A41,IF(A41='Données projet'!$A$62,'Données projet'!$B$62,AI40+AH41-AQ40)))</f>
        <v>363.33333333333331</v>
      </c>
      <c r="AJ41" s="14">
        <f>AI41*VLOOKUP('Données projet'!$B$10,Paramètres!$A$1:$I$89,3,0)*VLOOKUP('Données projet'!$B$10,Paramètres!$A$1:$I$89,5,0)</f>
        <v>217.27333333333334</v>
      </c>
      <c r="AK41" s="14">
        <f t="shared" si="35"/>
        <v>53.521828729483147</v>
      </c>
      <c r="AL41" s="22">
        <f t="shared" si="4"/>
        <v>471.63490725940528</v>
      </c>
      <c r="AM41" s="62">
        <f t="shared" si="5"/>
        <v>764.96824059273854</v>
      </c>
      <c r="AN41" s="62">
        <f ca="1">AVERAGE(OFFSET($AM$3,0,0,'Données projet'!$E$10+1,1))-AVERAGE(OFFSET($H$3,0,0,'Données projet'!$E$10+1,1))</f>
        <v>211.38734697794843</v>
      </c>
      <c r="AO41" s="62">
        <f t="shared" si="36"/>
        <v>239.85955661394541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12.299367391461432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0.96668312905493103</v>
      </c>
      <c r="AX41" s="23">
        <f t="shared" si="6"/>
        <v>13.266050520516364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18.2</v>
      </c>
      <c r="N42" s="14">
        <f>IF('Données projet'!$A$36&gt;35,N41+M42-V41,IF(A42&lt;'Données projet'!$A$36,$K$205^A42,IF(A42='Données projet'!$A$36,'Données projet'!$B$36,N41+M42-V41)))</f>
        <v>365.7999999999999</v>
      </c>
      <c r="O42" s="14">
        <f>N42*VLOOKUP('Données projet'!$B$9,Paramètres!$A$1:$I$89,3,0)*VLOOKUP('Données projet'!$B$9,Paramètres!$A$1:$I$89,5,0)</f>
        <v>218.74839999999998</v>
      </c>
      <c r="P42" s="14">
        <f t="shared" si="33"/>
        <v>53.842766383032917</v>
      </c>
      <c r="Q42" s="22">
        <f t="shared" si="53"/>
        <v>474.76294811711551</v>
      </c>
      <c r="R42" s="62">
        <f t="shared" si="0"/>
        <v>768.09628145044883</v>
      </c>
      <c r="S42" s="62">
        <f ca="1">AVERAGE(OFFSET($R$3,0,0,'Données projet'!$E$9+1,1))-AVERAGE(OFFSET($H$3,0,0,'Données projet'!$E$9+1,1))</f>
        <v>276.05121228874452</v>
      </c>
      <c r="T42" s="62">
        <f t="shared" si="34"/>
        <v>319.89882768207553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13.441472715164226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1.3745770832361928</v>
      </c>
      <c r="AC42" s="24">
        <f t="shared" si="3"/>
        <v>14.816049798400419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14.833333333333334</v>
      </c>
      <c r="AI42" s="14">
        <f>IF('Données projet'!$A$62&gt;35,AI41+AH42-AQ41,IF(A42&lt;'Données projet'!$A$62,$AF$205^A42,IF(A42='Données projet'!$A$62,'Données projet'!$B$62,AI41+AH42-AQ41)))</f>
        <v>378.16666666666663</v>
      </c>
      <c r="AJ42" s="14">
        <f>AI42*VLOOKUP('Données projet'!$B$10,Paramètres!$A$1:$I$89,3,0)*VLOOKUP('Données projet'!$B$10,Paramètres!$A$1:$I$89,5,0)</f>
        <v>226.14366666666666</v>
      </c>
      <c r="AK42" s="14">
        <f t="shared" si="35"/>
        <v>55.448033313614026</v>
      </c>
      <c r="AL42" s="22">
        <f t="shared" si="4"/>
        <v>490.43887746565548</v>
      </c>
      <c r="AM42" s="62">
        <f t="shared" si="5"/>
        <v>783.77221079898879</v>
      </c>
      <c r="AN42" s="62">
        <f ca="1">AVERAGE(OFFSET($AM$3,0,0,'Données projet'!$E$10+1,1))-AVERAGE(OFFSET($H$3,0,0,'Données projet'!$E$10+1,1))</f>
        <v>211.38734697794843</v>
      </c>
      <c r="AO42" s="62">
        <f t="shared" si="36"/>
        <v>239.85955661394541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12.058184298788234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0.68354819581337223</v>
      </c>
      <c r="AX42" s="23">
        <f t="shared" si="6"/>
        <v>12.741732494601607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384</v>
      </c>
      <c r="L43" s="13">
        <f>VLOOKUP(A43,'Données projet'!$A$35:$I$55,9,0)</f>
        <v>18.2</v>
      </c>
      <c r="M43" s="13">
        <f t="array" ref="M43">INDEX(L:L,MIN(IF(ISNUMBER(L43:L239),ROW(L43:L239),"")))</f>
        <v>18.2</v>
      </c>
      <c r="N43" s="14">
        <f>IF('Données projet'!$A$36&gt;35,N42+M43-V42,IF(A43&lt;'Données projet'!$A$36,$K$205^A43,IF(A43='Données projet'!$A$36,'Données projet'!$B$36,N42+M43-V42)))</f>
        <v>383.99999999999989</v>
      </c>
      <c r="O43" s="14">
        <f>N43*VLOOKUP('Données projet'!$B$9,Paramètres!$A$1:$I$89,3,0)*VLOOKUP('Données projet'!$B$9,Paramètres!$A$1:$I$89,5,0)</f>
        <v>229.63199999999995</v>
      </c>
      <c r="P43" s="14">
        <f t="shared" si="33"/>
        <v>56.20310391330667</v>
      </c>
      <c r="Q43" s="22">
        <f t="shared" si="53"/>
        <v>497.82947264900895</v>
      </c>
      <c r="R43" s="62">
        <f t="shared" si="0"/>
        <v>791.16280598234221</v>
      </c>
      <c r="S43" s="62">
        <f ca="1">AVERAGE(OFFSET($R$3,0,0,'Données projet'!$E$9+1,1))-AVERAGE(OFFSET($H$3,0,0,'Données projet'!$E$9+1,1))</f>
        <v>276.05121228874452</v>
      </c>
      <c r="T43" s="62">
        <f t="shared" si="34"/>
        <v>319.89882768207553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100</v>
      </c>
      <c r="W43" s="17">
        <f>IF(ISNA(VLOOKUP(A43,'Données projet'!$A$35:$I$55,5,0)),0%,VLOOKUP(A43,'Données projet'!$A$35:$I$55,5,0)*VLOOKUP('Données projet'!$B$9,Paramètres!$A$1:$I$89,7,0))</f>
        <v>0.22500000000000001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0.5</v>
      </c>
      <c r="Z43" s="23">
        <f>EXP(-LN(2)/35)*Z42+(1-EXP(-LN(2)/35))/(LN(2)/35)*V43*W43*VLOOKUP('Données projet'!$B$9,Paramètres!$A$1:$I$89,3,0)*0.475*44/12</f>
        <v>31.026818381647697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34.825718472861269</v>
      </c>
      <c r="AC43" s="24">
        <f t="shared" si="3"/>
        <v>65.852536854508969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393</v>
      </c>
      <c r="AG43" s="13">
        <f>VLOOKUP(A43,'Données projet'!$A$61:$I$81,9,0)</f>
        <v>14.833333333333334</v>
      </c>
      <c r="AH43" s="13">
        <f t="array" ref="AH43">INDEX(AG:AG,MIN(IF(ISNUMBER(AG43:AG239),ROW(AG43:AG239),"")))</f>
        <v>14.833333333333334</v>
      </c>
      <c r="AI43" s="14">
        <f>IF('Données projet'!$A$62&gt;35,AI42+AH43-AQ42,IF(A43&lt;'Données projet'!$A$62,$AF$205^A43,IF(A43='Données projet'!$A$62,'Données projet'!$B$62,AI42+AH43-AQ42)))</f>
        <v>392.99999999999994</v>
      </c>
      <c r="AJ43" s="14">
        <f>AI43*VLOOKUP('Données projet'!$B$10,Paramètres!$A$1:$I$89,3,0)*VLOOKUP('Données projet'!$B$10,Paramètres!$A$1:$I$89,5,0)</f>
        <v>235.01399999999998</v>
      </c>
      <c r="AK43" s="14">
        <f t="shared" si="35"/>
        <v>57.365461071820548</v>
      </c>
      <c r="AL43" s="22">
        <f t="shared" si="4"/>
        <v>509.22756136675406</v>
      </c>
      <c r="AM43" s="62">
        <f t="shared" si="5"/>
        <v>802.56089470008737</v>
      </c>
      <c r="AN43" s="62">
        <f ca="1">AVERAGE(OFFSET($AM$3,0,0,'Données projet'!$E$10+1,1))-AVERAGE(OFFSET($H$3,0,0,'Données projet'!$E$10+1,1))</f>
        <v>211.38734697794843</v>
      </c>
      <c r="AO43" s="62">
        <f t="shared" si="36"/>
        <v>239.85955661394541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94</v>
      </c>
      <c r="AR43" s="17">
        <f>IF(ISNA(VLOOKUP(A43,'Données projet'!$A$61:$I$81,5,0)),0%,VLOOKUP(A43,'Données projet'!$A$61:$I$81,5,0)*VLOOKUP('Données projet'!$B$10,Paramètres!$A$1:$I$89,7,0))</f>
        <v>0.22500000000000001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0.5</v>
      </c>
      <c r="AU43" s="23">
        <f>EXP(-LN(2)/35)*AU42+(1-EXP(-LN(2)/35))/(LN(2)/35)*AQ43*AR43*VLOOKUP('Données projet'!$B$10,Paramètres!$A$1:$I$89,3,0)*0.475*44/12</f>
        <v>28.59971992251787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32.305862518806308</v>
      </c>
      <c r="AX43" s="23">
        <f t="shared" si="6"/>
        <v>60.905582441324178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18.7</v>
      </c>
      <c r="N44" s="14">
        <f>IF('Données projet'!$A$36&gt;35,N43+M44-V43,IF(A44&lt;'Données projet'!$A$36,$K$205^A44,IF(A44='Données projet'!$A$36,'Données projet'!$B$36,N43+M44-V43)))</f>
        <v>302.69999999999987</v>
      </c>
      <c r="O44" s="14">
        <f>N44*VLOOKUP('Données projet'!$B$9,Paramètres!$A$1:$I$89,3,0)*VLOOKUP('Données projet'!$B$9,Paramètres!$A$1:$I$89,5,0)</f>
        <v>181.01459999999994</v>
      </c>
      <c r="P44" s="14">
        <f t="shared" si="33"/>
        <v>45.547842076970326</v>
      </c>
      <c r="Q44" s="22">
        <f t="shared" si="53"/>
        <v>394.59625328405656</v>
      </c>
      <c r="R44" s="62">
        <f t="shared" si="0"/>
        <v>687.92958661738987</v>
      </c>
      <c r="S44" s="62">
        <f ca="1">AVERAGE(OFFSET($R$3,0,0,'Données projet'!$E$9+1,1))-AVERAGE(OFFSET($H$3,0,0,'Données projet'!$E$9+1,1))</f>
        <v>276.05121228874452</v>
      </c>
      <c r="T44" s="62">
        <f t="shared" si="34"/>
        <v>319.89882768207553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30.41840139767416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24.62550169185382</v>
      </c>
      <c r="AC44" s="24">
        <f t="shared" si="3"/>
        <v>55.04390308952798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8.8571428571428577</v>
      </c>
      <c r="AI44" s="14">
        <f>IF('Données projet'!$A$62&gt;35,AI43+AH44-AQ43,IF(A44&lt;'Données projet'!$A$62,$AF$205^A44,IF(A44='Données projet'!$A$62,'Données projet'!$B$62,AI43+AH44-AQ43)))</f>
        <v>307.85714285714278</v>
      </c>
      <c r="AJ44" s="14">
        <f>AI44*VLOOKUP('Données projet'!$B$10,Paramètres!$A$1:$I$89,3,0)*VLOOKUP('Données projet'!$B$10,Paramètres!$A$1:$I$89,5,0)</f>
        <v>184.09857142857138</v>
      </c>
      <c r="AK44" s="14">
        <f t="shared" si="35"/>
        <v>46.232844518589026</v>
      </c>
      <c r="AL44" s="22">
        <f t="shared" si="4"/>
        <v>401.16054944130428</v>
      </c>
      <c r="AM44" s="62">
        <f t="shared" si="5"/>
        <v>694.49388277463754</v>
      </c>
      <c r="AN44" s="62">
        <f ca="1">AVERAGE(OFFSET($AM$3,0,0,'Données projet'!$E$10+1,1))-AVERAGE(OFFSET($H$3,0,0,'Données projet'!$E$10+1,1))</f>
        <v>211.38734697794843</v>
      </c>
      <c r="AO44" s="62">
        <f t="shared" si="36"/>
        <v>239.85955661394541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28.038896858943986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22.843694459128262</v>
      </c>
      <c r="AX44" s="23">
        <f t="shared" si="6"/>
        <v>50.882591318072244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18.7</v>
      </c>
      <c r="N45" s="14">
        <f>IF('Données projet'!$A$36&gt;35,N44+M45-V44,IF(A45&lt;'Données projet'!$A$36,$K$205^A45,IF(A45='Données projet'!$A$36,'Données projet'!$B$36,N44+M45-V44)))</f>
        <v>321.39999999999986</v>
      </c>
      <c r="O45" s="14">
        <f>N45*VLOOKUP('Données projet'!$B$9,Paramètres!$A$1:$I$89,3,0)*VLOOKUP('Données projet'!$B$9,Paramètres!$A$1:$I$89,5,0)</f>
        <v>192.19719999999992</v>
      </c>
      <c r="P45" s="14">
        <f t="shared" si="33"/>
        <v>48.025397032309286</v>
      </c>
      <c r="Q45" s="22">
        <f t="shared" si="53"/>
        <v>418.38768983127187</v>
      </c>
      <c r="R45" s="62">
        <f t="shared" si="0"/>
        <v>711.72102316460519</v>
      </c>
      <c r="S45" s="62">
        <f ca="1">AVERAGE(OFFSET($R$3,0,0,'Données projet'!$E$9+1,1))-AVERAGE(OFFSET($H$3,0,0,'Données projet'!$E$9+1,1))</f>
        <v>276.05121228874452</v>
      </c>
      <c r="T45" s="62">
        <f t="shared" si="34"/>
        <v>319.89882768207553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29.821915099658625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17.412859236430638</v>
      </c>
      <c r="AC45" s="24">
        <f t="shared" si="3"/>
        <v>47.234774336089259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8.8571428571428577</v>
      </c>
      <c r="AI45" s="14">
        <f>IF('Données projet'!$A$62&gt;35,AI44+AH45-AQ44,IF(A45&lt;'Données projet'!$A$62,$AF$205^A45,IF(A45='Données projet'!$A$62,'Données projet'!$B$62,AI44+AH45-AQ44)))</f>
        <v>316.71428571428561</v>
      </c>
      <c r="AJ45" s="14">
        <f>AI45*VLOOKUP('Données projet'!$B$10,Paramètres!$A$1:$I$89,3,0)*VLOOKUP('Données projet'!$B$10,Paramètres!$A$1:$I$89,5,0)</f>
        <v>189.39514285714279</v>
      </c>
      <c r="AK45" s="14">
        <f t="shared" si="35"/>
        <v>47.406202719165663</v>
      </c>
      <c r="AL45" s="22">
        <f t="shared" si="4"/>
        <v>412.42901021207052</v>
      </c>
      <c r="AM45" s="62">
        <f t="shared" si="5"/>
        <v>705.76234354540384</v>
      </c>
      <c r="AN45" s="62">
        <f ca="1">AVERAGE(OFFSET($AM$3,0,0,'Données projet'!$E$10+1,1))-AVERAGE(OFFSET($H$3,0,0,'Données projet'!$E$10+1,1))</f>
        <v>211.38734697794843</v>
      </c>
      <c r="AO45" s="62">
        <f t="shared" si="36"/>
        <v>239.85955661394541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27.489071193578493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16.152931259403157</v>
      </c>
      <c r="AX45" s="23">
        <f t="shared" si="6"/>
        <v>43.64200245298165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18.7</v>
      </c>
      <c r="N46" s="14">
        <f>IF('Données projet'!$A$36&gt;35,N45+M46-V45,IF(A46&lt;'Données projet'!$A$36,$K$205^A46,IF(A46='Données projet'!$A$36,'Données projet'!$B$36,N45+M46-V45)))</f>
        <v>340.09999999999985</v>
      </c>
      <c r="O46" s="14">
        <f>N46*VLOOKUP('Données projet'!$B$9,Paramètres!$A$1:$I$89,3,0)*VLOOKUP('Données projet'!$B$9,Paramètres!$A$1:$I$89,5,0)</f>
        <v>203.37979999999993</v>
      </c>
      <c r="P46" s="14">
        <f t="shared" si="33"/>
        <v>50.486219484381131</v>
      </c>
      <c r="Q46" s="22">
        <f t="shared" si="53"/>
        <v>442.14998393529703</v>
      </c>
      <c r="R46" s="62">
        <f t="shared" si="0"/>
        <v>735.48331726863034</v>
      </c>
      <c r="S46" s="62">
        <f ca="1">AVERAGE(OFFSET($R$3,0,0,'Données projet'!$E$9+1,1))-AVERAGE(OFFSET($H$3,0,0,'Données projet'!$E$9+1,1))</f>
        <v>276.05121228874452</v>
      </c>
      <c r="T46" s="62">
        <f t="shared" si="34"/>
        <v>319.89882768207553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29.237125534126459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12.312750845926914</v>
      </c>
      <c r="AC46" s="24">
        <f t="shared" si="3"/>
        <v>41.549876380053377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8.8571428571428577</v>
      </c>
      <c r="AI46" s="14">
        <f>IF('Données projet'!$A$62&gt;35,AI45+AH46-AQ45,IF(A46&lt;'Données projet'!$A$62,$AF$205^A46,IF(A46='Données projet'!$A$62,'Données projet'!$B$62,AI45+AH46-AQ45)))</f>
        <v>325.57142857142844</v>
      </c>
      <c r="AJ46" s="14">
        <f>AI46*VLOOKUP('Données projet'!$B$10,Paramètres!$A$1:$I$89,3,0)*VLOOKUP('Données projet'!$B$10,Paramètres!$A$1:$I$89,5,0)</f>
        <v>194.69171428571423</v>
      </c>
      <c r="AK46" s="14">
        <f t="shared" si="35"/>
        <v>48.575747077337702</v>
      </c>
      <c r="AL46" s="22">
        <f t="shared" si="4"/>
        <v>423.69082854064874</v>
      </c>
      <c r="AM46" s="62">
        <f t="shared" si="5"/>
        <v>717.02416187398205</v>
      </c>
      <c r="AN46" s="62">
        <f ca="1">AVERAGE(OFFSET($AM$3,0,0,'Données projet'!$E$10+1,1))-AVERAGE(OFFSET($H$3,0,0,'Données projet'!$E$10+1,1))</f>
        <v>211.38734697794843</v>
      </c>
      <c r="AO46" s="62">
        <f t="shared" si="36"/>
        <v>239.85955661394541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26.950027274150276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11.421847229564133</v>
      </c>
      <c r="AX46" s="23">
        <f t="shared" si="6"/>
        <v>38.371874503714409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18.7</v>
      </c>
      <c r="N47" s="14">
        <f>IF('Données projet'!$A$36&gt;35,N46+M47-V46,IF(A47&lt;'Données projet'!$A$36,$K$205^A47,IF(A47='Données projet'!$A$36,'Données projet'!$B$36,N46+M47-V46)))</f>
        <v>358.79999999999984</v>
      </c>
      <c r="O47" s="14">
        <f>N47*VLOOKUP('Données projet'!$B$9,Paramètres!$A$1:$I$89,3,0)*VLOOKUP('Données projet'!$B$9,Paramètres!$A$1:$I$89,5,0)</f>
        <v>214.56239999999994</v>
      </c>
      <c r="P47" s="14">
        <f t="shared" si="33"/>
        <v>52.931334320900206</v>
      </c>
      <c r="Q47" s="22">
        <f t="shared" si="53"/>
        <v>465.88492060890104</v>
      </c>
      <c r="R47" s="62">
        <f t="shared" si="0"/>
        <v>759.21825394223436</v>
      </c>
      <c r="S47" s="62">
        <f ca="1">AVERAGE(OFFSET($R$3,0,0,'Données projet'!$E$9+1,1))-AVERAGE(OFFSET($H$3,0,0,'Données projet'!$E$9+1,1))</f>
        <v>276.05121228874452</v>
      </c>
      <c r="T47" s="62">
        <f t="shared" si="34"/>
        <v>319.89882768207553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28.663803335287962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8.7064296182153207</v>
      </c>
      <c r="AC47" s="24">
        <f t="shared" si="3"/>
        <v>37.370232953503283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8.8571428571428577</v>
      </c>
      <c r="AI47" s="14">
        <f>IF('Données projet'!$A$62&gt;35,AI46+AH47-AQ46,IF(A47&lt;'Données projet'!$A$62,$AF$205^A47,IF(A47='Données projet'!$A$62,'Données projet'!$B$62,AI46+AH47-AQ46)))</f>
        <v>334.42857142857127</v>
      </c>
      <c r="AJ47" s="14">
        <f>AI47*VLOOKUP('Données projet'!$B$10,Paramètres!$A$1:$I$89,3,0)*VLOOKUP('Données projet'!$B$10,Paramètres!$A$1:$I$89,5,0)</f>
        <v>199.98828571428564</v>
      </c>
      <c r="AK47" s="14">
        <f t="shared" si="35"/>
        <v>49.74159327116319</v>
      </c>
      <c r="AL47" s="22">
        <f t="shared" si="4"/>
        <v>434.94620589965672</v>
      </c>
      <c r="AM47" s="62">
        <f t="shared" si="5"/>
        <v>728.27953923299003</v>
      </c>
      <c r="AN47" s="62">
        <f ca="1">AVERAGE(OFFSET($AM$3,0,0,'Données projet'!$E$10+1,1))-AVERAGE(OFFSET($H$3,0,0,'Données projet'!$E$10+1,1))</f>
        <v>211.38734697794843</v>
      </c>
      <c r="AO47" s="62">
        <f t="shared" si="36"/>
        <v>239.85955661394541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26.421553677197718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8.0764656297015804</v>
      </c>
      <c r="AX47" s="23">
        <f t="shared" si="6"/>
        <v>34.498019306899295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18.7</v>
      </c>
      <c r="N48" s="14">
        <f>IF('Données projet'!$A$36&gt;35,N47+M48-V47,IF(A48&lt;'Données projet'!$A$36,$K$205^A48,IF(A48='Données projet'!$A$36,'Données projet'!$B$36,N47+M48-V47)))</f>
        <v>377.49999999999983</v>
      </c>
      <c r="O48" s="14">
        <f>N48*VLOOKUP('Données projet'!$B$9,Paramètres!$A$1:$I$89,3,0)*VLOOKUP('Données projet'!$B$9,Paramètres!$A$1:$I$89,5,0)</f>
        <v>225.74499999999989</v>
      </c>
      <c r="P48" s="14">
        <f t="shared" si="33"/>
        <v>55.361653565139832</v>
      </c>
      <c r="Q48" s="22">
        <f t="shared" si="53"/>
        <v>489.59408829261832</v>
      </c>
      <c r="R48" s="62">
        <f t="shared" si="0"/>
        <v>782.92742162595164</v>
      </c>
      <c r="S48" s="62">
        <f ca="1">AVERAGE(OFFSET($R$3,0,0,'Données projet'!$E$9+1,1))-AVERAGE(OFFSET($H$3,0,0,'Données projet'!$E$9+1,1))</f>
        <v>276.05121228874452</v>
      </c>
      <c r="T48" s="62">
        <f t="shared" si="34"/>
        <v>319.89882768207553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28.101723635076677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6.1563754229634577</v>
      </c>
      <c r="AC48" s="24">
        <f t="shared" si="3"/>
        <v>34.258099058040138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8.8571428571428577</v>
      </c>
      <c r="AI48" s="14">
        <f>IF('Données projet'!$A$62&gt;35,AI47+AH48-AQ47,IF(A48&lt;'Données projet'!$A$62,$AF$205^A48,IF(A48='Données projet'!$A$62,'Données projet'!$B$62,AI47+AH48-AQ47)))</f>
        <v>343.28571428571411</v>
      </c>
      <c r="AJ48" s="14">
        <f>AI48*VLOOKUP('Données projet'!$B$10,Paramètres!$A$1:$I$89,3,0)*VLOOKUP('Données projet'!$B$10,Paramètres!$A$1:$I$89,5,0)</f>
        <v>205.28485714285705</v>
      </c>
      <c r="AK48" s="14">
        <f t="shared" si="35"/>
        <v>50.903850502457914</v>
      </c>
      <c r="AL48" s="22">
        <f t="shared" si="4"/>
        <v>446.19533248225684</v>
      </c>
      <c r="AM48" s="62">
        <f t="shared" si="5"/>
        <v>739.5286658155901</v>
      </c>
      <c r="AN48" s="62">
        <f ca="1">AVERAGE(OFFSET($AM$3,0,0,'Données projet'!$E$10+1,1))-AVERAGE(OFFSET($H$3,0,0,'Données projet'!$E$10+1,1))</f>
        <v>211.38734697794843</v>
      </c>
      <c r="AO48" s="62">
        <f t="shared" si="36"/>
        <v>239.85955661394541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25.903443125144335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5.7109236147820672</v>
      </c>
      <c r="AX48" s="23">
        <f t="shared" si="6"/>
        <v>31.614366739926403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18.7</v>
      </c>
      <c r="N49" s="14">
        <f>IF('Données projet'!$A$36&gt;35,N48+M49-V48,IF(A49&lt;'Données projet'!$A$36,$K$205^A49,IF(A49='Données projet'!$A$36,'Données projet'!$B$36,N48+M49-V48)))</f>
        <v>396.19999999999982</v>
      </c>
      <c r="O49" s="14">
        <f>N49*VLOOKUP('Données projet'!$B$9,Paramètres!$A$1:$I$89,3,0)*VLOOKUP('Données projet'!$B$9,Paramètres!$A$1:$I$89,5,0)</f>
        <v>236.9275999999999</v>
      </c>
      <c r="P49" s="14">
        <f t="shared" si="33"/>
        <v>57.77799377918911</v>
      </c>
      <c r="Q49" s="22">
        <f t="shared" si="53"/>
        <v>513.27890916542094</v>
      </c>
      <c r="R49" s="62">
        <f t="shared" si="0"/>
        <v>806.61224249875431</v>
      </c>
      <c r="S49" s="62">
        <f ca="1">AVERAGE(OFFSET($R$3,0,0,'Données projet'!$E$9+1,1))-AVERAGE(OFFSET($H$3,0,0,'Données projet'!$E$9+1,1))</f>
        <v>276.05121228874452</v>
      </c>
      <c r="T49" s="62">
        <f t="shared" si="34"/>
        <v>319.89882768207553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27.550665974951769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4.3532148091076612</v>
      </c>
      <c r="AC49" s="24">
        <f t="shared" si="3"/>
        <v>31.903880784059432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8.8571428571428577</v>
      </c>
      <c r="AI49" s="14">
        <f>IF('Données projet'!$A$62&gt;35,AI48+AH49-AQ48,IF(A49&lt;'Données projet'!$A$62,$AF$205^A49,IF(A49='Données projet'!$A$62,'Données projet'!$B$62,AI48+AH49-AQ48)))</f>
        <v>352.14285714285694</v>
      </c>
      <c r="AJ49" s="14">
        <f>AI49*VLOOKUP('Données projet'!$B$10,Paramètres!$A$1:$I$89,3,0)*VLOOKUP('Données projet'!$B$10,Paramètres!$A$1:$I$89,5,0)</f>
        <v>210.58142857142849</v>
      </c>
      <c r="AK49" s="14">
        <f t="shared" si="35"/>
        <v>52.062622016979063</v>
      </c>
      <c r="AL49" s="22">
        <f t="shared" si="4"/>
        <v>457.4383881081431</v>
      </c>
      <c r="AM49" s="62">
        <f t="shared" si="5"/>
        <v>750.77172144147642</v>
      </c>
      <c r="AN49" s="62">
        <f ca="1">AVERAGE(OFFSET($AM$3,0,0,'Données projet'!$E$10+1,1))-AVERAGE(OFFSET($H$3,0,0,'Données projet'!$E$10+1,1))</f>
        <v>211.38734697794843</v>
      </c>
      <c r="AO49" s="62">
        <f t="shared" si="36"/>
        <v>239.85955661394541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25.395492405000486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4.0382328148507902</v>
      </c>
      <c r="AX49" s="23">
        <f t="shared" si="6"/>
        <v>29.433725219851276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18.7</v>
      </c>
      <c r="N50" s="14">
        <f>IF('Données projet'!$A$36&gt;35,N49+M50-V49,IF(A50&lt;'Données projet'!$A$36,$K$205^A50,IF(A50='Données projet'!$A$36,'Données projet'!$B$36,N49+M50-V49)))</f>
        <v>414.89999999999981</v>
      </c>
      <c r="O50" s="14">
        <f>N50*VLOOKUP('Données projet'!$B$9,Paramètres!$A$1:$I$89,3,0)*VLOOKUP('Données projet'!$B$9,Paramètres!$A$1:$I$89,5,0)</f>
        <v>248.11019999999991</v>
      </c>
      <c r="P50" s="14">
        <f t="shared" si="33"/>
        <v>60.181090088538092</v>
      </c>
      <c r="Q50" s="22">
        <f t="shared" si="53"/>
        <v>536.94066357087036</v>
      </c>
      <c r="R50" s="62">
        <f t="shared" si="0"/>
        <v>830.27399690420361</v>
      </c>
      <c r="S50" s="62">
        <f ca="1">AVERAGE(OFFSET($R$3,0,0,'Données projet'!$E$9+1,1))-AVERAGE(OFFSET($H$3,0,0,'Données projet'!$E$9+1,1))</f>
        <v>276.05121228874452</v>
      </c>
      <c r="T50" s="62">
        <f t="shared" si="34"/>
        <v>319.89882768207553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27.010414219429929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3.0781877114817293</v>
      </c>
      <c r="AC50" s="24">
        <f t="shared" si="3"/>
        <v>30.088601930911658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8.8571428571428577</v>
      </c>
      <c r="AI50" s="14">
        <f>IF('Données projet'!$A$62&gt;35,AI49+AH50-AQ49,IF(A50&lt;'Données projet'!$A$62,$AF$205^A50,IF(A50='Données projet'!$A$62,'Données projet'!$B$62,AI49+AH50-AQ49)))</f>
        <v>360.99999999999977</v>
      </c>
      <c r="AJ50" s="14">
        <f>AI50*VLOOKUP('Données projet'!$B$10,Paramètres!$A$1:$I$89,3,0)*VLOOKUP('Données projet'!$B$10,Paramètres!$A$1:$I$89,5,0)</f>
        <v>215.87799999999987</v>
      </c>
      <c r="AK50" s="14">
        <f t="shared" si="35"/>
        <v>53.218005570801431</v>
      </c>
      <c r="AL50" s="22">
        <f t="shared" si="4"/>
        <v>468.67554303581227</v>
      </c>
      <c r="AM50" s="62">
        <f t="shared" si="5"/>
        <v>762.00887636914558</v>
      </c>
      <c r="AN50" s="62">
        <f ca="1">AVERAGE(OFFSET($AM$3,0,0,'Données projet'!$E$10+1,1))-AVERAGE(OFFSET($H$3,0,0,'Données projet'!$E$10+1,1))</f>
        <v>211.38734697794843</v>
      </c>
      <c r="AO50" s="62">
        <f t="shared" si="36"/>
        <v>239.85955661394541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24.897502288659311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2.8554618073910336</v>
      </c>
      <c r="AX50" s="23">
        <f t="shared" si="6"/>
        <v>27.752964096050345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18.7</v>
      </c>
      <c r="N51" s="14">
        <f>IF('Données projet'!$A$36&gt;35,N50+M51-V50,IF(A51&lt;'Données projet'!$A$36,$K$205^A51,IF(A51='Données projet'!$A$36,'Données projet'!$B$36,N50+M51-V50)))</f>
        <v>433.5999999999998</v>
      </c>
      <c r="O51" s="14">
        <f>N51*VLOOKUP('Données projet'!$B$9,Paramètres!$A$1:$I$89,3,0)*VLOOKUP('Données projet'!$B$9,Paramètres!$A$1:$I$89,5,0)</f>
        <v>259.29279999999989</v>
      </c>
      <c r="P51" s="14">
        <f t="shared" si="33"/>
        <v>62.571607606804193</v>
      </c>
      <c r="Q51" s="22">
        <f t="shared" si="53"/>
        <v>560.58050991518382</v>
      </c>
      <c r="R51" s="62">
        <f t="shared" si="0"/>
        <v>853.9138432485172</v>
      </c>
      <c r="S51" s="62">
        <f ca="1">AVERAGE(OFFSET($R$3,0,0,'Données projet'!$E$9+1,1))-AVERAGE(OFFSET($H$3,0,0,'Données projet'!$E$9+1,1))</f>
        <v>276.05121228874452</v>
      </c>
      <c r="T51" s="62">
        <f t="shared" si="34"/>
        <v>319.89882768207553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26.480756471312837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2.1766074045538306</v>
      </c>
      <c r="AC51" s="24">
        <f t="shared" si="3"/>
        <v>28.657363875866668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8.8571428571428577</v>
      </c>
      <c r="AI51" s="14">
        <f>IF('Données projet'!$A$62&gt;35,AI50+AH51-AQ50,IF(A51&lt;'Données projet'!$A$62,$AF$205^A51,IF(A51='Données projet'!$A$62,'Données projet'!$B$62,AI50+AH51-AQ50)))</f>
        <v>369.85714285714261</v>
      </c>
      <c r="AJ51" s="14">
        <f>AI51*VLOOKUP('Données projet'!$B$10,Paramètres!$A$1:$I$89,3,0)*VLOOKUP('Données projet'!$B$10,Paramètres!$A$1:$I$89,5,0)</f>
        <v>221.17457142857128</v>
      </c>
      <c r="AK51" s="14">
        <f t="shared" si="35"/>
        <v>54.370093849634038</v>
      </c>
      <c r="AL51" s="22">
        <f t="shared" si="4"/>
        <v>479.9069586928743</v>
      </c>
      <c r="AM51" s="62">
        <f t="shared" si="5"/>
        <v>773.24029202620761</v>
      </c>
      <c r="AN51" s="62">
        <f ca="1">AVERAGE(OFFSET($AM$3,0,0,'Données projet'!$E$10+1,1))-AVERAGE(OFFSET($H$3,0,0,'Données projet'!$E$10+1,1))</f>
        <v>211.38734697794843</v>
      </c>
      <c r="AO51" s="62">
        <f t="shared" si="36"/>
        <v>239.85955661394541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24.409277454755607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2.0191164074253951</v>
      </c>
      <c r="AX51" s="23">
        <f t="shared" si="6"/>
        <v>26.428393862181004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18.7</v>
      </c>
      <c r="N52" s="14">
        <f>IF('Données projet'!$A$36&gt;35,N51+M52-V51,IF(A52&lt;'Données projet'!$A$36,$K$205^A52,IF(A52='Données projet'!$A$36,'Données projet'!$B$36,N51+M52-V51)))</f>
        <v>452.29999999999978</v>
      </c>
      <c r="O52" s="14">
        <f>N52*VLOOKUP('Données projet'!$B$9,Paramètres!$A$1:$I$89,3,0)*VLOOKUP('Données projet'!$B$9,Paramètres!$A$1:$I$89,5,0)</f>
        <v>270.47539999999987</v>
      </c>
      <c r="P52" s="14">
        <f t="shared" si="33"/>
        <v>64.950150833991188</v>
      </c>
      <c r="Q52" s="22">
        <f t="shared" si="53"/>
        <v>584.19950103586768</v>
      </c>
      <c r="R52" s="62">
        <f t="shared" si="0"/>
        <v>877.53283436920105</v>
      </c>
      <c r="S52" s="62">
        <f ca="1">AVERAGE(OFFSET($R$3,0,0,'Données projet'!$E$9+1,1))-AVERAGE(OFFSET($H$3,0,0,'Données projet'!$E$9+1,1))</f>
        <v>276.05121228874452</v>
      </c>
      <c r="T52" s="62">
        <f t="shared" si="34"/>
        <v>319.89882768207553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25.961484988576995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1.5390938557408647</v>
      </c>
      <c r="AC52" s="24">
        <f t="shared" si="3"/>
        <v>27.500578844317861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8.8571428571428577</v>
      </c>
      <c r="AI52" s="14">
        <f>IF('Données projet'!$A$62&gt;35,AI51+AH52-AQ51,IF(A52&lt;'Données projet'!$A$62,$AF$205^A52,IF(A52='Données projet'!$A$62,'Données projet'!$B$62,AI51+AH52-AQ51)))</f>
        <v>378.71428571428544</v>
      </c>
      <c r="AJ52" s="14">
        <f>AI52*VLOOKUP('Données projet'!$B$10,Paramètres!$A$1:$I$89,3,0)*VLOOKUP('Données projet'!$B$10,Paramètres!$A$1:$I$89,5,0)</f>
        <v>226.47114285714269</v>
      </c>
      <c r="AK52" s="14">
        <f t="shared" si="35"/>
        <v>55.518974846840045</v>
      </c>
      <c r="AL52" s="22">
        <f t="shared" si="4"/>
        <v>491.13278833443655</v>
      </c>
      <c r="AM52" s="62">
        <f t="shared" si="5"/>
        <v>784.46612166776981</v>
      </c>
      <c r="AN52" s="62">
        <f ca="1">AVERAGE(OFFSET($AM$3,0,0,'Données projet'!$E$10+1,1))-AVERAGE(OFFSET($H$3,0,0,'Données projet'!$E$10+1,1))</f>
        <v>211.38734697794843</v>
      </c>
      <c r="AO52" s="62">
        <f t="shared" si="36"/>
        <v>239.85955661394541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23.930626412057009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1.4277309036955168</v>
      </c>
      <c r="AX52" s="23">
        <f t="shared" si="6"/>
        <v>25.358357315752524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471</v>
      </c>
      <c r="L53" s="13">
        <f>VLOOKUP(A53,'Données projet'!$A$35:$I$55,9,0)</f>
        <v>18.7</v>
      </c>
      <c r="M53" s="13">
        <f t="array" ref="M53">INDEX(L:L,MIN(IF(ISNUMBER(L53:L249),ROW(L53:L249),"")))</f>
        <v>18.7</v>
      </c>
      <c r="N53" s="14">
        <f>IF('Données projet'!$A$36&gt;35,N52+M53-V52,IF(A53&lt;'Données projet'!$A$36,$K$205^A53,IF(A53='Données projet'!$A$36,'Données projet'!$B$36,N52+M53-V52)))</f>
        <v>470.99999999999977</v>
      </c>
      <c r="O53" s="14">
        <f>N53*VLOOKUP('Données projet'!$B$9,Paramètres!$A$1:$I$89,3,0)*VLOOKUP('Données projet'!$B$9,Paramètres!$A$1:$I$89,5,0)</f>
        <v>281.6579999999999</v>
      </c>
      <c r="P53" s="14">
        <f t="shared" si="33"/>
        <v>67.317271456706166</v>
      </c>
      <c r="Q53" s="22">
        <f t="shared" si="53"/>
        <v>607.79859778709636</v>
      </c>
      <c r="R53" s="62">
        <f t="shared" si="0"/>
        <v>901.13193112042973</v>
      </c>
      <c r="S53" s="62">
        <f ca="1">AVERAGE(OFFSET($R$3,0,0,'Données projet'!$E$9+1,1))-AVERAGE(OFFSET($H$3,0,0,'Données projet'!$E$9+1,1))</f>
        <v>276.05121228874452</v>
      </c>
      <c r="T53" s="62">
        <f t="shared" si="34"/>
        <v>319.89882768207553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104</v>
      </c>
      <c r="W53" s="17">
        <f>IF(ISNA(VLOOKUP(A53,'Données projet'!$A$35:$I$55,5,0)),0%,VLOOKUP(A53,'Données projet'!$A$35:$I$55,5,0)*VLOOKUP('Données projet'!$B$9,Paramètres!$A$1:$I$89,7,0))</f>
        <v>0.27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0.4</v>
      </c>
      <c r="Z53" s="23">
        <f>EXP(-LN(2)/35)*Z52+(1-EXP(-LN(2)/35))/(LN(2)/35)*V53*W53*VLOOKUP('Données projet'!$B$9,Paramètres!$A$1:$I$89,3,0)*0.475*44/12</f>
        <v>47.72785418832116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29.254620121383297</v>
      </c>
      <c r="AC53" s="24">
        <f t="shared" si="3"/>
        <v>76.982474309704457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8.8571428571428577</v>
      </c>
      <c r="AI53" s="14">
        <f>IF('Données projet'!$A$62&gt;35,AI52+AH53-AQ52,IF(A53&lt;'Données projet'!$A$62,$AF$205^A53,IF(A53='Données projet'!$A$62,'Données projet'!$B$62,AI52+AH53-AQ52)))</f>
        <v>387.57142857142827</v>
      </c>
      <c r="AJ53" s="14">
        <f>AI53*VLOOKUP('Données projet'!$B$10,Paramètres!$A$1:$I$89,3,0)*VLOOKUP('Données projet'!$B$10,Paramètres!$A$1:$I$89,5,0)</f>
        <v>231.76771428571413</v>
      </c>
      <c r="AK53" s="14">
        <f t="shared" si="35"/>
        <v>56.664732205095767</v>
      </c>
      <c r="AL53" s="22">
        <f t="shared" si="4"/>
        <v>502.35317763816056</v>
      </c>
      <c r="AM53" s="62">
        <f t="shared" si="5"/>
        <v>795.68651097149382</v>
      </c>
      <c r="AN53" s="62">
        <f ca="1">AVERAGE(OFFSET($AM$3,0,0,'Données projet'!$E$10+1,1))-AVERAGE(OFFSET($H$3,0,0,'Données projet'!$E$10+1,1))</f>
        <v>211.38734697794843</v>
      </c>
      <c r="AO53" s="62">
        <f t="shared" si="36"/>
        <v>239.85955661394541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23.461361424357424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1.0095582037126976</v>
      </c>
      <c r="AX53" s="23">
        <f t="shared" si="6"/>
        <v>24.470919628070121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17.866666666666667</v>
      </c>
      <c r="N54" s="14">
        <f>IF('Données projet'!$A$36&gt;35,N53+M54-V53,IF(A54&lt;'Données projet'!$A$36,$K$205^A54,IF(A54='Données projet'!$A$36,'Données projet'!$B$36,N53+M54-V53)))</f>
        <v>384.86666666666645</v>
      </c>
      <c r="O54" s="14">
        <f>N54*VLOOKUP('Données projet'!$B$9,Paramètres!$A$1:$I$89,3,0)*VLOOKUP('Données projet'!$B$9,Paramètres!$A$1:$I$89,5,0)</f>
        <v>230.15026666666657</v>
      </c>
      <c r="P54" s="14">
        <f t="shared" si="33"/>
        <v>56.315171462565765</v>
      </c>
      <c r="Q54" s="22">
        <f t="shared" si="53"/>
        <v>498.92730474174624</v>
      </c>
      <c r="R54" s="62">
        <f t="shared" si="0"/>
        <v>792.26063807507956</v>
      </c>
      <c r="S54" s="62">
        <f ca="1">AVERAGE(OFFSET($R$3,0,0,'Données projet'!$E$9+1,1))-AVERAGE(OFFSET($H$3,0,0,'Données projet'!$E$9+1,1))</f>
        <v>276.05121228874452</v>
      </c>
      <c r="T54" s="62">
        <f t="shared" si="34"/>
        <v>319.89882768207553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46.79194007880475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20.686140268866552</v>
      </c>
      <c r="AC54" s="24">
        <f t="shared" si="3"/>
        <v>67.478080347671295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8.8571428571428577</v>
      </c>
      <c r="AI54" s="14">
        <f>IF('Données projet'!$A$62&gt;35,AI53+AH54-AQ53,IF(A54&lt;'Données projet'!$A$62,$AF$205^A54,IF(A54='Données projet'!$A$62,'Données projet'!$B$62,AI53+AH54-AQ53)))</f>
        <v>396.4285714285711</v>
      </c>
      <c r="AJ54" s="14">
        <f>AI54*VLOOKUP('Données projet'!$B$10,Paramètres!$A$1:$I$89,3,0)*VLOOKUP('Données projet'!$B$10,Paramètres!$A$1:$I$89,5,0)</f>
        <v>237.06428571428555</v>
      </c>
      <c r="AK54" s="14">
        <f t="shared" si="35"/>
        <v>57.807445525938597</v>
      </c>
      <c r="AL54" s="22">
        <f t="shared" si="4"/>
        <v>513.56826524339033</v>
      </c>
      <c r="AM54" s="62">
        <f t="shared" si="5"/>
        <v>806.9015985767237</v>
      </c>
      <c r="AN54" s="62">
        <f ca="1">AVERAGE(OFFSET($AM$3,0,0,'Données projet'!$E$10+1,1))-AVERAGE(OFFSET($H$3,0,0,'Données projet'!$E$10+1,1))</f>
        <v>211.38734697794843</v>
      </c>
      <c r="AO54" s="62">
        <f t="shared" si="36"/>
        <v>239.85955661394541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23.001298436843246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0.7138654518477584</v>
      </c>
      <c r="AX54" s="23">
        <f t="shared" si="6"/>
        <v>23.715163888691006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17.866666666666667</v>
      </c>
      <c r="N55" s="14">
        <f>IF('Données projet'!$A$36&gt;35,N54+M55-V54,IF(A55&lt;'Données projet'!$A$36,$K$205^A55,IF(A55='Données projet'!$A$36,'Données projet'!$B$36,N54+M55-V54)))</f>
        <v>402.73333333333312</v>
      </c>
      <c r="O55" s="14">
        <f>N55*VLOOKUP('Données projet'!$B$9,Paramètres!$A$1:$I$89,3,0)*VLOOKUP('Données projet'!$B$9,Paramètres!$A$1:$I$89,5,0)</f>
        <v>240.83453333333321</v>
      </c>
      <c r="P55" s="14">
        <f t="shared" si="33"/>
        <v>58.619048104050478</v>
      </c>
      <c r="Q55" s="22">
        <f t="shared" si="53"/>
        <v>521.54832100344322</v>
      </c>
      <c r="R55" s="62">
        <f t="shared" si="0"/>
        <v>814.88165433677659</v>
      </c>
      <c r="S55" s="62">
        <f ca="1">AVERAGE(OFFSET($R$3,0,0,'Données projet'!$E$9+1,1))-AVERAGE(OFFSET($H$3,0,0,'Données projet'!$E$9+1,1))</f>
        <v>276.05121228874452</v>
      </c>
      <c r="T55" s="62">
        <f t="shared" si="34"/>
        <v>319.89882768207553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45.874378674124721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14.627310060691652</v>
      </c>
      <c r="AC55" s="24">
        <f t="shared" si="3"/>
        <v>60.501688734816369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8.8571428571428577</v>
      </c>
      <c r="AI55" s="14">
        <f>IF('Données projet'!$A$62&gt;35,AI54+AH55-AQ54,IF(A55&lt;'Données projet'!$A$62,$AF$205^A55,IF(A55='Données projet'!$A$62,'Données projet'!$B$62,AI54+AH55-AQ54)))</f>
        <v>405.28571428571394</v>
      </c>
      <c r="AJ55" s="14">
        <f>AI55*VLOOKUP('Données projet'!$B$10,Paramètres!$A$1:$I$89,3,0)*VLOOKUP('Données projet'!$B$10,Paramètres!$A$1:$I$89,5,0)</f>
        <v>242.36085714285696</v>
      </c>
      <c r="AK55" s="14">
        <f t="shared" si="35"/>
        <v>58.94719065087024</v>
      </c>
      <c r="AL55" s="22">
        <f t="shared" si="4"/>
        <v>524.77818324074155</v>
      </c>
      <c r="AM55" s="62">
        <f t="shared" si="5"/>
        <v>818.11151657407481</v>
      </c>
      <c r="AN55" s="62">
        <f ca="1">AVERAGE(OFFSET($AM$3,0,0,'Données projet'!$E$10+1,1))-AVERAGE(OFFSET($H$3,0,0,'Données projet'!$E$10+1,1))</f>
        <v>211.38734697794843</v>
      </c>
      <c r="AO55" s="62">
        <f t="shared" si="36"/>
        <v>239.85955661394541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22.550257003903507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0.50477910185634878</v>
      </c>
      <c r="AX55" s="23">
        <f t="shared" si="6"/>
        <v>23.055036105759857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17.866666666666667</v>
      </c>
      <c r="N56" s="14">
        <f>IF('Données projet'!$A$36&gt;35,N55+M56-V55,IF(A56&lt;'Données projet'!$A$36,$K$205^A56,IF(A56='Données projet'!$A$36,'Données projet'!$B$36,N55+M56-V55)))</f>
        <v>420.5999999999998</v>
      </c>
      <c r="O56" s="14">
        <f>N56*VLOOKUP('Données projet'!$B$9,Paramètres!$A$1:$I$89,3,0)*VLOOKUP('Données projet'!$B$9,Paramètres!$A$1:$I$89,5,0)</f>
        <v>251.51879999999989</v>
      </c>
      <c r="P56" s="14">
        <f t="shared" si="33"/>
        <v>60.911054279476872</v>
      </c>
      <c r="Q56" s="22">
        <f t="shared" si="53"/>
        <v>544.14866287008874</v>
      </c>
      <c r="R56" s="62">
        <f t="shared" si="0"/>
        <v>837.48199620342211</v>
      </c>
      <c r="S56" s="62">
        <f ca="1">AVERAGE(OFFSET($R$3,0,0,'Données projet'!$E$9+1,1))-AVERAGE(OFFSET($H$3,0,0,'Données projet'!$E$9+1,1))</f>
        <v>276.05121228874452</v>
      </c>
      <c r="T56" s="62">
        <f t="shared" si="34"/>
        <v>319.89882768207553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44.974810088933268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10.343070134433278</v>
      </c>
      <c r="AC56" s="24">
        <f t="shared" si="3"/>
        <v>55.317880223366544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8.8571428571428577</v>
      </c>
      <c r="AI56" s="14">
        <f>IF('Données projet'!$A$62&gt;35,AI55+AH56-AQ55,IF(A56&lt;'Données projet'!$A$62,$AF$205^A56,IF(A56='Données projet'!$A$62,'Données projet'!$B$62,AI55+AH56-AQ55)))</f>
        <v>414.14285714285677</v>
      </c>
      <c r="AJ56" s="14">
        <f>AI56*VLOOKUP('Données projet'!$B$10,Paramètres!$A$1:$I$89,3,0)*VLOOKUP('Données projet'!$B$10,Paramètres!$A$1:$I$89,5,0)</f>
        <v>247.65742857142837</v>
      </c>
      <c r="AK56" s="14">
        <f t="shared" si="35"/>
        <v>60.084039917194382</v>
      </c>
      <c r="AL56" s="22">
        <f t="shared" si="4"/>
        <v>535.98305761768449</v>
      </c>
      <c r="AM56" s="62">
        <f t="shared" si="5"/>
        <v>829.31639095101787</v>
      </c>
      <c r="AN56" s="62">
        <f ca="1">AVERAGE(OFFSET($AM$3,0,0,'Données projet'!$E$10+1,1))-AVERAGE(OFFSET($H$3,0,0,'Données projet'!$E$10+1,1))</f>
        <v>211.38734697794843</v>
      </c>
      <c r="AO56" s="62">
        <f t="shared" si="36"/>
        <v>239.85955661394541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22.108060218355607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0.3569327259238792</v>
      </c>
      <c r="AX56" s="23">
        <f t="shared" si="6"/>
        <v>22.464992944279487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17.866666666666667</v>
      </c>
      <c r="N57" s="14">
        <f>IF('Données projet'!$A$36&gt;35,N56+M57-V56,IF(A57&lt;'Données projet'!$A$36,$K$205^A57,IF(A57='Données projet'!$A$36,'Données projet'!$B$36,N56+M57-V56)))</f>
        <v>438.46666666666647</v>
      </c>
      <c r="O57" s="14">
        <f>N57*VLOOKUP('Données projet'!$B$9,Paramètres!$A$1:$I$89,3,0)*VLOOKUP('Données projet'!$B$9,Paramètres!$A$1:$I$89,5,0)</f>
        <v>262.20306666666659</v>
      </c>
      <c r="P57" s="14">
        <f t="shared" si="33"/>
        <v>63.191751883873572</v>
      </c>
      <c r="Q57" s="22">
        <f t="shared" si="53"/>
        <v>566.72930897552408</v>
      </c>
      <c r="R57" s="62">
        <f t="shared" si="0"/>
        <v>860.06264230885745</v>
      </c>
      <c r="S57" s="62">
        <f ca="1">AVERAGE(OFFSET($R$3,0,0,'Données projet'!$E$9+1,1))-AVERAGE(OFFSET($H$3,0,0,'Données projet'!$E$9+1,1))</f>
        <v>276.05121228874452</v>
      </c>
      <c r="T57" s="62">
        <f t="shared" si="34"/>
        <v>319.89882768207553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44.092881495014765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7.313655030345827</v>
      </c>
      <c r="AC57" s="24">
        <f t="shared" si="3"/>
        <v>51.406536525360593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423</v>
      </c>
      <c r="AG57" s="13">
        <f>VLOOKUP(A57,'Données projet'!$A$61:$I$81,9,0)</f>
        <v>8.8571428571428577</v>
      </c>
      <c r="AH57" s="13">
        <f t="array" ref="AH57">INDEX(AG:AG,MIN(IF(ISNUMBER(AG57:AG253),ROW(AG57:AG253),"")))</f>
        <v>8.8571428571428577</v>
      </c>
      <c r="AI57" s="14">
        <f>IF('Données projet'!$A$62&gt;35,AI56+AH57-AQ56,IF(A57&lt;'Données projet'!$A$62,$AF$205^A57,IF(A57='Données projet'!$A$62,'Données projet'!$B$62,AI56+AH57-AQ56)))</f>
        <v>422.9999999999996</v>
      </c>
      <c r="AJ57" s="14">
        <f>AI57*VLOOKUP('Données projet'!$B$10,Paramètres!$A$1:$I$89,3,0)*VLOOKUP('Données projet'!$B$10,Paramètres!$A$1:$I$89,5,0)</f>
        <v>252.95399999999978</v>
      </c>
      <c r="AK57" s="14">
        <f t="shared" si="35"/>
        <v>61.218062391350024</v>
      </c>
      <c r="AL57" s="22">
        <f t="shared" si="4"/>
        <v>547.18300866493428</v>
      </c>
      <c r="AM57" s="62">
        <f t="shared" si="5"/>
        <v>840.51634199826754</v>
      </c>
      <c r="AN57" s="62">
        <f ca="1">AVERAGE(OFFSET($AM$3,0,0,'Données projet'!$E$10+1,1))-AVERAGE(OFFSET($H$3,0,0,'Données projet'!$E$10+1,1))</f>
        <v>211.38734697794843</v>
      </c>
      <c r="AO57" s="62">
        <f t="shared" si="36"/>
        <v>239.85955661394541</v>
      </c>
      <c r="AP57" s="16" t="str">
        <f>IF(ISNA(VLOOKUP(A57,'Données projet'!$A$61:$I$81,3,0)),0,VLOOKUP(A57,'Données projet'!$A$61:$I$81,3,0))</f>
        <v>CR</v>
      </c>
      <c r="AQ57" s="16">
        <f>IF(ISNA(VLOOKUP(A57,'Données projet'!$A$61:$I$81,4,0)),0,VLOOKUP(A57,'Données projet'!$A$61:$I$81,4,0))</f>
        <v>423</v>
      </c>
      <c r="AR57" s="17">
        <f>IF(ISNA(VLOOKUP(A57,'Données projet'!$A$61:$I$81,5,0)),0%,VLOOKUP(A57,'Données projet'!$A$61:$I$81,5,0)*VLOOKUP('Données projet'!$B$10,Paramètres!$A$1:$I$89,7,0))</f>
        <v>0.40500000000000003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0.1</v>
      </c>
      <c r="AU57" s="23">
        <f>EXP(-LN(2)/35)*AU56+(1-EXP(-LN(2)/35))/(LN(2)/35)*AQ57*AR57*VLOOKUP('Données projet'!$B$10,Paramètres!$A$1:$I$89,3,0)*0.475*44/12</f>
        <v>157.57624767286651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28.892658409779145</v>
      </c>
      <c r="AX57" s="23">
        <f t="shared" si="6"/>
        <v>186.46890608264567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17.866666666666667</v>
      </c>
      <c r="N58" s="14">
        <f>IF('Données projet'!$A$36&gt;35,N57+M58-V57,IF(A58&lt;'Données projet'!$A$36,$K$205^A58,IF(A58='Données projet'!$A$36,'Données projet'!$B$36,N57+M58-V57)))</f>
        <v>456.33333333333314</v>
      </c>
      <c r="O58" s="14">
        <f>N58*VLOOKUP('Données projet'!$B$9,Paramètres!$A$1:$I$89,3,0)*VLOOKUP('Données projet'!$B$9,Paramètres!$A$1:$I$89,5,0)</f>
        <v>272.88733333333323</v>
      </c>
      <c r="P58" s="14">
        <f t="shared" si="33"/>
        <v>65.461654428593135</v>
      </c>
      <c r="Q58" s="22">
        <f t="shared" si="53"/>
        <v>589.29115368535508</v>
      </c>
      <c r="R58" s="62">
        <f t="shared" si="0"/>
        <v>882.62448701868834</v>
      </c>
      <c r="S58" s="62">
        <f ca="1">AVERAGE(OFFSET($R$3,0,0,'Données projet'!$E$9+1,1))-AVERAGE(OFFSET($H$3,0,0,'Données projet'!$E$9+1,1))</f>
        <v>276.05121228874452</v>
      </c>
      <c r="T58" s="62">
        <f t="shared" si="34"/>
        <v>319.89882768207553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43.228246982899677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5.1715350672166398</v>
      </c>
      <c r="AC58" s="24">
        <f t="shared" si="3"/>
        <v>48.399782050116315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-3.979039320256561E-13</v>
      </c>
      <c r="AJ58" s="14">
        <f>AI58*VLOOKUP('Données projet'!$B$10,Paramètres!$A$1:$I$89,3,0)*VLOOKUP('Données projet'!$B$10,Paramètres!$A$1:$I$89,5,0)</f>
        <v>-2.379465513513424E-13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211.38734697794843</v>
      </c>
      <c r="AO58" s="62">
        <f t="shared" si="36"/>
        <v>239.85955661394541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154.4862735680224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20.430194688061366</v>
      </c>
      <c r="AX58" s="23">
        <f t="shared" si="6"/>
        <v>174.91646825608376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17.866666666666667</v>
      </c>
      <c r="N59" s="14">
        <f>IF('Données projet'!$A$36&gt;35,N58+M59-V58,IF(A59&lt;'Données projet'!$A$36,$K$205^A59,IF(A59='Données projet'!$A$36,'Données projet'!$B$36,N58+M59-V58)))</f>
        <v>474.19999999999982</v>
      </c>
      <c r="O59" s="14">
        <f>N59*VLOOKUP('Données projet'!$B$9,Paramètres!$A$1:$I$89,3,0)*VLOOKUP('Données projet'!$B$9,Paramètres!$A$1:$I$89,5,0)</f>
        <v>283.57159999999993</v>
      </c>
      <c r="P59" s="14">
        <f t="shared" si="33"/>
        <v>67.721232937650669</v>
      </c>
      <c r="Q59" s="22">
        <f t="shared" si="53"/>
        <v>611.83501736640812</v>
      </c>
      <c r="R59" s="62">
        <f t="shared" si="0"/>
        <v>905.1683506997415</v>
      </c>
      <c r="S59" s="62">
        <f ca="1">AVERAGE(OFFSET($R$3,0,0,'Données projet'!$E$9+1,1))-AVERAGE(OFFSET($H$3,0,0,'Données projet'!$E$9+1,1))</f>
        <v>276.05121228874452</v>
      </c>
      <c r="T59" s="62">
        <f t="shared" si="34"/>
        <v>319.89882768207553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42.380567426192187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3.6568275151729139</v>
      </c>
      <c r="AC59" s="24">
        <f t="shared" si="3"/>
        <v>46.0373949413651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-3.979039320256561E-13</v>
      </c>
      <c r="AJ59" s="14">
        <f>AI59*VLOOKUP('Données projet'!$B$10,Paramètres!$A$1:$I$89,3,0)*VLOOKUP('Données projet'!$B$10,Paramètres!$A$1:$I$89,5,0)</f>
        <v>-2.379465513513424E-13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211.38734697794843</v>
      </c>
      <c r="AO59" s="62">
        <f t="shared" si="36"/>
        <v>239.85955661394541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151.45689197067617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14.446329204889576</v>
      </c>
      <c r="AX59" s="23">
        <f t="shared" si="6"/>
        <v>165.90322117556573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17.866666666666667</v>
      </c>
      <c r="N60" s="14">
        <f>IF('Données projet'!$A$36&gt;35,N59+M60-V59,IF(A60&lt;'Données projet'!$A$36,$K$205^A60,IF(A60='Données projet'!$A$36,'Données projet'!$B$36,N59+M60-V59)))</f>
        <v>492.06666666666649</v>
      </c>
      <c r="O60" s="14">
        <f>N60*VLOOKUP('Données projet'!$B$9,Paramètres!$A$1:$I$89,3,0)*VLOOKUP('Données projet'!$B$9,Paramètres!$A$1:$I$89,5,0)</f>
        <v>294.25586666666658</v>
      </c>
      <c r="P60" s="14">
        <f t="shared" si="33"/>
        <v>69.970920930437728</v>
      </c>
      <c r="Q60" s="22">
        <f t="shared" si="53"/>
        <v>634.36165506495661</v>
      </c>
      <c r="R60" s="62">
        <f t="shared" si="0"/>
        <v>927.69498839828998</v>
      </c>
      <c r="S60" s="62">
        <f ca="1">AVERAGE(OFFSET($R$3,0,0,'Données projet'!$E$9+1,1))-AVERAGE(OFFSET($H$3,0,0,'Données projet'!$E$9+1,1))</f>
        <v>276.05121228874452</v>
      </c>
      <c r="T60" s="62">
        <f t="shared" si="34"/>
        <v>319.89882768207553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41.54951034855825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2.5857675336083203</v>
      </c>
      <c r="AC60" s="24">
        <f t="shared" si="3"/>
        <v>44.135277882166569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-3.979039320256561E-13</v>
      </c>
      <c r="AJ60" s="14">
        <f>AI60*VLOOKUP('Données projet'!$B$10,Paramètres!$A$1:$I$89,3,0)*VLOOKUP('Données projet'!$B$10,Paramètres!$A$1:$I$89,5,0)</f>
        <v>-2.379465513513424E-13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211.38734697794843</v>
      </c>
      <c r="AO60" s="62">
        <f t="shared" si="36"/>
        <v>239.85955661394541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148.48691469871358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10.215097344030685</v>
      </c>
      <c r="AX60" s="23">
        <f t="shared" si="6"/>
        <v>158.70201204274426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17.866666666666667</v>
      </c>
      <c r="N61" s="14">
        <f>IF('Données projet'!$A$36&gt;35,N60+M61-V60,IF(A61&lt;'Données projet'!$A$36,$K$205^A61,IF(A61='Données projet'!$A$36,'Données projet'!$B$36,N60+M61-V60)))</f>
        <v>509.93333333333317</v>
      </c>
      <c r="O61" s="14">
        <f>N61*VLOOKUP('Données projet'!$B$9,Paramètres!$A$1:$I$89,3,0)*VLOOKUP('Données projet'!$B$9,Paramètres!$A$1:$I$89,5,0)</f>
        <v>304.94013333333328</v>
      </c>
      <c r="P61" s="14">
        <f t="shared" si="33"/>
        <v>72.211118660419672</v>
      </c>
      <c r="Q61" s="22">
        <f t="shared" si="53"/>
        <v>656.87176388911973</v>
      </c>
      <c r="R61" s="62">
        <f t="shared" si="0"/>
        <v>950.20509722245311</v>
      </c>
      <c r="S61" s="62">
        <f ca="1">AVERAGE(OFFSET($R$3,0,0,'Données projet'!$E$9+1,1))-AVERAGE(OFFSET($H$3,0,0,'Données projet'!$E$9+1,1))</f>
        <v>276.05121228874452</v>
      </c>
      <c r="T61" s="62">
        <f t="shared" si="34"/>
        <v>319.89882768207553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40.734749793321953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1.8284137575864574</v>
      </c>
      <c r="AC61" s="24">
        <f t="shared" si="3"/>
        <v>42.563163550908413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-3.979039320256561E-13</v>
      </c>
      <c r="AJ61" s="14">
        <f>AI61*VLOOKUP('Données projet'!$B$10,Paramètres!$A$1:$I$89,3,0)*VLOOKUP('Données projet'!$B$10,Paramètres!$A$1:$I$89,5,0)</f>
        <v>-2.379465513513424E-13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211.38734697794843</v>
      </c>
      <c r="AO61" s="62">
        <f t="shared" si="36"/>
        <v>239.85955661394541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145.57517686954691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7.2231646024447889</v>
      </c>
      <c r="AX61" s="23">
        <f t="shared" si="6"/>
        <v>152.79834147199171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17.866666666666667</v>
      </c>
      <c r="N62" s="14">
        <f>IF('Données projet'!$A$36&gt;35,N61+M62-V61,IF(A62&lt;'Données projet'!$A$36,$K$205^A62,IF(A62='Données projet'!$A$36,'Données projet'!$B$36,N61+M62-V61)))</f>
        <v>527.79999999999984</v>
      </c>
      <c r="O62" s="14">
        <f>N62*VLOOKUP('Données projet'!$B$9,Paramètres!$A$1:$I$89,3,0)*VLOOKUP('Données projet'!$B$9,Paramètres!$A$1:$I$89,5,0)</f>
        <v>315.62439999999992</v>
      </c>
      <c r="P62" s="14">
        <f t="shared" si="33"/>
        <v>74.442196743091657</v>
      </c>
      <c r="Q62" s="22">
        <f t="shared" si="53"/>
        <v>679.36598932755112</v>
      </c>
      <c r="R62" s="62">
        <f t="shared" si="0"/>
        <v>972.69932266088449</v>
      </c>
      <c r="S62" s="62">
        <f ca="1">AVERAGE(OFFSET($R$3,0,0,'Données projet'!$E$9+1,1))-AVERAGE(OFFSET($H$3,0,0,'Données projet'!$E$9+1,1))</f>
        <v>276.05121228874452</v>
      </c>
      <c r="T62" s="62">
        <f t="shared" si="34"/>
        <v>319.89882768207553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39.935966195618967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1.2928837668041604</v>
      </c>
      <c r="AC62" s="24">
        <f t="shared" si="3"/>
        <v>41.228849962423126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-3.979039320256561E-13</v>
      </c>
      <c r="AJ62" s="14">
        <f>AI62*VLOOKUP('Données projet'!$B$10,Paramètres!$A$1:$I$89,3,0)*VLOOKUP('Données projet'!$B$10,Paramètres!$A$1:$I$89,5,0)</f>
        <v>-2.379465513513424E-13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211.38734697794843</v>
      </c>
      <c r="AO62" s="62">
        <f t="shared" si="36"/>
        <v>239.85955661394541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142.72053644322548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5.1075486720153433</v>
      </c>
      <c r="AX62" s="23">
        <f t="shared" si="6"/>
        <v>147.82808511524084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17.866666666666667</v>
      </c>
      <c r="N63" s="14">
        <f>IF('Données projet'!$A$36&gt;35,N62+M63-V62,IF(A63&lt;'Données projet'!$A$36,$K$205^A63,IF(A63='Données projet'!$A$36,'Données projet'!$B$36,N62+M63-V62)))</f>
        <v>545.66666666666652</v>
      </c>
      <c r="O63" s="14">
        <f>N63*VLOOKUP('Données projet'!$B$9,Paramètres!$A$1:$I$89,3,0)*VLOOKUP('Données projet'!$B$9,Paramètres!$A$1:$I$89,5,0)</f>
        <v>326.30866666666657</v>
      </c>
      <c r="P63" s="14">
        <f t="shared" si="33"/>
        <v>76.664499278892194</v>
      </c>
      <c r="Q63" s="22">
        <f t="shared" si="53"/>
        <v>701.84493068851486</v>
      </c>
      <c r="R63" s="62">
        <f t="shared" si="0"/>
        <v>995.17826402184824</v>
      </c>
      <c r="S63" s="62">
        <f ca="1">AVERAGE(OFFSET($R$3,0,0,'Données projet'!$E$9+1,1))-AVERAGE(OFFSET($H$3,0,0,'Données projet'!$E$9+1,1))</f>
        <v>276.05121228874452</v>
      </c>
      <c r="T63" s="62">
        <f t="shared" si="34"/>
        <v>319.89882768207553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39.15284625705705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0.91420687879322882</v>
      </c>
      <c r="AC63" s="24">
        <f t="shared" si="3"/>
        <v>40.06705313585028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-3.979039320256561E-13</v>
      </c>
      <c r="AJ63" s="14">
        <f>AI63*VLOOKUP('Données projet'!$B$10,Paramètres!$A$1:$I$89,3,0)*VLOOKUP('Données projet'!$B$10,Paramètres!$A$1:$I$89,5,0)</f>
        <v>-2.379465513513424E-13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211.38734697794843</v>
      </c>
      <c r="AO63" s="62">
        <f t="shared" si="36"/>
        <v>239.85955661394541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139.92187377450549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3.6115823012223949</v>
      </c>
      <c r="AX63" s="23">
        <f t="shared" si="6"/>
        <v>143.53345607572788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17.866666666666667</v>
      </c>
      <c r="N64" s="14">
        <f>IF('Données projet'!$A$36&gt;35,N63+M64-V63,IF(A64&lt;'Données projet'!$A$36,$K$205^A64,IF(A64='Données projet'!$A$36,'Données projet'!$B$36,N63+M64-V63)))</f>
        <v>563.53333333333319</v>
      </c>
      <c r="O64" s="14">
        <f>N64*VLOOKUP('Données projet'!$B$9,Paramètres!$A$1:$I$89,3,0)*VLOOKUP('Données projet'!$B$9,Paramètres!$A$1:$I$89,5,0)</f>
        <v>336.99293333333327</v>
      </c>
      <c r="P64" s="14">
        <f t="shared" si="33"/>
        <v>78.878346555615167</v>
      </c>
      <c r="Q64" s="22">
        <f t="shared" si="53"/>
        <v>724.30914580658521</v>
      </c>
      <c r="R64" s="62">
        <f t="shared" si="0"/>
        <v>1017.6424791399186</v>
      </c>
      <c r="S64" s="62">
        <f ca="1">AVERAGE(OFFSET($R$3,0,0,'Données projet'!$E$9+1,1))-AVERAGE(OFFSET($H$3,0,0,'Données projet'!$E$9+1,1))</f>
        <v>276.05121228874452</v>
      </c>
      <c r="T64" s="62">
        <f t="shared" si="34"/>
        <v>319.89882768207553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38.385082822834335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0.64644188340208031</v>
      </c>
      <c r="AC64" s="24">
        <f t="shared" si="3"/>
        <v>39.031524706236418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-3.979039320256561E-13</v>
      </c>
      <c r="AJ64" s="14">
        <f>AI64*VLOOKUP('Données projet'!$B$10,Paramètres!$A$1:$I$89,3,0)*VLOOKUP('Données projet'!$B$10,Paramètres!$A$1:$I$89,5,0)</f>
        <v>-2.379465513513424E-13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211.38734697794843</v>
      </c>
      <c r="AO64" s="62">
        <f t="shared" si="36"/>
        <v>239.85955661394541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137.17809117370342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2.5537743360076721</v>
      </c>
      <c r="AX64" s="23">
        <f t="shared" si="6"/>
        <v>139.7318655097111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17.866666666666667</v>
      </c>
      <c r="N65" s="14">
        <f>IF('Données projet'!$A$36&gt;35,N64+M65-V64,IF(A65&lt;'Données projet'!$A$36,$K$205^A65,IF(A65='Données projet'!$A$36,'Données projet'!$B$36,N64+M65-V64)))</f>
        <v>581.39999999999986</v>
      </c>
      <c r="O65" s="14">
        <f>N65*VLOOKUP('Données projet'!$B$9,Paramètres!$A$1:$I$89,3,0)*VLOOKUP('Données projet'!$B$9,Paramètres!$A$1:$I$89,5,0)</f>
        <v>347.67719999999997</v>
      </c>
      <c r="P65" s="14">
        <f t="shared" si="33"/>
        <v>81.084037398477292</v>
      </c>
      <c r="Q65" s="22">
        <f t="shared" si="53"/>
        <v>746.75915513568123</v>
      </c>
      <c r="R65" s="62">
        <f t="shared" si="0"/>
        <v>1040.0924884690146</v>
      </c>
      <c r="S65" s="62">
        <f ca="1">AVERAGE(OFFSET($R$3,0,0,'Données projet'!$E$9+1,1))-AVERAGE(OFFSET($H$3,0,0,'Données projet'!$E$9+1,1))</f>
        <v>276.05121228874452</v>
      </c>
      <c r="T65" s="62">
        <f t="shared" si="34"/>
        <v>319.89882768207553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37.632374761267272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0.45710343939661452</v>
      </c>
      <c r="AC65" s="24">
        <f t="shared" si="3"/>
        <v>38.089478200663883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-3.979039320256561E-13</v>
      </c>
      <c r="AJ65" s="14">
        <f>AI65*VLOOKUP('Données projet'!$B$10,Paramètres!$A$1:$I$89,3,0)*VLOOKUP('Données projet'!$B$10,Paramètres!$A$1:$I$89,5,0)</f>
        <v>-2.379465513513424E-13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211.38734697794843</v>
      </c>
      <c r="AO65" s="62">
        <f t="shared" si="36"/>
        <v>239.85955661394541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134.48811247616095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1.8057911506111979</v>
      </c>
      <c r="AX65" s="23">
        <f t="shared" si="6"/>
        <v>136.29390362677213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17.866666666666667</v>
      </c>
      <c r="N66" s="14">
        <f>IF('Données projet'!$A$36&gt;35,N65+M66-V65,IF(A66&lt;'Données projet'!$A$36,$K$205^A66,IF(A66='Données projet'!$A$36,'Données projet'!$B$36,N65+M66-V65)))</f>
        <v>599.26666666666654</v>
      </c>
      <c r="O66" s="14">
        <f>N66*VLOOKUP('Données projet'!$B$9,Paramètres!$A$1:$I$89,3,0)*VLOOKUP('Données projet'!$B$9,Paramètres!$A$1:$I$89,5,0)</f>
        <v>358.36146666666662</v>
      </c>
      <c r="P66" s="14">
        <f t="shared" si="33"/>
        <v>83.281851223195872</v>
      </c>
      <c r="Q66" s="22">
        <f t="shared" si="53"/>
        <v>769.19544532484372</v>
      </c>
      <c r="R66" s="62">
        <f t="shared" si="0"/>
        <v>1062.5287786581771</v>
      </c>
      <c r="S66" s="62">
        <f ca="1">AVERAGE(OFFSET($R$3,0,0,'Données projet'!$E$9+1,1))-AVERAGE(OFFSET($H$3,0,0,'Données projet'!$E$9+1,1))</f>
        <v>276.05121228874452</v>
      </c>
      <c r="T66" s="62">
        <f t="shared" si="34"/>
        <v>319.89882768207553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36.894426845680954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0.32322094170104021</v>
      </c>
      <c r="AC66" s="24">
        <f t="shared" si="3"/>
        <v>37.217647787381992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-3.979039320256561E-13</v>
      </c>
      <c r="AJ66" s="14">
        <f>AI66*VLOOKUP('Données projet'!$B$10,Paramètres!$A$1:$I$89,3,0)*VLOOKUP('Données projet'!$B$10,Paramètres!$A$1:$I$89,5,0)</f>
        <v>-2.379465513513424E-13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211.38734697794843</v>
      </c>
      <c r="AO66" s="62">
        <f t="shared" si="36"/>
        <v>239.85955661394541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131.85088262015228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1.2768871680038363</v>
      </c>
      <c r="AX66" s="23">
        <f t="shared" si="6"/>
        <v>133.12776978815612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17.866666666666667</v>
      </c>
      <c r="N67" s="14">
        <f>IF('Données projet'!$A$36&gt;35,N66+M67-V66,IF(A67&lt;'Données projet'!$A$36,$K$205^A67,IF(A67='Données projet'!$A$36,'Données projet'!$B$36,N66+M67-V66)))</f>
        <v>617.13333333333321</v>
      </c>
      <c r="O67" s="14">
        <f>N67*VLOOKUP('Données projet'!$B$9,Paramètres!$A$1:$I$89,3,0)*VLOOKUP('Données projet'!$B$9,Paramètres!$A$1:$I$89,5,0)</f>
        <v>369.04573333333332</v>
      </c>
      <c r="P67" s="14">
        <f t="shared" si="33"/>
        <v>85.472049837343363</v>
      </c>
      <c r="Q67" s="22">
        <f t="shared" ref="Q67:Q98" si="54">(O67+P67)*0.475*44/12</f>
        <v>791.61847235559526</v>
      </c>
      <c r="R67" s="62">
        <f t="shared" ref="R67:R130" si="55">Q67+(I67+J67)*44/12</f>
        <v>1084.9518056889285</v>
      </c>
      <c r="S67" s="62">
        <f ca="1">AVERAGE(OFFSET($R$3,0,0,'Données projet'!$E$9+1,1))-AVERAGE(OFFSET($H$3,0,0,'Données projet'!$E$9+1,1))</f>
        <v>276.05121228874452</v>
      </c>
      <c r="T67" s="62">
        <f t="shared" si="34"/>
        <v>319.89882768207553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36.170949638615504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0.22855171969830729</v>
      </c>
      <c r="AC67" s="24">
        <f t="shared" si="3"/>
        <v>36.399501358313813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-3.979039320256561E-13</v>
      </c>
      <c r="AJ67" s="14">
        <f>AI67*VLOOKUP('Données projet'!$B$10,Paramètres!$A$1:$I$89,3,0)*VLOOKUP('Données projet'!$B$10,Paramètres!$A$1:$I$89,5,0)</f>
        <v>-2.379465513513424E-13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211.38734697794843</v>
      </c>
      <c r="AO67" s="62">
        <f t="shared" si="36"/>
        <v>239.85955661394541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129.26536723306856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0.90289557530559905</v>
      </c>
      <c r="AX67" s="23">
        <f t="shared" si="6"/>
        <v>130.16826280837415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635</v>
      </c>
      <c r="L68" s="13">
        <f>VLOOKUP(A68,'Données projet'!$A$35:$I$55,9,0)</f>
        <v>17.866666666666667</v>
      </c>
      <c r="M68" s="13">
        <f t="array" ref="M68">INDEX(L:L,MIN(IF(ISNUMBER(L68:L264),ROW(L68:L264),"")))</f>
        <v>17.866666666666667</v>
      </c>
      <c r="N68" s="14">
        <f>IF('Données projet'!$A$36&gt;35,N67+M68-V67,IF(A68&lt;'Données projet'!$A$36,$K$205^A68,IF(A68='Données projet'!$A$36,'Données projet'!$B$36,N67+M68-V67)))</f>
        <v>634.99999999999989</v>
      </c>
      <c r="O68" s="14">
        <f>N68*VLOOKUP('Données projet'!$B$9,Paramètres!$A$1:$I$89,3,0)*VLOOKUP('Données projet'!$B$9,Paramètres!$A$1:$I$89,5,0)</f>
        <v>379.72999999999996</v>
      </c>
      <c r="P68" s="14">
        <f t="shared" si="33"/>
        <v>87.654879027234486</v>
      </c>
      <c r="Q68" s="22">
        <f t="shared" si="54"/>
        <v>814.0286643057666</v>
      </c>
      <c r="R68" s="62">
        <f t="shared" si="55"/>
        <v>1107.3619976390999</v>
      </c>
      <c r="S68" s="62">
        <f ca="1">AVERAGE(OFFSET($R$3,0,0,'Données projet'!$E$9+1,1))-AVERAGE(OFFSET($H$3,0,0,'Données projet'!$E$9+1,1))</f>
        <v>276.05121228874452</v>
      </c>
      <c r="T68" s="62">
        <f t="shared" si="34"/>
        <v>319.89882768207553</v>
      </c>
      <c r="U68" s="16" t="str">
        <f>IF(ISNA(VLOOKUP(A68,'Données projet'!$A$35:$I$55,3,0)),0,VLOOKUP(A68,'Données projet'!$A$35:$I$55,3,0))</f>
        <v>CR</v>
      </c>
      <c r="V68" s="16">
        <f>IF(ISNA(VLOOKUP(A68,'Données projet'!$A$35:$I$55,4,0)),0,VLOOKUP(A68,'Données projet'!$A$35:$I$55,4,0))</f>
        <v>635</v>
      </c>
      <c r="W68" s="17">
        <f>IF(ISNA(VLOOKUP(A68,'Données projet'!$A$35:$I$55,5,0)),0%,VLOOKUP(A68,'Données projet'!$A$35:$I$55,5,0)*VLOOKUP('Données projet'!$B$9,Paramètres!$A$1:$I$89,7,0))</f>
        <v>0.40500000000000003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0.1</v>
      </c>
      <c r="Z68" s="23">
        <f>EXP(-LN(2)/35)*Z67+(1-EXP(-LN(2)/35))/(LN(2)/35)*V68*W68*VLOOKUP('Données projet'!$B$9,Paramètres!$A$1:$I$89,3,0)*0.475*44/12</f>
        <v>239.47486924724598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43.155867504823</v>
      </c>
      <c r="AC68" s="24">
        <f t="shared" ref="AC68:AC131" si="57">SUM(Z68:AB68)</f>
        <v>282.63073675206897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-3.979039320256561E-13</v>
      </c>
      <c r="AJ68" s="14">
        <f>AI68*VLOOKUP('Données projet'!$B$10,Paramètres!$A$1:$I$89,3,0)*VLOOKUP('Données projet'!$B$10,Paramètres!$A$1:$I$89,5,0)</f>
        <v>-2.379465513513424E-13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211.38734697794843</v>
      </c>
      <c r="AO68" s="62">
        <f t="shared" si="36"/>
        <v>239.85955661394541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126.73055222571689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0.63844358400191825</v>
      </c>
      <c r="AX68" s="23">
        <f t="shared" ref="AX68:AX131" si="60">SUM(AU68:AW68)</f>
        <v>127.36899580971881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-1.1368683772161603E-13</v>
      </c>
      <c r="O69" s="14">
        <f>N69*VLOOKUP('Données projet'!$B$9,Paramètres!$A$1:$I$89,3,0)*VLOOKUP('Données projet'!$B$9,Paramètres!$A$1:$I$89,5,0)</f>
        <v>-6.7984728957526396E-14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276.05121228874452</v>
      </c>
      <c r="T69" s="62">
        <f t="shared" ref="T69:T132" si="88">$T$3</f>
        <v>319.89882768207553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234.77891312655498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30.515806560648517</v>
      </c>
      <c r="AC69" s="24">
        <f t="shared" si="57"/>
        <v>265.2947196872035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-3.979039320256561E-13</v>
      </c>
      <c r="AJ69" s="14">
        <f>AI69*VLOOKUP('Données projet'!$B$10,Paramètres!$A$1:$I$89,3,0)*VLOOKUP('Données projet'!$B$10,Paramètres!$A$1:$I$89,5,0)</f>
        <v>-2.379465513513424E-13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211.38734697794843</v>
      </c>
      <c r="AO69" s="62">
        <f t="shared" ref="AO69:AO132" si="90">$AO$3</f>
        <v>239.85955661394541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124.24544339457489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0.45144778765279964</v>
      </c>
      <c r="AX69" s="23">
        <f t="shared" si="60"/>
        <v>124.69689118222769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-1.1368683772161603E-13</v>
      </c>
      <c r="O70" s="14">
        <f>N70*VLOOKUP('Données projet'!$B$9,Paramètres!$A$1:$I$89,3,0)*VLOOKUP('Données projet'!$B$9,Paramètres!$A$1:$I$89,5,0)</f>
        <v>-6.7984728957526396E-14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276.05121228874452</v>
      </c>
      <c r="T70" s="62">
        <f t="shared" si="88"/>
        <v>319.89882768207553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230.17504184114031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21.577933752411504</v>
      </c>
      <c r="AC70" s="24">
        <f t="shared" si="57"/>
        <v>251.75297559355181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-3.979039320256561E-13</v>
      </c>
      <c r="AJ70" s="14">
        <f>AI70*VLOOKUP('Données projet'!$B$10,Paramètres!$A$1:$I$89,3,0)*VLOOKUP('Données projet'!$B$10,Paramètres!$A$1:$I$89,5,0)</f>
        <v>-2.379465513513424E-13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211.38734697794843</v>
      </c>
      <c r="AO70" s="62">
        <f t="shared" si="90"/>
        <v>239.85955661394541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121.80906603184488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0.31922179200095918</v>
      </c>
      <c r="AX70" s="23">
        <f t="shared" si="60"/>
        <v>122.12828782384584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-1.1368683772161603E-13</v>
      </c>
      <c r="O71" s="14">
        <f>N71*VLOOKUP('Données projet'!$B$9,Paramètres!$A$1:$I$89,3,0)*VLOOKUP('Données projet'!$B$9,Paramètres!$A$1:$I$89,5,0)</f>
        <v>-6.7984728957526396E-14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276.05121228874452</v>
      </c>
      <c r="T71" s="62">
        <f t="shared" si="88"/>
        <v>319.89882768207553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225.66144966354844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15.25790328032426</v>
      </c>
      <c r="AC71" s="24">
        <f t="shared" si="57"/>
        <v>240.9193529438727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-3.979039320256561E-13</v>
      </c>
      <c r="AJ71" s="14">
        <f>AI71*VLOOKUP('Données projet'!$B$10,Paramètres!$A$1:$I$89,3,0)*VLOOKUP('Données projet'!$B$10,Paramètres!$A$1:$I$89,5,0)</f>
        <v>-2.379465513513424E-13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211.38734697794843</v>
      </c>
      <c r="AO71" s="62">
        <f t="shared" si="90"/>
        <v>239.85955661394541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119.42046454315454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0.22572389382639985</v>
      </c>
      <c r="AX71" s="23">
        <f t="shared" si="60"/>
        <v>119.64618843698094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-1.1368683772161603E-13</v>
      </c>
      <c r="O72" s="14">
        <f>N72*VLOOKUP('Données projet'!$B$9,Paramètres!$A$1:$I$89,3,0)*VLOOKUP('Données projet'!$B$9,Paramètres!$A$1:$I$89,5,0)</f>
        <v>-6.7984728957526396E-14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276.05121228874452</v>
      </c>
      <c r="T72" s="62">
        <f t="shared" si="88"/>
        <v>319.89882768207553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221.23636627553975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10.788966876205754</v>
      </c>
      <c r="AC72" s="24">
        <f t="shared" si="57"/>
        <v>232.02533315174551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-3.979039320256561E-13</v>
      </c>
      <c r="AJ72" s="14">
        <f>AI72*VLOOKUP('Données projet'!$B$10,Paramètres!$A$1:$I$89,3,0)*VLOOKUP('Données projet'!$B$10,Paramètres!$A$1:$I$89,5,0)</f>
        <v>-2.379465513513424E-13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211.38734697794843</v>
      </c>
      <c r="AO72" s="62">
        <f t="shared" si="90"/>
        <v>239.85955661394541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117.07870207275437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0.15961089600047962</v>
      </c>
      <c r="AX72" s="23">
        <f t="shared" si="60"/>
        <v>117.23831296875484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-1.1368683772161603E-13</v>
      </c>
      <c r="O73" s="14">
        <f>N73*VLOOKUP('Données projet'!$B$9,Paramètres!$A$1:$I$89,3,0)*VLOOKUP('Données projet'!$B$9,Paramètres!$A$1:$I$89,5,0)</f>
        <v>-6.7984728957526396E-14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276.05121228874452</v>
      </c>
      <c r="T73" s="62">
        <f t="shared" si="88"/>
        <v>319.89882768207553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216.89805607373555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7.6289516401621311</v>
      </c>
      <c r="AC73" s="24">
        <f t="shared" si="57"/>
        <v>224.52700771389769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-3.979039320256561E-13</v>
      </c>
      <c r="AJ73" s="14">
        <f>AI73*VLOOKUP('Données projet'!$B$10,Paramètres!$A$1:$I$89,3,0)*VLOOKUP('Données projet'!$B$10,Paramètres!$A$1:$I$89,5,0)</f>
        <v>-2.379465513513424E-13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211.38734697794843</v>
      </c>
      <c r="AO73" s="62">
        <f t="shared" si="90"/>
        <v>239.85955661394541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114.78286013606467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0.11286194691319994</v>
      </c>
      <c r="AX73" s="23">
        <f t="shared" si="60"/>
        <v>114.89572208297787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-1.1368683772161603E-13</v>
      </c>
      <c r="O74" s="14">
        <f>N74*VLOOKUP('Données projet'!$B$9,Paramètres!$A$1:$I$89,3,0)*VLOOKUP('Données projet'!$B$9,Paramètres!$A$1:$I$89,5,0)</f>
        <v>-6.7984728957526396E-14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276.05121228874452</v>
      </c>
      <c r="T74" s="62">
        <f t="shared" si="88"/>
        <v>319.89882768207553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212.64481748888076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5.3944834381028777</v>
      </c>
      <c r="AC74" s="24">
        <f t="shared" si="57"/>
        <v>218.03930092698363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-3.979039320256561E-13</v>
      </c>
      <c r="AJ74" s="14">
        <f>AI74*VLOOKUP('Données projet'!$B$10,Paramètres!$A$1:$I$89,3,0)*VLOOKUP('Données projet'!$B$10,Paramètres!$A$1:$I$89,5,0)</f>
        <v>-2.379465513513424E-13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211.38734697794843</v>
      </c>
      <c r="AO74" s="62">
        <f t="shared" si="90"/>
        <v>239.85955661394541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112.53203825942815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7.9805448000239809E-2</v>
      </c>
      <c r="AX74" s="23">
        <f t="shared" si="60"/>
        <v>112.61184370742839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-1.1368683772161603E-13</v>
      </c>
      <c r="O75" s="14">
        <f>N75*VLOOKUP('Données projet'!$B$9,Paramètres!$A$1:$I$89,3,0)*VLOOKUP('Données projet'!$B$9,Paramètres!$A$1:$I$89,5,0)</f>
        <v>-6.7984728957526396E-14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276.05121228874452</v>
      </c>
      <c r="T75" s="62">
        <f t="shared" si="88"/>
        <v>319.89882768207553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208.4749823184556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3.8144758200810664</v>
      </c>
      <c r="AC75" s="24">
        <f t="shared" si="57"/>
        <v>212.28945813853667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-3.979039320256561E-13</v>
      </c>
      <c r="AJ75" s="14">
        <f>AI75*VLOOKUP('Données projet'!$B$10,Paramètres!$A$1:$I$89,3,0)*VLOOKUP('Données projet'!$B$10,Paramètres!$A$1:$I$89,5,0)</f>
        <v>-2.379465513513424E-13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211.38734697794843</v>
      </c>
      <c r="AO75" s="62">
        <f t="shared" si="90"/>
        <v>239.85955661394541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110.32535362692668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5.6430973456599968E-2</v>
      </c>
      <c r="AX75" s="23">
        <f t="shared" si="60"/>
        <v>110.38178460038328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-1.1368683772161603E-13</v>
      </c>
      <c r="O76" s="14">
        <f>N76*VLOOKUP('Données projet'!$B$9,Paramètres!$A$1:$I$89,3,0)*VLOOKUP('Données projet'!$B$9,Paramètres!$A$1:$I$89,5,0)</f>
        <v>-6.7984728957526396E-14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276.05121228874452</v>
      </c>
      <c r="T76" s="62">
        <f t="shared" si="88"/>
        <v>319.89882768207553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204.38691507237417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2.6972417190514393</v>
      </c>
      <c r="AC76" s="24">
        <f t="shared" si="57"/>
        <v>207.08415679142561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-3.979039320256561E-13</v>
      </c>
      <c r="AJ76" s="14">
        <f>AI76*VLOOKUP('Données projet'!$B$10,Paramètres!$A$1:$I$89,3,0)*VLOOKUP('Données projet'!$B$10,Paramètres!$A$1:$I$89,5,0)</f>
        <v>-2.379465513513424E-13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211.38734697794843</v>
      </c>
      <c r="AO76" s="62">
        <f t="shared" si="90"/>
        <v>239.85955661394541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108.16194073412385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3.9902724000119905E-2</v>
      </c>
      <c r="AX76" s="23">
        <f t="shared" si="60"/>
        <v>108.20184345812396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-1.1368683772161603E-13</v>
      </c>
      <c r="O77" s="14">
        <f>N77*VLOOKUP('Données projet'!$B$9,Paramètres!$A$1:$I$89,3,0)*VLOOKUP('Données projet'!$B$9,Paramètres!$A$1:$I$89,5,0)</f>
        <v>-6.7984728957526396E-14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276.05121228874452</v>
      </c>
      <c r="T77" s="62">
        <f t="shared" si="88"/>
        <v>319.89882768207553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200.37901233151359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1.9072379100405334</v>
      </c>
      <c r="AC77" s="24">
        <f t="shared" si="57"/>
        <v>202.28625024155411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-3.979039320256561E-13</v>
      </c>
      <c r="AJ77" s="14">
        <f>AI77*VLOOKUP('Données projet'!$B$10,Paramètres!$A$1:$I$89,3,0)*VLOOKUP('Données projet'!$B$10,Paramètres!$A$1:$I$89,5,0)</f>
        <v>-2.379465513513424E-13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211.38734697794843</v>
      </c>
      <c r="AO77" s="62">
        <f t="shared" si="90"/>
        <v>239.85955661394541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106.04095104859731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2.8215486728299984E-2</v>
      </c>
      <c r="AX77" s="23">
        <f t="shared" si="60"/>
        <v>106.06916653532561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-1.1368683772161603E-13</v>
      </c>
      <c r="O78" s="14">
        <f>N78*VLOOKUP('Données projet'!$B$9,Paramètres!$A$1:$I$89,3,0)*VLOOKUP('Données projet'!$B$9,Paramètres!$A$1:$I$89,5,0)</f>
        <v>-6.7984728957526396E-14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276.05121228874452</v>
      </c>
      <c r="T78" s="62">
        <f t="shared" si="88"/>
        <v>319.89882768207553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196.44970211882199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1.3486208595257199</v>
      </c>
      <c r="AC78" s="24">
        <f t="shared" si="57"/>
        <v>197.7983229783477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-3.979039320256561E-13</v>
      </c>
      <c r="AJ78" s="14">
        <f>AI78*VLOOKUP('Données projet'!$B$10,Paramètres!$A$1:$I$89,3,0)*VLOOKUP('Données projet'!$B$10,Paramètres!$A$1:$I$89,5,0)</f>
        <v>-2.379465513513424E-13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211.38734697794843</v>
      </c>
      <c r="AO78" s="62">
        <f t="shared" si="90"/>
        <v>239.85955661394541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103.96155267712797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1.9951362000059952E-2</v>
      </c>
      <c r="AX78" s="23">
        <f t="shared" si="60"/>
        <v>103.98150403912803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-1.1368683772161603E-13</v>
      </c>
      <c r="O79" s="14">
        <f>N79*VLOOKUP('Données projet'!$B$9,Paramètres!$A$1:$I$89,3,0)*VLOOKUP('Données projet'!$B$9,Paramètres!$A$1:$I$89,5,0)</f>
        <v>-6.7984728957526396E-14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276.05121228874452</v>
      </c>
      <c r="T79" s="62">
        <f t="shared" si="88"/>
        <v>319.89882768207553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192.59744328275869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0.95361895502026695</v>
      </c>
      <c r="AC79" s="24">
        <f t="shared" si="57"/>
        <v>193.55106223777895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-3.979039320256561E-13</v>
      </c>
      <c r="AJ79" s="14">
        <f>AI79*VLOOKUP('Données projet'!$B$10,Paramètres!$A$1:$I$89,3,0)*VLOOKUP('Données projet'!$B$10,Paramètres!$A$1:$I$89,5,0)</f>
        <v>-2.379465513513424E-13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211.38734697794843</v>
      </c>
      <c r="AO79" s="62">
        <f t="shared" si="90"/>
        <v>239.85955661394541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101.92293003941538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1.4107743364149992E-2</v>
      </c>
      <c r="AX79" s="23">
        <f t="shared" si="60"/>
        <v>101.93703778277953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-1.1368683772161603E-13</v>
      </c>
      <c r="O80" s="14">
        <f>N80*VLOOKUP('Données projet'!$B$9,Paramètres!$A$1:$I$89,3,0)*VLOOKUP('Données projet'!$B$9,Paramètres!$A$1:$I$89,5,0)</f>
        <v>-6.7984728957526396E-14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276.05121228874452</v>
      </c>
      <c r="T80" s="62">
        <f t="shared" si="88"/>
        <v>319.89882768207553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188.82072489282473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0.67431042976286004</v>
      </c>
      <c r="AC80" s="24">
        <f t="shared" si="57"/>
        <v>189.4950353225876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-3.979039320256561E-13</v>
      </c>
      <c r="AJ80" s="14">
        <f>AI80*VLOOKUP('Données projet'!$B$10,Paramètres!$A$1:$I$89,3,0)*VLOOKUP('Données projet'!$B$10,Paramètres!$A$1:$I$89,5,0)</f>
        <v>-2.379465513513424E-13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211.38734697794843</v>
      </c>
      <c r="AO80" s="62">
        <f t="shared" si="90"/>
        <v>239.85955661394541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99.924283548191298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9.9756810000299762E-3</v>
      </c>
      <c r="AX80" s="23">
        <f t="shared" si="60"/>
        <v>99.934259229191326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-1.1368683772161603E-13</v>
      </c>
      <c r="O81" s="14">
        <f>N81*VLOOKUP('Données projet'!$B$9,Paramètres!$A$1:$I$89,3,0)*VLOOKUP('Données projet'!$B$9,Paramètres!$A$1:$I$89,5,0)</f>
        <v>-6.7984728957526396E-14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276.05121228874452</v>
      </c>
      <c r="T81" s="62">
        <f t="shared" si="88"/>
        <v>319.89882768207553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185.1180656469466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0.47680947751013353</v>
      </c>
      <c r="AC81" s="24">
        <f t="shared" si="57"/>
        <v>185.59487512445673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-3.979039320256561E-13</v>
      </c>
      <c r="AJ81" s="14">
        <f>AI81*VLOOKUP('Données projet'!$B$10,Paramètres!$A$1:$I$89,3,0)*VLOOKUP('Données projet'!$B$10,Paramètres!$A$1:$I$89,5,0)</f>
        <v>-2.379465513513424E-13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211.38734697794843</v>
      </c>
      <c r="AO81" s="62">
        <f t="shared" si="90"/>
        <v>239.85955661394541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97.964829295606137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7.0538716820749961E-3</v>
      </c>
      <c r="AX81" s="23">
        <f t="shared" si="60"/>
        <v>97.971883167288212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-1.1368683772161603E-13</v>
      </c>
      <c r="O82" s="14">
        <f>N82*VLOOKUP('Données projet'!$B$9,Paramètres!$A$1:$I$89,3,0)*VLOOKUP('Données projet'!$B$9,Paramètres!$A$1:$I$89,5,0)</f>
        <v>-6.7984728957526396E-14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276.05121228874452</v>
      </c>
      <c r="T82" s="62">
        <f t="shared" si="88"/>
        <v>319.89882768207553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181.48801329048101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0.33715521488143008</v>
      </c>
      <c r="AC82" s="24">
        <f t="shared" si="57"/>
        <v>181.82516850536243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-3.979039320256561E-13</v>
      </c>
      <c r="AJ82" s="14">
        <f>AI82*VLOOKUP('Données projet'!$B$10,Paramètres!$A$1:$I$89,3,0)*VLOOKUP('Données projet'!$B$10,Paramètres!$A$1:$I$89,5,0)</f>
        <v>-2.379465513513424E-13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211.38734697794843</v>
      </c>
      <c r="AO82" s="62">
        <f t="shared" si="90"/>
        <v>239.85955661394541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96.043798745765088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4.9878405000149881E-3</v>
      </c>
      <c r="AX82" s="23">
        <f t="shared" si="60"/>
        <v>96.048786586265109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-1.1368683772161603E-13</v>
      </c>
      <c r="O83" s="14">
        <f>N83*VLOOKUP('Données projet'!$B$9,Paramètres!$A$1:$I$89,3,0)*VLOOKUP('Données projet'!$B$9,Paramètres!$A$1:$I$89,5,0)</f>
        <v>-6.7984728957526396E-14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276.05121228874452</v>
      </c>
      <c r="T83" s="62">
        <f t="shared" si="88"/>
        <v>319.89882768207553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177.92914404661238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0.23840473875506679</v>
      </c>
      <c r="AC83" s="24">
        <f t="shared" si="57"/>
        <v>178.16754878536744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-3.979039320256561E-13</v>
      </c>
      <c r="AJ83" s="14">
        <f>AI83*VLOOKUP('Données projet'!$B$10,Paramètres!$A$1:$I$89,3,0)*VLOOKUP('Données projet'!$B$10,Paramètres!$A$1:$I$89,5,0)</f>
        <v>-2.379465513513424E-13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211.38734697794843</v>
      </c>
      <c r="AO83" s="62">
        <f t="shared" si="90"/>
        <v>239.85955661394541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94.160438433293479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3.526935841037498E-3</v>
      </c>
      <c r="AX83" s="23">
        <f t="shared" si="60"/>
        <v>94.163965369134516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projet'!$B$9,Paramètres!$A$1:$I$89,3,0)*VLOOKUP('Données projet'!$B$9,Paramètres!$A$1:$I$89,5,0)</f>
        <v>-6.7984728957526396E-14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276.05121228874452</v>
      </c>
      <c r="T84" s="62">
        <f t="shared" si="88"/>
        <v>319.89882768207553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174.44006205792013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0.16857760744071504</v>
      </c>
      <c r="AC84" s="24">
        <f t="shared" si="57"/>
        <v>174.60863966536084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-3.979039320256561E-13</v>
      </c>
      <c r="AJ84" s="14">
        <f>AI84*VLOOKUP('Données projet'!$B$10,Paramètres!$A$1:$I$89,3,0)*VLOOKUP('Données projet'!$B$10,Paramètres!$A$1:$I$89,5,0)</f>
        <v>-2.379465513513424E-13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211.38734697794843</v>
      </c>
      <c r="AO84" s="62">
        <f t="shared" si="90"/>
        <v>239.85955661394541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92.314009667813082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2.493920250007494E-3</v>
      </c>
      <c r="AX84" s="23">
        <f t="shared" si="60"/>
        <v>92.316503588063085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projet'!$B$9,Paramètres!$A$1:$I$89,3,0)*VLOOKUP('Données projet'!$B$9,Paramètres!$A$1:$I$89,5,0)</f>
        <v>-6.7984728957526396E-14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276.05121228874452</v>
      </c>
      <c r="T85" s="62">
        <f t="shared" si="88"/>
        <v>319.89882768207553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171.01939883889625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0.1192023693775334</v>
      </c>
      <c r="AC85" s="24">
        <f t="shared" si="57"/>
        <v>171.1386012082738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-3.979039320256561E-13</v>
      </c>
      <c r="AJ85" s="14">
        <f>AI85*VLOOKUP('Données projet'!$B$10,Paramètres!$A$1:$I$89,3,0)*VLOOKUP('Données projet'!$B$10,Paramètres!$A$1:$I$89,5,0)</f>
        <v>-2.379465513513424E-13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211.38734697794843</v>
      </c>
      <c r="AO85" s="62">
        <f t="shared" si="90"/>
        <v>239.85955661394541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90.503788244213411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1.763467920518749E-3</v>
      </c>
      <c r="AX85" s="23">
        <f t="shared" si="60"/>
        <v>90.505551712133936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projet'!$B$9,Paramètres!$A$1:$I$89,3,0)*VLOOKUP('Données projet'!$B$9,Paramètres!$A$1:$I$89,5,0)</f>
        <v>-6.7984728957526396E-14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276.05121228874452</v>
      </c>
      <c r="T86" s="62">
        <f t="shared" si="88"/>
        <v>319.89882768207553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167.66581273919888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8.4288803720357519E-2</v>
      </c>
      <c r="AC86" s="24">
        <f t="shared" si="57"/>
        <v>167.75010154291925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-3.979039320256561E-13</v>
      </c>
      <c r="AJ86" s="14">
        <f>AI86*VLOOKUP('Données projet'!$B$10,Paramètres!$A$1:$I$89,3,0)*VLOOKUP('Données projet'!$B$10,Paramètres!$A$1:$I$89,5,0)</f>
        <v>-2.379465513513424E-13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211.38734697794843</v>
      </c>
      <c r="AO86" s="62">
        <f t="shared" si="90"/>
        <v>239.85955661394541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88.729064158604487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1.246960125003747E-3</v>
      </c>
      <c r="AX86" s="23">
        <f t="shared" si="60"/>
        <v>88.730311118729489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projet'!$B$9,Paramètres!$A$1:$I$89,3,0)*VLOOKUP('Données projet'!$B$9,Paramètres!$A$1:$I$89,5,0)</f>
        <v>-6.7984728957526396E-14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276.05121228874452</v>
      </c>
      <c r="T87" s="62">
        <f t="shared" si="88"/>
        <v>319.89882768207553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164.37798841743103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5.9601184688766698E-2</v>
      </c>
      <c r="AC87" s="24">
        <f t="shared" si="57"/>
        <v>164.4375896021198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-3.979039320256561E-13</v>
      </c>
      <c r="AJ87" s="14">
        <f>AI87*VLOOKUP('Données projet'!$B$10,Paramètres!$A$1:$I$89,3,0)*VLOOKUP('Données projet'!$B$10,Paramètres!$A$1:$I$89,5,0)</f>
        <v>-2.379465513513424E-13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211.38734697794843</v>
      </c>
      <c r="AO87" s="62">
        <f t="shared" si="90"/>
        <v>239.85955661394541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86.989141329839541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8.8173396025937451E-4</v>
      </c>
      <c r="AX87" s="23">
        <f t="shared" si="60"/>
        <v>86.990023063799796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projet'!$B$9,Paramètres!$A$1:$I$89,3,0)*VLOOKUP('Données projet'!$B$9,Paramètres!$A$1:$I$89,5,0)</f>
        <v>-6.7984728957526396E-14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276.05121228874452</v>
      </c>
      <c r="T88" s="62">
        <f t="shared" si="88"/>
        <v>319.89882768207553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161.15463632523822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4.214440186017876E-2</v>
      </c>
      <c r="AC88" s="24">
        <f t="shared" si="57"/>
        <v>161.1967807270984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-3.979039320256561E-13</v>
      </c>
      <c r="AJ88" s="14">
        <f>AI88*VLOOKUP('Données projet'!$B$10,Paramètres!$A$1:$I$89,3,0)*VLOOKUP('Données projet'!$B$10,Paramètres!$A$1:$I$89,5,0)</f>
        <v>-2.379465513513424E-13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211.38734697794843</v>
      </c>
      <c r="AO88" s="62">
        <f t="shared" si="90"/>
        <v>239.85955661394541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85.28333732649854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6.2348006250187351E-4</v>
      </c>
      <c r="AX88" s="23">
        <f t="shared" si="60"/>
        <v>85.283960806561041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projet'!$B$9,Paramètres!$A$1:$I$89,3,0)*VLOOKUP('Données projet'!$B$9,Paramètres!$A$1:$I$89,5,0)</f>
        <v>-6.7984728957526396E-14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276.05121228874452</v>
      </c>
      <c r="T89" s="62">
        <f t="shared" si="88"/>
        <v>319.89882768207553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157.99449220152266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2.9800592344383349E-2</v>
      </c>
      <c r="AC89" s="24">
        <f t="shared" si="57"/>
        <v>158.02429279386703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-3.979039320256561E-13</v>
      </c>
      <c r="AJ89" s="14">
        <f>AI89*VLOOKUP('Données projet'!$B$10,Paramètres!$A$1:$I$89,3,0)*VLOOKUP('Données projet'!$B$10,Paramètres!$A$1:$I$89,5,0)</f>
        <v>-2.379465513513424E-13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211.38734697794843</v>
      </c>
      <c r="AO89" s="62">
        <f t="shared" si="90"/>
        <v>239.85955661394541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83.610983099225351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4.4086698012968725E-4</v>
      </c>
      <c r="AX89" s="23">
        <f t="shared" si="60"/>
        <v>83.611423966205479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projet'!$B$9,Paramètres!$A$1:$I$89,3,0)*VLOOKUP('Données projet'!$B$9,Paramètres!$A$1:$I$89,5,0)</f>
        <v>-6.7984728957526396E-14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276.05121228874452</v>
      </c>
      <c r="T90" s="62">
        <f t="shared" si="88"/>
        <v>319.89882768207553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154.89631657657557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2.107220093008938E-2</v>
      </c>
      <c r="AC90" s="24">
        <f t="shared" si="57"/>
        <v>154.91738877750566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-3.979039320256561E-13</v>
      </c>
      <c r="AJ90" s="14">
        <f>AI90*VLOOKUP('Données projet'!$B$10,Paramètres!$A$1:$I$89,3,0)*VLOOKUP('Données projet'!$B$10,Paramètres!$A$1:$I$89,5,0)</f>
        <v>-2.379465513513424E-13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211.38734697794843</v>
      </c>
      <c r="AO90" s="62">
        <f t="shared" si="90"/>
        <v>239.85955661394541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81.971422718313633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3.1174003125093675E-4</v>
      </c>
      <c r="AX90" s="23">
        <f t="shared" si="60"/>
        <v>81.971734458344883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projet'!$B$9,Paramètres!$A$1:$I$89,3,0)*VLOOKUP('Données projet'!$B$9,Paramètres!$A$1:$I$89,5,0)</f>
        <v>-6.7984728957526396E-14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276.05121228874452</v>
      </c>
      <c r="T91" s="62">
        <f t="shared" si="88"/>
        <v>319.89882768207553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151.85889428593316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1.4900296172191674E-2</v>
      </c>
      <c r="AC91" s="24">
        <f t="shared" si="57"/>
        <v>151.87379458210535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-3.979039320256561E-13</v>
      </c>
      <c r="AJ91" s="14">
        <f>AI91*VLOOKUP('Données projet'!$B$10,Paramètres!$A$1:$I$89,3,0)*VLOOKUP('Données projet'!$B$10,Paramètres!$A$1:$I$89,5,0)</f>
        <v>-2.379465513513424E-13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211.38734697794843</v>
      </c>
      <c r="AO91" s="62">
        <f t="shared" si="90"/>
        <v>239.85955661394541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80.3640131164385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2.2043349006484363E-4</v>
      </c>
      <c r="AX91" s="23">
        <f t="shared" si="60"/>
        <v>80.364233549928571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projet'!$B$9,Paramètres!$A$1:$I$89,3,0)*VLOOKUP('Données projet'!$B$9,Paramètres!$A$1:$I$89,5,0)</f>
        <v>-6.7984728957526396E-14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276.05121228874452</v>
      </c>
      <c r="T92" s="62">
        <f t="shared" si="88"/>
        <v>319.89882768207553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148.88103399376558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1.053610046504469E-2</v>
      </c>
      <c r="AC92" s="24">
        <f t="shared" si="57"/>
        <v>148.89157009423062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-3.979039320256561E-13</v>
      </c>
      <c r="AJ92" s="14">
        <f>AI92*VLOOKUP('Données projet'!$B$10,Paramètres!$A$1:$I$89,3,0)*VLOOKUP('Données projet'!$B$10,Paramètres!$A$1:$I$89,5,0)</f>
        <v>-2.379465513513424E-13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211.38734697794843</v>
      </c>
      <c r="AO92" s="62">
        <f t="shared" si="90"/>
        <v>239.85955661394541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78.788123836433101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1.5587001562546838E-4</v>
      </c>
      <c r="AX92" s="23">
        <f t="shared" si="60"/>
        <v>78.788279706448733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projet'!$B$9,Paramètres!$A$1:$I$89,3,0)*VLOOKUP('Données projet'!$B$9,Paramètres!$A$1:$I$89,5,0)</f>
        <v>-6.7984728957526396E-14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276.05121228874452</v>
      </c>
      <c r="T93" s="62">
        <f t="shared" si="88"/>
        <v>319.89882768207553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145.96156772561199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7.4501480860958372E-3</v>
      </c>
      <c r="AC93" s="24">
        <f t="shared" si="57"/>
        <v>145.96901787369808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-3.979039320256561E-13</v>
      </c>
      <c r="AJ93" s="14">
        <f>AI93*VLOOKUP('Données projet'!$B$10,Paramètres!$A$1:$I$89,3,0)*VLOOKUP('Données projet'!$B$10,Paramètres!$A$1:$I$89,5,0)</f>
        <v>-2.379465513513424E-13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211.38734697794843</v>
      </c>
      <c r="AO93" s="62">
        <f t="shared" si="90"/>
        <v>239.85955661394541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77.243136784011057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1.1021674503242181E-4</v>
      </c>
      <c r="AX93" s="23">
        <f t="shared" si="60"/>
        <v>77.243247000756085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-6.7984728957526396E-14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276.05121228874452</v>
      </c>
      <c r="T94" s="62">
        <f t="shared" si="88"/>
        <v>319.89882768207553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143.09935041027828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5.2680502325223449E-3</v>
      </c>
      <c r="AC94" s="24">
        <f t="shared" si="57"/>
        <v>143.10461846051081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-3.979039320256561E-13</v>
      </c>
      <c r="AJ94" s="14">
        <f>AI94*VLOOKUP('Données projet'!$B$10,Paramètres!$A$1:$I$89,3,0)*VLOOKUP('Données projet'!$B$10,Paramètres!$A$1:$I$89,5,0)</f>
        <v>-2.379465513513424E-13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211.38734697794843</v>
      </c>
      <c r="AO94" s="62">
        <f t="shared" si="90"/>
        <v>239.85955661394541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75.728445985337956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7.7935007812734189E-5</v>
      </c>
      <c r="AX94" s="23">
        <f t="shared" si="60"/>
        <v>75.728523920345765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-6.7984728957526396E-14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276.05121228874452</v>
      </c>
      <c r="T95" s="62">
        <f t="shared" si="88"/>
        <v>319.89882768207553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140.29325943071808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3.7250740430479186E-3</v>
      </c>
      <c r="AC95" s="24">
        <f t="shared" si="57"/>
        <v>140.29698450476113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-3.979039320256561E-13</v>
      </c>
      <c r="AJ95" s="14">
        <f>AI95*VLOOKUP('Données projet'!$B$10,Paramètres!$A$1:$I$89,3,0)*VLOOKUP('Données projet'!$B$10,Paramètres!$A$1:$I$89,5,0)</f>
        <v>-2.379465513513424E-13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211.38734697794843</v>
      </c>
      <c r="AO95" s="62">
        <f t="shared" si="90"/>
        <v>239.85955661394541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74.24345734935666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5.5108372516210907E-5</v>
      </c>
      <c r="AX95" s="23">
        <f t="shared" si="60"/>
        <v>74.243512457729182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-6.7984728957526396E-14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276.05121228874452</v>
      </c>
      <c r="T96" s="62">
        <f t="shared" si="88"/>
        <v>319.89882768207553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137.54219418372057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2.6340251162611725E-3</v>
      </c>
      <c r="AC96" s="24">
        <f t="shared" si="57"/>
        <v>137.54482820883683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-3.979039320256561E-13</v>
      </c>
      <c r="AJ96" s="14">
        <f>AI96*VLOOKUP('Données projet'!$B$10,Paramètres!$A$1:$I$89,3,0)*VLOOKUP('Données projet'!$B$10,Paramètres!$A$1:$I$89,5,0)</f>
        <v>-2.379465513513424E-13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211.38734697794843</v>
      </c>
      <c r="AO96" s="62">
        <f t="shared" si="90"/>
        <v>239.85955661394541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72.787588434773326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3.8967503906367094E-5</v>
      </c>
      <c r="AX96" s="23">
        <f t="shared" si="60"/>
        <v>72.787627402277238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-6.7984728957526396E-14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276.05121228874452</v>
      </c>
      <c r="T97" s="62">
        <f t="shared" si="88"/>
        <v>319.89882768207553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134.84507564823258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1.8625370215239593E-3</v>
      </c>
      <c r="AC97" s="24">
        <f t="shared" si="57"/>
        <v>134.84693818525412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-3.979039320256561E-13</v>
      </c>
      <c r="AJ97" s="14">
        <f>AI97*VLOOKUP('Données projet'!$B$10,Paramètres!$A$1:$I$89,3,0)*VLOOKUP('Données projet'!$B$10,Paramètres!$A$1:$I$89,5,0)</f>
        <v>-2.379465513513424E-13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211.38734697794843</v>
      </c>
      <c r="AO97" s="62">
        <f t="shared" si="90"/>
        <v>239.85955661394541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71.360268221612614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2.7554186258105453E-5</v>
      </c>
      <c r="AX97" s="23">
        <f t="shared" si="60"/>
        <v>71.360295775798875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-6.7984728957526396E-14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276.05121228874452</v>
      </c>
      <c r="T98" s="62">
        <f t="shared" si="88"/>
        <v>319.89882768207553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132.20084596214562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1.3170125581305862E-3</v>
      </c>
      <c r="AC98" s="24">
        <f t="shared" si="57"/>
        <v>132.20216297470375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-3.979039320256561E-13</v>
      </c>
      <c r="AJ98" s="14">
        <f>AI98*VLOOKUP('Données projet'!$B$10,Paramètres!$A$1:$I$89,3,0)*VLOOKUP('Données projet'!$B$10,Paramètres!$A$1:$I$89,5,0)</f>
        <v>-2.379465513513424E-13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211.38734697794843</v>
      </c>
      <c r="AO98" s="62">
        <f t="shared" si="90"/>
        <v>239.85955661394541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69.960936887252629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1.9483751953183547E-5</v>
      </c>
      <c r="AX98" s="23">
        <f t="shared" si="60"/>
        <v>69.960956371004585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-6.7984728957526396E-14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276.05121228874452</v>
      </c>
      <c r="T99" s="62">
        <f t="shared" si="88"/>
        <v>319.89882768207553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129.60846800738199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9.3126851076197966E-4</v>
      </c>
      <c r="AC99" s="24">
        <f t="shared" si="57"/>
        <v>129.60939927589274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-3.979039320256561E-13</v>
      </c>
      <c r="AJ99" s="14">
        <f>AI99*VLOOKUP('Données projet'!$B$10,Paramètres!$A$1:$I$89,3,0)*VLOOKUP('Données projet'!$B$10,Paramètres!$A$1:$I$89,5,0)</f>
        <v>-2.379465513513424E-13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211.38734697794843</v>
      </c>
      <c r="AO99" s="62">
        <f t="shared" si="90"/>
        <v>239.85955661394541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68.589045586851597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1.3777093129052727E-5</v>
      </c>
      <c r="AX99" s="23">
        <f t="shared" si="60"/>
        <v>68.589059363944727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-6.7984728957526396E-14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276.05121228874452</v>
      </c>
      <c r="T100" s="62">
        <f t="shared" si="88"/>
        <v>319.89882768207553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127.06692500311684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6.5850627906529312E-4</v>
      </c>
      <c r="AC100" s="24">
        <f t="shared" si="57"/>
        <v>127.0675835093959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-3.979039320256561E-13</v>
      </c>
      <c r="AJ100" s="14">
        <f>AI100*VLOOKUP('Données projet'!$B$10,Paramètres!$A$1:$I$89,3,0)*VLOOKUP('Données projet'!$B$10,Paramètres!$A$1:$I$89,5,0)</f>
        <v>-2.379465513513424E-13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211.38734697794843</v>
      </c>
      <c r="AO100" s="62">
        <f t="shared" si="90"/>
        <v>239.85955661394541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67.244056238080361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9.7418759765917736E-6</v>
      </c>
      <c r="AX100" s="23">
        <f t="shared" si="60"/>
        <v>67.244065979956332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-6.7984728957526396E-14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276.05121228874452</v>
      </c>
      <c r="T101" s="62">
        <f t="shared" si="88"/>
        <v>319.89882768207553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124.57522010697717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4.6563425538098983E-4</v>
      </c>
      <c r="AC101" s="24">
        <f t="shared" si="57"/>
        <v>124.57568574123255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-3.979039320256561E-13</v>
      </c>
      <c r="AJ101" s="14">
        <f>AI101*VLOOKUP('Données projet'!$B$10,Paramètres!$A$1:$I$89,3,0)*VLOOKUP('Données projet'!$B$10,Paramètres!$A$1:$I$89,5,0)</f>
        <v>-2.379465513513424E-13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211.38734697794843</v>
      </c>
      <c r="AO101" s="62">
        <f t="shared" si="90"/>
        <v>239.85955661394541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65.925441310076039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6.8885465645263633E-6</v>
      </c>
      <c r="AX101" s="23">
        <f t="shared" si="60"/>
        <v>65.925448198622604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-6.7984728957526396E-14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276.05121228874452</v>
      </c>
      <c r="T102" s="62">
        <f t="shared" si="88"/>
        <v>319.89882768207553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122.13237602406087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3.2925313953264656E-4</v>
      </c>
      <c r="AC102" s="24">
        <f t="shared" si="57"/>
        <v>122.1327052772004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-3.979039320256561E-13</v>
      </c>
      <c r="AJ102" s="14">
        <f>AI102*VLOOKUP('Données projet'!$B$10,Paramètres!$A$1:$I$89,3,0)*VLOOKUP('Données projet'!$B$10,Paramètres!$A$1:$I$89,5,0)</f>
        <v>-2.379465513513424E-13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211.38734697794843</v>
      </c>
      <c r="AO102" s="62">
        <f t="shared" si="90"/>
        <v>239.85955661394541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64.63268361653418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4.8709379882958868E-6</v>
      </c>
      <c r="AX102" s="23">
        <f t="shared" si="60"/>
        <v>64.632688487472166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-6.7984728957526396E-14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276.05121228874452</v>
      </c>
      <c r="T103" s="62">
        <f t="shared" si="88"/>
        <v>319.89882768207553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119.7374346236228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2.3281712769049491E-4</v>
      </c>
      <c r="AC103" s="24">
        <f t="shared" si="57"/>
        <v>119.7376674407505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-3.979039320256561E-13</v>
      </c>
      <c r="AJ103" s="14">
        <f>AI103*VLOOKUP('Données projet'!$B$10,Paramètres!$A$1:$I$89,3,0)*VLOOKUP('Données projet'!$B$10,Paramètres!$A$1:$I$89,5,0)</f>
        <v>-2.379465513513424E-13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211.38734697794843</v>
      </c>
      <c r="AO103" s="62">
        <f t="shared" si="90"/>
        <v>239.85955661394541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63.365276112858346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3.4442732822631817E-6</v>
      </c>
      <c r="AX103" s="23">
        <f t="shared" si="60"/>
        <v>63.365279557131629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-6.7984728957526396E-14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276.05121228874452</v>
      </c>
      <c r="T104" s="62">
        <f t="shared" si="88"/>
        <v>319.89882768207553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117.38945656327731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1.6462656976632328E-4</v>
      </c>
      <c r="AC104" s="24">
        <f t="shared" si="57"/>
        <v>117.38962118984708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-3.979039320256561E-13</v>
      </c>
      <c r="AJ104" s="14">
        <f>AI104*VLOOKUP('Données projet'!$B$10,Paramètres!$A$1:$I$89,3,0)*VLOOKUP('Données projet'!$B$10,Paramètres!$A$1:$I$89,5,0)</f>
        <v>-2.379465513513424E-13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211.38734697794843</v>
      </c>
      <c r="AO104" s="62">
        <f t="shared" si="90"/>
        <v>239.85955661394541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62.122721697287353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2.4354689941479434E-6</v>
      </c>
      <c r="AX104" s="23">
        <f t="shared" si="60"/>
        <v>62.122724132756346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-6.7984728957526396E-14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276.05121228874452</v>
      </c>
      <c r="T105" s="62">
        <f t="shared" si="88"/>
        <v>319.89882768207553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115.08752092056999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1.1640856384524746E-4</v>
      </c>
      <c r="AC105" s="24">
        <f t="shared" si="57"/>
        <v>115.08763732913383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-3.979039320256561E-13</v>
      </c>
      <c r="AJ105" s="14">
        <f>AI105*VLOOKUP('Données projet'!$B$10,Paramètres!$A$1:$I$89,3,0)*VLOOKUP('Données projet'!$B$10,Paramètres!$A$1:$I$89,5,0)</f>
        <v>-2.379465513513424E-13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211.38734697794843</v>
      </c>
      <c r="AO105" s="62">
        <f t="shared" si="90"/>
        <v>239.85955661394541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60.904533015922347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1.7221366411315908E-6</v>
      </c>
      <c r="AX105" s="23">
        <f t="shared" si="60"/>
        <v>60.904534738058985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-6.7984728957526396E-14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276.05121228874452</v>
      </c>
      <c r="T106" s="62">
        <f t="shared" si="88"/>
        <v>319.89882768207553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112.83072483177405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8.231328488316164E-5</v>
      </c>
      <c r="AC106" s="24">
        <f t="shared" si="57"/>
        <v>112.83080714505893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-3.979039320256561E-13</v>
      </c>
      <c r="AJ106" s="14">
        <f>AI106*VLOOKUP('Données projet'!$B$10,Paramètres!$A$1:$I$89,3,0)*VLOOKUP('Données projet'!$B$10,Paramètres!$A$1:$I$89,5,0)</f>
        <v>-2.379465513513424E-13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211.38734697794843</v>
      </c>
      <c r="AO106" s="62">
        <f t="shared" si="90"/>
        <v>239.85955661394541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59.710232271577176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1.2177344970739717E-6</v>
      </c>
      <c r="AX106" s="23">
        <f t="shared" si="60"/>
        <v>59.710233489311676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-6.7984728957526396E-14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276.05121228874452</v>
      </c>
      <c r="T107" s="62">
        <f t="shared" si="88"/>
        <v>319.89882768207553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110.61818313776971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5.8204281922623728E-5</v>
      </c>
      <c r="AC107" s="24">
        <f t="shared" si="57"/>
        <v>110.61824134205163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-3.979039320256561E-13</v>
      </c>
      <c r="AJ107" s="14">
        <f>AI107*VLOOKUP('Données projet'!$B$10,Paramètres!$A$1:$I$89,3,0)*VLOOKUP('Données projet'!$B$10,Paramètres!$A$1:$I$89,5,0)</f>
        <v>-2.379465513513424E-13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211.38734697794843</v>
      </c>
      <c r="AO107" s="62">
        <f t="shared" si="90"/>
        <v>239.85955661394541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58.539351036377091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8.6106832056579542E-7</v>
      </c>
      <c r="AX107" s="23">
        <f t="shared" si="60"/>
        <v>58.539351897445414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-6.7984728957526396E-14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276.05121228874452</v>
      </c>
      <c r="T108" s="62">
        <f t="shared" si="88"/>
        <v>319.89882768207553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108.4490280368676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4.115664244158082E-5</v>
      </c>
      <c r="AC108" s="24">
        <f t="shared" si="57"/>
        <v>108.44906919351004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-3.979039320256561E-13</v>
      </c>
      <c r="AJ108" s="14">
        <f>AI108*VLOOKUP('Données projet'!$B$10,Paramètres!$A$1:$I$89,3,0)*VLOOKUP('Données projet'!$B$10,Paramètres!$A$1:$I$89,5,0)</f>
        <v>-2.379465513513424E-13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211.38734697794843</v>
      </c>
      <c r="AO108" s="62">
        <f t="shared" si="90"/>
        <v>239.85955661394541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57.391430068032243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6.0886724853698585E-7</v>
      </c>
      <c r="AX108" s="23">
        <f t="shared" si="60"/>
        <v>57.391430676899489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-6.7984728957526396E-14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276.05121228874452</v>
      </c>
      <c r="T109" s="62">
        <f t="shared" si="88"/>
        <v>319.89882768207553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106.32240874444022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2.9102140961311864E-5</v>
      </c>
      <c r="AC109" s="24">
        <f t="shared" si="57"/>
        <v>106.32243784658118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-3.979039320256561E-13</v>
      </c>
      <c r="AJ109" s="14">
        <f>AI109*VLOOKUP('Données projet'!$B$10,Paramètres!$A$1:$I$89,3,0)*VLOOKUP('Données projet'!$B$10,Paramètres!$A$1:$I$89,5,0)</f>
        <v>-2.379465513513424E-13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211.38734697794843</v>
      </c>
      <c r="AO109" s="62">
        <f t="shared" si="90"/>
        <v>239.85955661394541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56.266019129713982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4.3053416028289771E-7</v>
      </c>
      <c r="AX109" s="23">
        <f t="shared" si="60"/>
        <v>56.266019560248139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-6.7984728957526396E-14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276.05121228874452</v>
      </c>
      <c r="T110" s="62">
        <f t="shared" si="88"/>
        <v>319.89882768207553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104.23749115922766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2.057832122079041E-5</v>
      </c>
      <c r="AC110" s="24">
        <f t="shared" si="57"/>
        <v>104.23751173754889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-3.979039320256561E-13</v>
      </c>
      <c r="AJ110" s="14">
        <f>AI110*VLOOKUP('Données projet'!$B$10,Paramètres!$A$1:$I$89,3,0)*VLOOKUP('Données projet'!$B$10,Paramètres!$A$1:$I$89,5,0)</f>
        <v>-2.379465513513424E-13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211.38734697794843</v>
      </c>
      <c r="AO110" s="62">
        <f t="shared" si="90"/>
        <v>239.85955661394541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55.16267681346325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3.0443362426849292E-7</v>
      </c>
      <c r="AX110" s="23">
        <f t="shared" si="60"/>
        <v>55.162677117896877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-6.7984728957526396E-14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276.05121228874452</v>
      </c>
      <c r="T111" s="62">
        <f t="shared" si="88"/>
        <v>319.89882768207553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102.19345753618694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1.4551070480655932E-5</v>
      </c>
      <c r="AC111" s="24">
        <f t="shared" si="57"/>
        <v>102.19347208725742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-3.979039320256561E-13</v>
      </c>
      <c r="AJ111" s="14">
        <f>AI111*VLOOKUP('Données projet'!$B$10,Paramètres!$A$1:$I$89,3,0)*VLOOKUP('Données projet'!$B$10,Paramètres!$A$1:$I$89,5,0)</f>
        <v>-2.379465513513424E-13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211.38734697794843</v>
      </c>
      <c r="AO111" s="62">
        <f t="shared" si="90"/>
        <v>239.85955661394541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54.080970367061838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2.1526708014144885E-7</v>
      </c>
      <c r="AX111" s="23">
        <f t="shared" si="60"/>
        <v>54.080970582328916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-6.7984728957526396E-14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276.05121228874452</v>
      </c>
      <c r="T112" s="62">
        <f t="shared" si="88"/>
        <v>319.89882768207553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100.18950616575665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1.0289160610395205E-5</v>
      </c>
      <c r="AC112" s="24">
        <f t="shared" si="57"/>
        <v>100.18951645491727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-3.979039320256561E-13</v>
      </c>
      <c r="AJ112" s="14">
        <f>AI112*VLOOKUP('Données projet'!$B$10,Paramètres!$A$1:$I$89,3,0)*VLOOKUP('Données projet'!$B$10,Paramètres!$A$1:$I$89,5,0)</f>
        <v>-2.379465513513424E-13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211.38734697794843</v>
      </c>
      <c r="AO112" s="62">
        <f t="shared" si="90"/>
        <v>239.85955661394541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53.020475524298568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1.5221681213424646E-7</v>
      </c>
      <c r="AX112" s="23">
        <f t="shared" si="60"/>
        <v>53.020475676515382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-6.7984728957526396E-14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276.05121228874452</v>
      </c>
      <c r="T113" s="62">
        <f t="shared" si="88"/>
        <v>319.89882768207553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98.224851059410852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7.2755352403279661E-6</v>
      </c>
      <c r="AC113" s="24">
        <f t="shared" si="57"/>
        <v>98.224858334946092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-3.979039320256561E-13</v>
      </c>
      <c r="AJ113" s="14">
        <f>AI113*VLOOKUP('Données projet'!$B$10,Paramètres!$A$1:$I$89,3,0)*VLOOKUP('Données projet'!$B$10,Paramètres!$A$1:$I$89,5,0)</f>
        <v>-2.379465513513424E-13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211.38734697794843</v>
      </c>
      <c r="AO113" s="62">
        <f t="shared" si="90"/>
        <v>239.85955661394541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51.980776338563906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1.0763354007072443E-7</v>
      </c>
      <c r="AX113" s="23">
        <f t="shared" si="60"/>
        <v>51.980776446197446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-6.7984728957526396E-14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276.05121228874452</v>
      </c>
      <c r="T114" s="62">
        <f t="shared" si="88"/>
        <v>319.89882768207553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96.298721641379203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5.1445803051976025E-6</v>
      </c>
      <c r="AC114" s="24">
        <f t="shared" si="57"/>
        <v>96.298726785959502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-3.979039320256561E-13</v>
      </c>
      <c r="AJ114" s="14">
        <f>AI114*VLOOKUP('Données projet'!$B$10,Paramètres!$A$1:$I$89,3,0)*VLOOKUP('Données projet'!$B$10,Paramètres!$A$1:$I$89,5,0)</f>
        <v>-2.379465513513424E-13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211.38734697794843</v>
      </c>
      <c r="AO114" s="62">
        <f t="shared" si="90"/>
        <v>239.85955661394541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50.96146501970761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7.6108406067123231E-8</v>
      </c>
      <c r="AX114" s="23">
        <f t="shared" si="60"/>
        <v>50.961465095816017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-6.7984728957526396E-14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276.05121228874452</v>
      </c>
      <c r="T115" s="62">
        <f t="shared" si="88"/>
        <v>319.89882768207553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94.410362446412222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3.637767620163983E-6</v>
      </c>
      <c r="AC115" s="24">
        <f t="shared" si="57"/>
        <v>94.410366084179842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-3.979039320256561E-13</v>
      </c>
      <c r="AJ115" s="14">
        <f>AI115*VLOOKUP('Données projet'!$B$10,Paramètres!$A$1:$I$89,3,0)*VLOOKUP('Données projet'!$B$10,Paramètres!$A$1:$I$89,5,0)</f>
        <v>-2.379465513513424E-13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211.38734697794843</v>
      </c>
      <c r="AO115" s="62">
        <f t="shared" si="90"/>
        <v>239.85955661394541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49.962141774095571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5.3816770035362214E-8</v>
      </c>
      <c r="AX115" s="23">
        <f t="shared" si="60"/>
        <v>49.96214182791234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-6.7984728957526396E-14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276.05121228874452</v>
      </c>
      <c r="T116" s="62">
        <f t="shared" si="88"/>
        <v>319.89882768207553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92.55903282347316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2.5722901525988012E-6</v>
      </c>
      <c r="AC116" s="24">
        <f t="shared" si="57"/>
        <v>92.559035395763317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-3.979039320256561E-13</v>
      </c>
      <c r="AJ116" s="14">
        <f>AI116*VLOOKUP('Données projet'!$B$10,Paramètres!$A$1:$I$89,3,0)*VLOOKUP('Données projet'!$B$10,Paramètres!$A$1:$I$89,5,0)</f>
        <v>-2.379465513513424E-13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211.38734697794843</v>
      </c>
      <c r="AO116" s="62">
        <f t="shared" si="90"/>
        <v>239.85955661394541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48.98241464780299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3.8054203033561616E-8</v>
      </c>
      <c r="AX116" s="23">
        <f t="shared" si="60"/>
        <v>48.982414685857194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-6.7984728957526396E-14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276.05121228874452</v>
      </c>
      <c r="T117" s="62">
        <f t="shared" si="88"/>
        <v>319.89882768207553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90.744006645240361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1.8188838100819915E-6</v>
      </c>
      <c r="AC117" s="24">
        <f t="shared" si="57"/>
        <v>90.744008464124178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-3.979039320256561E-13</v>
      </c>
      <c r="AJ117" s="14">
        <f>AI117*VLOOKUP('Données projet'!$B$10,Paramètres!$A$1:$I$89,3,0)*VLOOKUP('Données projet'!$B$10,Paramètres!$A$1:$I$89,5,0)</f>
        <v>-2.379465513513424E-13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211.38734697794843</v>
      </c>
      <c r="AO117" s="62">
        <f t="shared" si="90"/>
        <v>239.85955661394541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48.021899372882466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2.6908385017681107E-8</v>
      </c>
      <c r="AX117" s="23">
        <f t="shared" si="60"/>
        <v>48.021899399790854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-6.7984728957526396E-14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276.05121228874452</v>
      </c>
      <c r="T118" s="62">
        <f t="shared" si="88"/>
        <v>319.89882768207553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88.964572023306047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1.2861450762994006E-6</v>
      </c>
      <c r="AC118" s="24">
        <f t="shared" si="57"/>
        <v>88.964573309451126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-3.979039320256561E-13</v>
      </c>
      <c r="AJ118" s="14">
        <f>AI118*VLOOKUP('Données projet'!$B$10,Paramètres!$A$1:$I$89,3,0)*VLOOKUP('Données projet'!$B$10,Paramètres!$A$1:$I$89,5,0)</f>
        <v>-2.379465513513424E-13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211.38734697794843</v>
      </c>
      <c r="AO118" s="62">
        <f t="shared" si="90"/>
        <v>239.85955661394541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47.080219216646668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1.9027101516780808E-8</v>
      </c>
      <c r="AX118" s="23">
        <f t="shared" si="60"/>
        <v>47.080219235673766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-6.7984728957526396E-14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276.05121228874452</v>
      </c>
      <c r="T119" s="62">
        <f t="shared" si="88"/>
        <v>319.89882768207553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87.220031028959923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9.0944190504099576E-7</v>
      </c>
      <c r="AC119" s="24">
        <f t="shared" si="57"/>
        <v>87.220031938401831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-3.979039320256561E-13</v>
      </c>
      <c r="AJ119" s="14">
        <f>AI119*VLOOKUP('Données projet'!$B$10,Paramètres!$A$1:$I$89,3,0)*VLOOKUP('Données projet'!$B$10,Paramètres!$A$1:$I$89,5,0)</f>
        <v>-2.379465513513424E-13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211.38734697794843</v>
      </c>
      <c r="AO119" s="62">
        <f t="shared" si="90"/>
        <v>239.85955661394541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46.15700483390647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1.3454192508840553E-8</v>
      </c>
      <c r="AX119" s="23">
        <f t="shared" si="60"/>
        <v>46.15700484736066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-6.7984728957526396E-14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276.05121228874452</v>
      </c>
      <c r="T120" s="62">
        <f t="shared" si="88"/>
        <v>319.89882768207553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85.509699419447983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6.4307253814970031E-7</v>
      </c>
      <c r="AC120" s="24">
        <f t="shared" si="57"/>
        <v>85.509700062520523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-3.979039320256561E-13</v>
      </c>
      <c r="AJ120" s="14">
        <f>AI120*VLOOKUP('Données projet'!$B$10,Paramètres!$A$1:$I$89,3,0)*VLOOKUP('Données projet'!$B$10,Paramètres!$A$1:$I$89,5,0)</f>
        <v>-2.379465513513424E-13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211.38734697794843</v>
      </c>
      <c r="AO120" s="62">
        <f t="shared" si="90"/>
        <v>239.85955661394541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45.251894122106634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9.5135507583904039E-9</v>
      </c>
      <c r="AX120" s="23">
        <f t="shared" si="60"/>
        <v>45.251894131620183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-6.7984728957526396E-14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276.05121228874452</v>
      </c>
      <c r="T121" s="62">
        <f t="shared" si="88"/>
        <v>319.89882768207553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83.8329063695993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4.5472095252049788E-7</v>
      </c>
      <c r="AC121" s="24">
        <f t="shared" si="57"/>
        <v>83.832906824320247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-3.979039320256561E-13</v>
      </c>
      <c r="AJ121" s="14">
        <f>AI121*VLOOKUP('Données projet'!$B$10,Paramètres!$A$1:$I$89,3,0)*VLOOKUP('Données projet'!$B$10,Paramètres!$A$1:$I$89,5,0)</f>
        <v>-2.379465513513424E-13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211.38734697794843</v>
      </c>
      <c r="AO121" s="62">
        <f t="shared" si="90"/>
        <v>239.85955661394541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44.364532079302172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6.7270962544202767E-9</v>
      </c>
      <c r="AX121" s="23">
        <f t="shared" si="60"/>
        <v>44.364532086029271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-6.7984728957526396E-14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276.05121228874452</v>
      </c>
      <c r="T122" s="62">
        <f t="shared" si="88"/>
        <v>319.89882768207553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82.188994208715371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3.2153626907485016E-7</v>
      </c>
      <c r="AC122" s="24">
        <f t="shared" si="57"/>
        <v>82.188994530251634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-3.979039320256561E-13</v>
      </c>
      <c r="AJ122" s="14">
        <f>AI122*VLOOKUP('Données projet'!$B$10,Paramètres!$A$1:$I$89,3,0)*VLOOKUP('Données projet'!$B$10,Paramètres!$A$1:$I$89,5,0)</f>
        <v>-2.379465513513424E-13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211.38734697794843</v>
      </c>
      <c r="AO122" s="62">
        <f t="shared" si="90"/>
        <v>239.85955661394541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43.494570664919699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4.7567753791952019E-9</v>
      </c>
      <c r="AX122" s="23">
        <f t="shared" si="60"/>
        <v>43.494570669676477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-6.7984728957526396E-14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276.05121228874452</v>
      </c>
      <c r="T123" s="62">
        <f t="shared" si="88"/>
        <v>319.89882768207553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80.577318162618965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2.2736047626024894E-7</v>
      </c>
      <c r="AC123" s="24">
        <f t="shared" si="57"/>
        <v>80.577318389979439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-3.979039320256561E-13</v>
      </c>
      <c r="AJ123" s="14">
        <f>AI123*VLOOKUP('Données projet'!$B$10,Paramètres!$A$1:$I$89,3,0)*VLOOKUP('Données projet'!$B$10,Paramètres!$A$1:$I$89,5,0)</f>
        <v>-2.379465513513424E-13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211.38734697794843</v>
      </c>
      <c r="AO123" s="62">
        <f t="shared" si="90"/>
        <v>239.85955661394541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42.641668663249199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3.3635481272101384E-9</v>
      </c>
      <c r="AX123" s="23">
        <f t="shared" si="60"/>
        <v>42.641668666612745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-6.7984728957526396E-14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276.05121228874452</v>
      </c>
      <c r="T124" s="62">
        <f t="shared" si="88"/>
        <v>319.89882768207553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78.997246100761188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1.6076813453742508E-7</v>
      </c>
      <c r="AC124" s="24">
        <f t="shared" si="57"/>
        <v>78.997246261529327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-3.979039320256561E-13</v>
      </c>
      <c r="AJ124" s="14">
        <f>AI124*VLOOKUP('Données projet'!$B$10,Paramètres!$A$1:$I$89,3,0)*VLOOKUP('Données projet'!$B$10,Paramètres!$A$1:$I$89,5,0)</f>
        <v>-2.379465513513424E-13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211.38734697794843</v>
      </c>
      <c r="AO124" s="62">
        <f t="shared" si="90"/>
        <v>239.85955661394541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41.805491549612604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2.378387689597601E-9</v>
      </c>
      <c r="AX124" s="23">
        <f t="shared" si="60"/>
        <v>41.80549155199099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-6.7984728957526396E-14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276.05121228874452</v>
      </c>
      <c r="T125" s="62">
        <f t="shared" si="88"/>
        <v>319.89882768207553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77.448158288287658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1.1368023813012447E-7</v>
      </c>
      <c r="AC125" s="24">
        <f t="shared" si="57"/>
        <v>77.448158401967902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-3.979039320256561E-13</v>
      </c>
      <c r="AJ125" s="14">
        <f>AI125*VLOOKUP('Données projet'!$B$10,Paramètres!$A$1:$I$89,3,0)*VLOOKUP('Données projet'!$B$10,Paramètres!$A$1:$I$89,5,0)</f>
        <v>-2.379465513513424E-13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211.38734697794843</v>
      </c>
      <c r="AO125" s="62">
        <f t="shared" si="90"/>
        <v>239.85955661394541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40.985711359156745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1.6817740636050692E-9</v>
      </c>
      <c r="AX125" s="23">
        <f t="shared" si="60"/>
        <v>40.985711360838522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-6.7984728957526396E-14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276.05121228874452</v>
      </c>
      <c r="T126" s="62">
        <f t="shared" si="88"/>
        <v>319.89882768207553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75.929447142966453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8.0384067268712539E-8</v>
      </c>
      <c r="AC126" s="24">
        <f t="shared" si="57"/>
        <v>75.929447223350522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-3.979039320256561E-13</v>
      </c>
      <c r="AJ126" s="14">
        <f>AI126*VLOOKUP('Données projet'!$B$10,Paramètres!$A$1:$I$89,3,0)*VLOOKUP('Données projet'!$B$10,Paramètres!$A$1:$I$89,5,0)</f>
        <v>-2.379465513513424E-13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211.38734697794843</v>
      </c>
      <c r="AO126" s="62">
        <f t="shared" si="90"/>
        <v>239.85955661394541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40.182006558219186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1.1891938447988005E-9</v>
      </c>
      <c r="AX126" s="23">
        <f t="shared" si="60"/>
        <v>40.182006559408379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-6.7984728957526396E-14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276.05121228874452</v>
      </c>
      <c r="T127" s="62">
        <f t="shared" si="88"/>
        <v>319.89882768207553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74.440516996882664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5.6840119065062235E-8</v>
      </c>
      <c r="AC127" s="24">
        <f t="shared" si="57"/>
        <v>74.440517053722786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-3.979039320256561E-13</v>
      </c>
      <c r="AJ127" s="14">
        <f>AI127*VLOOKUP('Données projet'!$B$10,Paramètres!$A$1:$I$89,3,0)*VLOOKUP('Données projet'!$B$10,Paramètres!$A$1:$I$89,5,0)</f>
        <v>-2.379465513513424E-13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211.38734697794843</v>
      </c>
      <c r="AO127" s="62">
        <f t="shared" si="90"/>
        <v>239.85955661394541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39.394061918216487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8.4088703180253459E-10</v>
      </c>
      <c r="AX127" s="23">
        <f t="shared" si="60"/>
        <v>39.394061919057371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-6.7984728957526396E-14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276.05121228874452</v>
      </c>
      <c r="T128" s="62">
        <f t="shared" si="88"/>
        <v>319.89882768207553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72.980783862805865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4.0192033634356269E-8</v>
      </c>
      <c r="AC128" s="24">
        <f t="shared" si="57"/>
        <v>72.980783902997899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-3.979039320256561E-13</v>
      </c>
      <c r="AJ128" s="14">
        <f>AI128*VLOOKUP('Données projet'!$B$10,Paramètres!$A$1:$I$89,3,0)*VLOOKUP('Données projet'!$B$10,Paramètres!$A$1:$I$89,5,0)</f>
        <v>-2.379465513513424E-13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211.38734697794843</v>
      </c>
      <c r="AO128" s="62">
        <f t="shared" si="90"/>
        <v>239.85955661394541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38.621568392005464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5.9459692239940024E-10</v>
      </c>
      <c r="AX128" s="23">
        <f t="shared" si="60"/>
        <v>38.621568392600061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-6.7984728957526396E-14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276.05121228874452</v>
      </c>
      <c r="T129" s="62">
        <f t="shared" si="88"/>
        <v>319.89882768207553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71.54967520513901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2.8420059532531117E-8</v>
      </c>
      <c r="AC129" s="24">
        <f t="shared" si="57"/>
        <v>71.549675233559071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-3.979039320256561E-13</v>
      </c>
      <c r="AJ129" s="14">
        <f>AI129*VLOOKUP('Données projet'!$B$10,Paramètres!$A$1:$I$89,3,0)*VLOOKUP('Données projet'!$B$10,Paramètres!$A$1:$I$89,5,0)</f>
        <v>-2.379465513513424E-13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211.38734697794843</v>
      </c>
      <c r="AO129" s="62">
        <f t="shared" si="90"/>
        <v>239.85955661394541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37.864222992668914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4.2044351590126729E-10</v>
      </c>
      <c r="AX129" s="23">
        <f t="shared" si="60"/>
        <v>37.864222993089356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-6.7984728957526396E-14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276.05121228874452</v>
      </c>
      <c r="T130" s="62">
        <f t="shared" si="88"/>
        <v>319.89882768207553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70.146629715358912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2.0096016817178135E-8</v>
      </c>
      <c r="AC130" s="24">
        <f t="shared" si="57"/>
        <v>70.146629735454923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-3.979039320256561E-13</v>
      </c>
      <c r="AJ130" s="14">
        <f>AI130*VLOOKUP('Données projet'!$B$10,Paramètres!$A$1:$I$89,3,0)*VLOOKUP('Données projet'!$B$10,Paramètres!$A$1:$I$89,5,0)</f>
        <v>-2.379465513513424E-13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211.38734697794843</v>
      </c>
      <c r="AO130" s="62">
        <f t="shared" si="90"/>
        <v>239.85955661394541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37.121728674678273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2.9729846119970012E-10</v>
      </c>
      <c r="AX130" s="23">
        <f t="shared" si="60"/>
        <v>37.121728674975571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-6.7984728957526396E-14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276.05121228874452</v>
      </c>
      <c r="T131" s="62">
        <f t="shared" si="88"/>
        <v>319.89882768207553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68.771097091860156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1.4210029766265559E-8</v>
      </c>
      <c r="AC131" s="24">
        <f t="shared" si="57"/>
        <v>68.771097106070187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-3.979039320256561E-13</v>
      </c>
      <c r="AJ131" s="14">
        <f>AI131*VLOOKUP('Données projet'!$B$10,Paramètres!$A$1:$I$89,3,0)*VLOOKUP('Données projet'!$B$10,Paramètres!$A$1:$I$89,5,0)</f>
        <v>-2.379465513513424E-13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211.38734697794843</v>
      </c>
      <c r="AO131" s="62">
        <f t="shared" si="90"/>
        <v>239.85955661394541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36.393794217386613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2.1022175795063365E-10</v>
      </c>
      <c r="AX131" s="23">
        <f t="shared" si="60"/>
        <v>36.393794217596835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-6.7984728957526396E-14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276.05121228874452</v>
      </c>
      <c r="T132" s="62">
        <f t="shared" si="88"/>
        <v>319.89882768207553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67.422537824116162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1.0048008408589067E-8</v>
      </c>
      <c r="AC132" s="24">
        <f t="shared" ref="AC132:AC153" si="111">SUM(Z132:AB132)</f>
        <v>67.422537834164174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-3.979039320256561E-13</v>
      </c>
      <c r="AJ132" s="14">
        <f>AI132*VLOOKUP('Données projet'!$B$10,Paramètres!$A$1:$I$89,3,0)*VLOOKUP('Données projet'!$B$10,Paramètres!$A$1:$I$89,5,0)</f>
        <v>-2.379465513513424E-13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211.38734697794843</v>
      </c>
      <c r="AO132" s="62">
        <f t="shared" si="90"/>
        <v>239.85955661394541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35.680134110806264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1.4864923059985006E-10</v>
      </c>
      <c r="AX132" s="23">
        <f t="shared" ref="AX132:AX153" si="114">SUM(AU132:AW132)</f>
        <v>35.680134110954917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-6.7984728957526396E-14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276.05121228874452</v>
      </c>
      <c r="T133" s="62">
        <f t="shared" ref="T133:T196" si="142">$T$3</f>
        <v>319.89882768207553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66.100422981072697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7.1050148831327794E-9</v>
      </c>
      <c r="AC133" s="24">
        <f t="shared" si="111"/>
        <v>66.100422988177712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-3.979039320256561E-13</v>
      </c>
      <c r="AJ133" s="14">
        <f>AI133*VLOOKUP('Données projet'!$B$10,Paramètres!$A$1:$I$89,3,0)*VLOOKUP('Données projet'!$B$10,Paramètres!$A$1:$I$89,5,0)</f>
        <v>-2.379465513513424E-13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211.38734697794843</v>
      </c>
      <c r="AO133" s="62">
        <f t="shared" ref="AO133:AO196" si="144">$AO$3</f>
        <v>239.85955661394541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34.980468443626272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1.0511087897531682E-10</v>
      </c>
      <c r="AX133" s="23">
        <f t="shared" si="114"/>
        <v>34.980468443731382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-6.7984728957526396E-14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276.05121228874452</v>
      </c>
      <c r="T134" s="62">
        <f t="shared" si="142"/>
        <v>319.89882768207553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64.80423400369088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5.0240042042945337E-9</v>
      </c>
      <c r="AC134" s="24">
        <f t="shared" si="111"/>
        <v>64.804234008714886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-3.979039320256561E-13</v>
      </c>
      <c r="AJ134" s="14">
        <f>AI134*VLOOKUP('Données projet'!$B$10,Paramètres!$A$1:$I$89,3,0)*VLOOKUP('Données projet'!$B$10,Paramètres!$A$1:$I$89,5,0)</f>
        <v>-2.379465513513424E-13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211.38734697794843</v>
      </c>
      <c r="AO134" s="62">
        <f t="shared" si="144"/>
        <v>239.85955661394541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34.294522793425756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7.432461529992503E-11</v>
      </c>
      <c r="AX134" s="23">
        <f t="shared" si="114"/>
        <v>34.294522793500079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-6.7984728957526396E-14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276.05121228874452</v>
      </c>
      <c r="T135" s="62">
        <f t="shared" si="142"/>
        <v>319.89882768207553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63.533462501558311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3.5525074415663897E-9</v>
      </c>
      <c r="AC135" s="24">
        <f t="shared" si="111"/>
        <v>63.533462505110819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-3.979039320256561E-13</v>
      </c>
      <c r="AJ135" s="14">
        <f>AI135*VLOOKUP('Données projet'!$B$10,Paramètres!$A$1:$I$89,3,0)*VLOOKUP('Données projet'!$B$10,Paramètres!$A$1:$I$89,5,0)</f>
        <v>-2.379465513513424E-13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211.38734697794843</v>
      </c>
      <c r="AO135" s="62">
        <f t="shared" si="144"/>
        <v>239.85955661394541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33.622028119040138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5.2555439487658412E-11</v>
      </c>
      <c r="AX135" s="23">
        <f t="shared" si="114"/>
        <v>33.622028119092697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-6.7984728957526396E-14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276.05121228874452</v>
      </c>
      <c r="T136" s="62">
        <f t="shared" si="142"/>
        <v>319.89882768207553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62.287610053488478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2.5120021021472668E-9</v>
      </c>
      <c r="AC136" s="24">
        <f t="shared" si="111"/>
        <v>62.287610056000482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-3.979039320256561E-13</v>
      </c>
      <c r="AJ136" s="14">
        <f>AI136*VLOOKUP('Données projet'!$B$10,Paramètres!$A$1:$I$89,3,0)*VLOOKUP('Données projet'!$B$10,Paramètres!$A$1:$I$89,5,0)</f>
        <v>-2.379465513513424E-13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211.38734697794843</v>
      </c>
      <c r="AO136" s="62">
        <f t="shared" si="144"/>
        <v>239.85955661394541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32.962720655037977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3.7162307649962515E-11</v>
      </c>
      <c r="AX136" s="23">
        <f t="shared" si="114"/>
        <v>32.962720655075138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-6.7984728957526396E-14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276.05121228874452</v>
      </c>
      <c r="T137" s="62">
        <f t="shared" si="142"/>
        <v>319.89882768207553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61.066188012030331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1.7762537207831948E-9</v>
      </c>
      <c r="AC137" s="24">
        <f t="shared" si="111"/>
        <v>61.066188013806581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-3.979039320256561E-13</v>
      </c>
      <c r="AJ137" s="14">
        <f>AI137*VLOOKUP('Données projet'!$B$10,Paramètres!$A$1:$I$89,3,0)*VLOOKUP('Données projet'!$B$10,Paramètres!$A$1:$I$89,5,0)</f>
        <v>-2.379465513513424E-13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211.38734697794843</v>
      </c>
      <c r="AO137" s="62">
        <f t="shared" si="144"/>
        <v>239.85955661394541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32.316341808267047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2.6277719743829206E-11</v>
      </c>
      <c r="AX137" s="23">
        <f t="shared" si="114"/>
        <v>32.316341808293323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-6.7984728957526396E-14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276.05121228874452</v>
      </c>
      <c r="T138" s="62">
        <f t="shared" si="142"/>
        <v>319.89882768207553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59.868717311811295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1.2560010510736334E-9</v>
      </c>
      <c r="AC138" s="24">
        <f t="shared" si="111"/>
        <v>59.868717313067293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-3.979039320256561E-13</v>
      </c>
      <c r="AJ138" s="14">
        <f>AI138*VLOOKUP('Données projet'!$B$10,Paramètres!$A$1:$I$89,3,0)*VLOOKUP('Données projet'!$B$10,Paramètres!$A$1:$I$89,5,0)</f>
        <v>-2.379465513513424E-13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211.38734697794843</v>
      </c>
      <c r="AO138" s="62">
        <f t="shared" si="144"/>
        <v>239.85955661394541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31.682638056429131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1.8581153824981258E-11</v>
      </c>
      <c r="AX138" s="23">
        <f t="shared" si="114"/>
        <v>31.682638056447711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-6.7984728957526396E-14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276.05121228874452</v>
      </c>
      <c r="T139" s="62">
        <f t="shared" si="142"/>
        <v>319.89882768207553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58.694728281638547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8.8812686039159742E-10</v>
      </c>
      <c r="AC139" s="24">
        <f t="shared" si="111"/>
        <v>58.694728282526675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-3.979039320256561E-13</v>
      </c>
      <c r="AJ139" s="14">
        <f>AI139*VLOOKUP('Données projet'!$B$10,Paramètres!$A$1:$I$89,3,0)*VLOOKUP('Données projet'!$B$10,Paramètres!$A$1:$I$89,5,0)</f>
        <v>-2.379465513513424E-13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211.38734697794843</v>
      </c>
      <c r="AO139" s="62">
        <f t="shared" si="144"/>
        <v>239.85955661394541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31.061360848643634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1.3138859871914603E-11</v>
      </c>
      <c r="AX139" s="23">
        <f t="shared" si="114"/>
        <v>31.061360848656772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-6.7984728957526396E-14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276.05121228874452</v>
      </c>
      <c r="T140" s="62">
        <f t="shared" si="142"/>
        <v>319.89882768207553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57.543760460284886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6.2800052553681671E-10</v>
      </c>
      <c r="AC140" s="24">
        <f t="shared" si="111"/>
        <v>57.543760460912885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-3.979039320256561E-13</v>
      </c>
      <c r="AJ140" s="14">
        <f>AI140*VLOOKUP('Données projet'!$B$10,Paramètres!$A$1:$I$89,3,0)*VLOOKUP('Données projet'!$B$10,Paramètres!$A$1:$I$89,5,0)</f>
        <v>-2.379465513513424E-13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211.38734697794843</v>
      </c>
      <c r="AO140" s="62">
        <f t="shared" si="144"/>
        <v>239.85955661394541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30.452266507961131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9.2905769124906288E-12</v>
      </c>
      <c r="AX140" s="23">
        <f t="shared" si="114"/>
        <v>30.452266507970421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-6.7984728957526396E-14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276.05121228874452</v>
      </c>
      <c r="T141" s="62">
        <f t="shared" si="142"/>
        <v>319.89882768207553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56.415362415886918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4.4406343019579871E-10</v>
      </c>
      <c r="AC141" s="24">
        <f t="shared" si="111"/>
        <v>56.415362416330979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-3.979039320256561E-13</v>
      </c>
      <c r="AJ141" s="14">
        <f>AI141*VLOOKUP('Données projet'!$B$10,Paramètres!$A$1:$I$89,3,0)*VLOOKUP('Données projet'!$B$10,Paramètres!$A$1:$I$89,5,0)</f>
        <v>-2.379465513513424E-13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211.38734697794843</v>
      </c>
      <c r="AO141" s="62">
        <f t="shared" si="144"/>
        <v>239.85955661394541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29.855116135788549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6.5694299359573015E-12</v>
      </c>
      <c r="AX141" s="23">
        <f t="shared" si="114"/>
        <v>29.855116135795118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-6.7984728957526396E-14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276.05121228874452</v>
      </c>
      <c r="T142" s="62">
        <f t="shared" si="142"/>
        <v>319.89882768207553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55.309091568884746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3.1400026276840835E-10</v>
      </c>
      <c r="AC142" s="24">
        <f t="shared" si="111"/>
        <v>55.309091569198749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-3.979039320256561E-13</v>
      </c>
      <c r="AJ142" s="14">
        <f>AI142*VLOOKUP('Données projet'!$B$10,Paramètres!$A$1:$I$89,3,0)*VLOOKUP('Données projet'!$B$10,Paramètres!$A$1:$I$89,5,0)</f>
        <v>-2.379465513513424E-13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211.38734697794843</v>
      </c>
      <c r="AO142" s="62">
        <f t="shared" si="144"/>
        <v>239.85955661394541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29.269675518188507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4.6452884562453144E-12</v>
      </c>
      <c r="AX142" s="23">
        <f t="shared" si="114"/>
        <v>29.269675518193154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-6.7984728957526396E-14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276.05121228874452</v>
      </c>
      <c r="T143" s="62">
        <f t="shared" si="142"/>
        <v>319.89882768207553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54.224514018433695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2.2203171509789935E-10</v>
      </c>
      <c r="AC143" s="24">
        <f t="shared" si="111"/>
        <v>54.224514018655725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-3.979039320256561E-13</v>
      </c>
      <c r="AJ143" s="14">
        <f>AI143*VLOOKUP('Données projet'!$B$10,Paramètres!$A$1:$I$89,3,0)*VLOOKUP('Données projet'!$B$10,Paramètres!$A$1:$I$89,5,0)</f>
        <v>-2.379465513513424E-13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211.38734697794843</v>
      </c>
      <c r="AO143" s="62">
        <f t="shared" si="144"/>
        <v>239.85955661394541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28.695715034016086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3.2847149679786507E-12</v>
      </c>
      <c r="AX143" s="23">
        <f t="shared" si="114"/>
        <v>28.695715034019372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-6.7984728957526396E-14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276.05121228874452</v>
      </c>
      <c r="T144" s="62">
        <f t="shared" si="142"/>
        <v>319.89882768207553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53.161204372220006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1.5700013138420418E-10</v>
      </c>
      <c r="AC144" s="24">
        <f t="shared" si="111"/>
        <v>53.161204372377007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-3.979039320256561E-13</v>
      </c>
      <c r="AJ144" s="14">
        <f>AI144*VLOOKUP('Données projet'!$B$10,Paramètres!$A$1:$I$89,3,0)*VLOOKUP('Données projet'!$B$10,Paramètres!$A$1:$I$89,5,0)</f>
        <v>-2.379465513513424E-13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211.38734697794843</v>
      </c>
      <c r="AO144" s="62">
        <f t="shared" si="144"/>
        <v>239.85955661394541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28.133009564856959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2.3226442281226572E-12</v>
      </c>
      <c r="AX144" s="23">
        <f t="shared" si="114"/>
        <v>28.133009564859282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-6.7984728957526396E-14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276.05121228874452</v>
      </c>
      <c r="T145" s="62">
        <f t="shared" si="142"/>
        <v>319.89882768207553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52.118745579613723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1.1101585754894968E-10</v>
      </c>
      <c r="AC145" s="24">
        <f t="shared" si="111"/>
        <v>52.118745579724738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-3.979039320256561E-13</v>
      </c>
      <c r="AJ145" s="14">
        <f>AI145*VLOOKUP('Données projet'!$B$10,Paramètres!$A$1:$I$89,3,0)*VLOOKUP('Données projet'!$B$10,Paramètres!$A$1:$I$89,5,0)</f>
        <v>-2.379465513513424E-13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211.38734697794843</v>
      </c>
      <c r="AO145" s="62">
        <f t="shared" si="144"/>
        <v>239.85955661394541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27.581338406731593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1.6423574839893254E-12</v>
      </c>
      <c r="AX145" s="23">
        <f t="shared" si="114"/>
        <v>27.581338406733234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-6.7984728957526396E-14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276.05121228874452</v>
      </c>
      <c r="T146" s="62">
        <f t="shared" si="142"/>
        <v>319.89882768207553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51.096728768093371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7.8500065692102089E-11</v>
      </c>
      <c r="AC146" s="24">
        <f t="shared" si="111"/>
        <v>51.096728768171872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-3.979039320256561E-13</v>
      </c>
      <c r="AJ146" s="14">
        <f>AI146*VLOOKUP('Données projet'!$B$10,Paramètres!$A$1:$I$89,3,0)*VLOOKUP('Données projet'!$B$10,Paramètres!$A$1:$I$89,5,0)</f>
        <v>-2.379465513513424E-13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211.38734697794843</v>
      </c>
      <c r="AO146" s="62">
        <f t="shared" si="144"/>
        <v>239.85955661394541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27.040485183530887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1.1613221140613286E-12</v>
      </c>
      <c r="AX146" s="23">
        <f t="shared" si="114"/>
        <v>27.040485183532049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-6.7984728957526396E-14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276.05121228874452</v>
      </c>
      <c r="T147" s="62">
        <f t="shared" si="142"/>
        <v>319.89882768207553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50.094753082878228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5.5507928774474839E-11</v>
      </c>
      <c r="AC147" s="24">
        <f t="shared" si="111"/>
        <v>50.094753082933735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-3.979039320256561E-13</v>
      </c>
      <c r="AJ147" s="14">
        <f>AI147*VLOOKUP('Données projet'!$B$10,Paramètres!$A$1:$I$89,3,0)*VLOOKUP('Données projet'!$B$10,Paramètres!$A$1:$I$89,5,0)</f>
        <v>-2.379465513513424E-13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211.38734697794843</v>
      </c>
      <c r="AO147" s="62">
        <f t="shared" si="144"/>
        <v>239.85955661394541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26.510237762149252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8.2117874199466268E-13</v>
      </c>
      <c r="AX147" s="23">
        <f t="shared" si="114"/>
        <v>26.510237762150073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-6.7984728957526396E-14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276.05121228874452</v>
      </c>
      <c r="T148" s="62">
        <f t="shared" si="142"/>
        <v>319.89882768207553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49.112425529705334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3.9250032846051044E-11</v>
      </c>
      <c r="AC148" s="24">
        <f t="shared" si="111"/>
        <v>49.112425529744584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-3.979039320256561E-13</v>
      </c>
      <c r="AJ148" s="14">
        <f>AI148*VLOOKUP('Données projet'!$B$10,Paramètres!$A$1:$I$89,3,0)*VLOOKUP('Données projet'!$B$10,Paramètres!$A$1:$I$89,5,0)</f>
        <v>-2.379465513513424E-13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211.38734697794843</v>
      </c>
      <c r="AO148" s="62">
        <f t="shared" si="144"/>
        <v>239.85955661394541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25.990388169281921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5.806610570306643E-13</v>
      </c>
      <c r="AX148" s="23">
        <f t="shared" si="114"/>
        <v>25.9903881692825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-6.7984728957526396E-14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276.05121228874452</v>
      </c>
      <c r="T149" s="62">
        <f t="shared" si="142"/>
        <v>319.89882768207553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48.149360820689516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2.7753964387237419E-11</v>
      </c>
      <c r="AC149" s="24">
        <f t="shared" si="111"/>
        <v>48.14936082071727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-3.979039320256561E-13</v>
      </c>
      <c r="AJ149" s="14">
        <f>AI149*VLOOKUP('Données projet'!$B$10,Paramètres!$A$1:$I$89,3,0)*VLOOKUP('Données projet'!$B$10,Paramètres!$A$1:$I$89,5,0)</f>
        <v>-2.379465513513424E-13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211.38734697794843</v>
      </c>
      <c r="AO149" s="62">
        <f t="shared" si="144"/>
        <v>239.85955661394541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25.480732509853773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4.1058937099733134E-13</v>
      </c>
      <c r="AX149" s="23">
        <f t="shared" si="114"/>
        <v>25.480732509854185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-6.7984728957526396E-14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276.05121228874452</v>
      </c>
      <c r="T150" s="62">
        <f t="shared" si="142"/>
        <v>319.89882768207553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47.205181223206026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1.9625016423025522E-11</v>
      </c>
      <c r="AC150" s="24">
        <f t="shared" si="111"/>
        <v>47.205181223225651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-3.979039320256561E-13</v>
      </c>
      <c r="AJ150" s="14">
        <f>AI150*VLOOKUP('Données projet'!$B$10,Paramètres!$A$1:$I$89,3,0)*VLOOKUP('Données projet'!$B$10,Paramètres!$A$1:$I$89,5,0)</f>
        <v>-2.379465513513424E-13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211.38734697794843</v>
      </c>
      <c r="AO150" s="62">
        <f t="shared" si="144"/>
        <v>239.85955661394541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24.981070887047753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2.9033052851533215E-13</v>
      </c>
      <c r="AX150" s="23">
        <f t="shared" si="114"/>
        <v>24.981070887048045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-6.7984728957526396E-14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276.05121228874452</v>
      </c>
      <c r="T151" s="62">
        <f t="shared" si="142"/>
        <v>319.89882768207553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46.279516411736495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1.387698219361871E-11</v>
      </c>
      <c r="AC151" s="24">
        <f t="shared" si="111"/>
        <v>46.279516411750372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-3.979039320256561E-13</v>
      </c>
      <c r="AJ151" s="14">
        <f>AI151*VLOOKUP('Données projet'!$B$10,Paramètres!$A$1:$I$89,3,0)*VLOOKUP('Données projet'!$B$10,Paramètres!$A$1:$I$89,5,0)</f>
        <v>-2.379465513513424E-13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211.38734697794843</v>
      </c>
      <c r="AO151" s="62">
        <f t="shared" si="144"/>
        <v>239.85955661394541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24.491207323901463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2.0529468549866567E-13</v>
      </c>
      <c r="AX151" s="23">
        <f t="shared" si="114"/>
        <v>24.491207323901669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-6.7984728957526396E-14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276.05121228874452</v>
      </c>
      <c r="T152" s="62">
        <f t="shared" si="142"/>
        <v>319.89882768207553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45.372003322620095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9.8125082115127611E-12</v>
      </c>
      <c r="AC152" s="24">
        <f t="shared" si="111"/>
        <v>45.372003322629908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-3.979039320256561E-13</v>
      </c>
      <c r="AJ152" s="14">
        <f>AI152*VLOOKUP('Données projet'!$B$10,Paramètres!$A$1:$I$89,3,0)*VLOOKUP('Données projet'!$B$10,Paramètres!$A$1:$I$89,5,0)</f>
        <v>-2.379465513513424E-13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211.38734697794843</v>
      </c>
      <c r="AO152" s="62">
        <f t="shared" si="144"/>
        <v>239.85955661394541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24.010949686441201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1.4516526425766608E-13</v>
      </c>
      <c r="AX152" s="23">
        <f t="shared" si="114"/>
        <v>24.010949686441347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-6.7984728957526396E-14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276.05121228874452</v>
      </c>
      <c r="T153" s="62">
        <f t="shared" si="142"/>
        <v>319.89882768207553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44.482286011652945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6.9384910968093548E-12</v>
      </c>
      <c r="AC153" s="24">
        <f t="shared" si="111"/>
        <v>44.482286011659887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-3.979039320256561E-13</v>
      </c>
      <c r="AJ153" s="14">
        <f>AI153*VLOOKUP('Données projet'!$B$10,Paramètres!$A$1:$I$89,3,0)*VLOOKUP('Données projet'!$B$10,Paramètres!$A$1:$I$89,5,0)</f>
        <v>-2.379465513513424E-13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211.38734697794843</v>
      </c>
      <c r="AO153" s="62">
        <f t="shared" si="144"/>
        <v>239.85955661394541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23.540109608323302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1.0264734274933284E-13</v>
      </c>
      <c r="AX153" s="23">
        <f t="shared" si="114"/>
        <v>23.540109608323405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-6.7984728957526396E-14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276.05121228874452</v>
      </c>
      <c r="T154" s="62">
        <f t="shared" si="142"/>
        <v>319.89882768207553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43.610015514479883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4.9062541057563805E-12</v>
      </c>
      <c r="AC154" s="24">
        <f t="shared" ref="AC154:AC203" si="163">SUM(Z154:AB154)</f>
        <v>43.610015514484786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-3.979039320256561E-13</v>
      </c>
      <c r="AJ154" s="14">
        <f>AI154*VLOOKUP('Données projet'!$B$10,Paramètres!$A$1:$I$89,3,0)*VLOOKUP('Données projet'!$B$10,Paramètres!$A$1:$I$89,5,0)</f>
        <v>-2.379465513513424E-13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211.38734697794843</v>
      </c>
      <c r="AO154" s="62">
        <f t="shared" si="144"/>
        <v>239.85955661394541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23.078502416953203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7.2582632128833038E-14</v>
      </c>
      <c r="AX154" s="23">
        <f t="shared" ref="AX154:AX203" si="166">SUM(AU154:AW154)</f>
        <v>23.078502416953274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-6.7984728957526396E-14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276.05121228874452</v>
      </c>
      <c r="T155" s="62">
        <f t="shared" si="142"/>
        <v>319.89882768207553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42.754849709723914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3.4692455484046774E-12</v>
      </c>
      <c r="AC155" s="24">
        <f t="shared" si="163"/>
        <v>42.754849709727381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-3.979039320256561E-13</v>
      </c>
      <c r="AJ155" s="14">
        <f>AI155*VLOOKUP('Données projet'!$B$10,Paramètres!$A$1:$I$89,3,0)*VLOOKUP('Données projet'!$B$10,Paramètres!$A$1:$I$89,5,0)</f>
        <v>-2.379465513513424E-13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211.38734697794843</v>
      </c>
      <c r="AO155" s="62">
        <f t="shared" si="144"/>
        <v>239.85955661394541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22.625947061053285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5.1323671374666418E-14</v>
      </c>
      <c r="AX155" s="23">
        <f t="shared" si="166"/>
        <v>22.625947061053335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-6.7984728957526396E-14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276.05121228874452</v>
      </c>
      <c r="T156" s="62">
        <f t="shared" si="142"/>
        <v>319.89882768207553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41.916453184799572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2.4531270528781903E-12</v>
      </c>
      <c r="AC156" s="24">
        <f t="shared" si="163"/>
        <v>41.916453184802023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-3.979039320256561E-13</v>
      </c>
      <c r="AJ156" s="14">
        <f>AI156*VLOOKUP('Données projet'!$B$10,Paramètres!$A$1:$I$89,3,0)*VLOOKUP('Données projet'!$B$10,Paramètres!$A$1:$I$89,5,0)</f>
        <v>-2.379465513513424E-13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211.38734697794843</v>
      </c>
      <c r="AO156" s="62">
        <f t="shared" si="144"/>
        <v>239.85955661394541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22.182266039651054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3.6291316064416519E-14</v>
      </c>
      <c r="AX156" s="23">
        <f t="shared" si="166"/>
        <v>22.18226603965109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-6.7984728957526396E-14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276.05121228874452</v>
      </c>
      <c r="T157" s="62">
        <f t="shared" si="142"/>
        <v>319.89882768207553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41.094497104357615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1.7346227742023387E-12</v>
      </c>
      <c r="AC157" s="24">
        <f t="shared" si="163"/>
        <v>41.094497104359348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-3.979039320256561E-13</v>
      </c>
      <c r="AJ157" s="14">
        <f>AI157*VLOOKUP('Données projet'!$B$10,Paramètres!$A$1:$I$89,3,0)*VLOOKUP('Données projet'!$B$10,Paramètres!$A$1:$I$89,5,0)</f>
        <v>-2.379465513513424E-13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211.38734697794843</v>
      </c>
      <c r="AO157" s="62">
        <f t="shared" si="144"/>
        <v>239.85955661394541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21.747285332459821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2.5661835687333209E-14</v>
      </c>
      <c r="AX157" s="23">
        <f t="shared" si="166"/>
        <v>21.747285332459846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-6.7984728957526396E-14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276.05121228874452</v>
      </c>
      <c r="T158" s="62">
        <f t="shared" si="142"/>
        <v>319.89882768207553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40.288659081309419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1.2265635264390951E-12</v>
      </c>
      <c r="AC158" s="24">
        <f t="shared" si="163"/>
        <v>40.288659081310648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-3.979039320256561E-13</v>
      </c>
      <c r="AJ158" s="14">
        <f>AI158*VLOOKUP('Données projet'!$B$10,Paramètres!$A$1:$I$89,3,0)*VLOOKUP('Données projet'!$B$10,Paramètres!$A$1:$I$89,5,0)</f>
        <v>-2.379465513513424E-13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211.38734697794843</v>
      </c>
      <c r="AO158" s="62">
        <f t="shared" si="144"/>
        <v>239.85955661394541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21.320834331624575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1.8145658032208259E-14</v>
      </c>
      <c r="AX158" s="23">
        <f t="shared" si="166"/>
        <v>21.320834331624592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-6.7984728957526396E-14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276.05121228874452</v>
      </c>
      <c r="T159" s="62">
        <f t="shared" si="142"/>
        <v>319.89882768207553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39.49862305038053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8.6731138710116935E-13</v>
      </c>
      <c r="AC159" s="24">
        <f t="shared" si="163"/>
        <v>39.498623050381397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-3.979039320256561E-13</v>
      </c>
      <c r="AJ159" s="14">
        <f>AI159*VLOOKUP('Données projet'!$B$10,Paramètres!$A$1:$I$89,3,0)*VLOOKUP('Données projet'!$B$10,Paramètres!$A$1:$I$89,5,0)</f>
        <v>-2.379465513513424E-13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211.38734697794843</v>
      </c>
      <c r="AO159" s="62">
        <f t="shared" si="144"/>
        <v>239.85955661394541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20.902745774806277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1.2830917843666604E-14</v>
      </c>
      <c r="AX159" s="23">
        <f t="shared" si="166"/>
        <v>20.902745774806291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-6.7984728957526396E-14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276.05121228874452</v>
      </c>
      <c r="T160" s="62">
        <f t="shared" si="142"/>
        <v>319.89882768207553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38.724079144143765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6.1328176321954757E-13</v>
      </c>
      <c r="AC160" s="24">
        <f t="shared" si="163"/>
        <v>38.724079144144376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-3.979039320256561E-13</v>
      </c>
      <c r="AJ160" s="14">
        <f>AI160*VLOOKUP('Données projet'!$B$10,Paramètres!$A$1:$I$89,3,0)*VLOOKUP('Données projet'!$B$10,Paramètres!$A$1:$I$89,5,0)</f>
        <v>-2.379465513513424E-13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211.38734697794843</v>
      </c>
      <c r="AO160" s="62">
        <f t="shared" si="144"/>
        <v>239.85955661394541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20.492855679578348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9.0728290161041297E-15</v>
      </c>
      <c r="AX160" s="23">
        <f t="shared" si="166"/>
        <v>20.492855679578359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-6.7984728957526396E-14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276.05121228874452</v>
      </c>
      <c r="T161" s="62">
        <f t="shared" si="142"/>
        <v>319.89882768207553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37.964723571483169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4.3365569355058468E-13</v>
      </c>
      <c r="AC161" s="24">
        <f t="shared" si="163"/>
        <v>37.964723571483603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-3.979039320256561E-13</v>
      </c>
      <c r="AJ161" s="14">
        <f>AI161*VLOOKUP('Données projet'!$B$10,Paramètres!$A$1:$I$89,3,0)*VLOOKUP('Données projet'!$B$10,Paramètres!$A$1:$I$89,5,0)</f>
        <v>-2.379465513513424E-13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211.38734697794843</v>
      </c>
      <c r="AO161" s="62">
        <f t="shared" si="144"/>
        <v>239.85955661394541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20.091003279109568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6.4154589218333022E-15</v>
      </c>
      <c r="AX161" s="23">
        <f t="shared" si="166"/>
        <v>20.091003279109575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-6.7984728957526396E-14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276.05121228874452</v>
      </c>
      <c r="T162" s="62">
        <f t="shared" si="142"/>
        <v>319.89882768207553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37.220258498441282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3.0664088160977378E-13</v>
      </c>
      <c r="AC162" s="24">
        <f t="shared" si="163"/>
        <v>37.220258498441588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-3.979039320256561E-13</v>
      </c>
      <c r="AJ162" s="14">
        <f>AI162*VLOOKUP('Données projet'!$B$10,Paramètres!$A$1:$I$89,3,0)*VLOOKUP('Données projet'!$B$10,Paramètres!$A$1:$I$89,5,0)</f>
        <v>-2.379465513513424E-13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211.38734697794843</v>
      </c>
      <c r="AO162" s="62">
        <f t="shared" si="144"/>
        <v>239.85955661394541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19.697030959108218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4.5364145080520648E-15</v>
      </c>
      <c r="AX162" s="23">
        <f t="shared" si="166"/>
        <v>19.697030959108222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-6.7984728957526396E-14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276.05121228874452</v>
      </c>
      <c r="T163" s="62">
        <f t="shared" si="142"/>
        <v>319.89882768207553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36.490391931402883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2.1682784677529234E-13</v>
      </c>
      <c r="AC163" s="24">
        <f t="shared" si="163"/>
        <v>36.490391931403103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-3.979039320256561E-13</v>
      </c>
      <c r="AJ163" s="14">
        <f>AI163*VLOOKUP('Données projet'!$B$10,Paramètres!$A$1:$I$89,3,0)*VLOOKUP('Données projet'!$B$10,Paramètres!$A$1:$I$89,5,0)</f>
        <v>-2.379465513513424E-13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211.38734697794843</v>
      </c>
      <c r="AO163" s="62">
        <f t="shared" si="144"/>
        <v>239.85955661394541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19.310784196002707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3.2077294609166511E-15</v>
      </c>
      <c r="AX163" s="23">
        <f t="shared" si="166"/>
        <v>19.310784196002711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-6.7984728957526396E-14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276.05121228874452</v>
      </c>
      <c r="T164" s="62">
        <f t="shared" si="142"/>
        <v>319.89882768207553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35.774837602569463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1.5332044080488689E-13</v>
      </c>
      <c r="AC164" s="24">
        <f t="shared" si="163"/>
        <v>35.774837602569619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-3.979039320256561E-13</v>
      </c>
      <c r="AJ164" s="14">
        <f>AI164*VLOOKUP('Données projet'!$B$10,Paramètres!$A$1:$I$89,3,0)*VLOOKUP('Données projet'!$B$10,Paramètres!$A$1:$I$89,5,0)</f>
        <v>-2.379465513513424E-13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211.38734697794843</v>
      </c>
      <c r="AO164" s="62">
        <f t="shared" si="144"/>
        <v>239.85955661394541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18.932111496334432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2.2682072540260324E-15</v>
      </c>
      <c r="AX164" s="23">
        <f t="shared" si="166"/>
        <v>18.932111496334436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-6.7984728957526396E-14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276.05121228874452</v>
      </c>
      <c r="T165" s="62">
        <f t="shared" si="142"/>
        <v>319.89882768207553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35.073314857679421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1.0841392338764617E-13</v>
      </c>
      <c r="AC165" s="24">
        <f t="shared" si="163"/>
        <v>35.073314857679527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-3.979039320256561E-13</v>
      </c>
      <c r="AJ165" s="14">
        <f>AI165*VLOOKUP('Données projet'!$B$10,Paramètres!$A$1:$I$89,3,0)*VLOOKUP('Données projet'!$B$10,Paramètres!$A$1:$I$89,5,0)</f>
        <v>-2.379465513513424E-13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211.38734697794843</v>
      </c>
      <c r="AO165" s="62">
        <f t="shared" si="144"/>
        <v>239.85955661394541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18.560864337339112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1.6038647304583256E-15</v>
      </c>
      <c r="AX165" s="23">
        <f t="shared" si="166"/>
        <v>18.560864337339112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-6.7984728957526396E-14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276.05121228874452</v>
      </c>
      <c r="T166" s="62">
        <f t="shared" si="142"/>
        <v>319.89882768207553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34.385548545930043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7.6660220402443446E-14</v>
      </c>
      <c r="AC166" s="24">
        <f t="shared" si="163"/>
        <v>34.385548545930121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-3.979039320256561E-13</v>
      </c>
      <c r="AJ166" s="14">
        <f>AI166*VLOOKUP('Données projet'!$B$10,Paramètres!$A$1:$I$89,3,0)*VLOOKUP('Données projet'!$B$10,Paramètres!$A$1:$I$89,5,0)</f>
        <v>-2.379465513513424E-13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211.38734697794843</v>
      </c>
      <c r="AO166" s="62">
        <f t="shared" si="144"/>
        <v>239.85955661394541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18.196897108693282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1.1341036270130162E-15</v>
      </c>
      <c r="AX166" s="23">
        <f t="shared" si="166"/>
        <v>18.196897108693282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-6.7984728957526396E-14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276.05121228874452</v>
      </c>
      <c r="T167" s="62">
        <f t="shared" si="142"/>
        <v>319.89882768207553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33.711268912058046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5.4206961693823085E-14</v>
      </c>
      <c r="AC167" s="24">
        <f t="shared" si="163"/>
        <v>33.711268912058102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-3.979039320256561E-13</v>
      </c>
      <c r="AJ167" s="14">
        <f>AI167*VLOOKUP('Données projet'!$B$10,Paramètres!$A$1:$I$89,3,0)*VLOOKUP('Données projet'!$B$10,Paramètres!$A$1:$I$89,5,0)</f>
        <v>-2.379465513513424E-13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211.38734697794843</v>
      </c>
      <c r="AO167" s="62">
        <f t="shared" si="144"/>
        <v>239.85955661394541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17.840067055403107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8.0193236522916278E-16</v>
      </c>
      <c r="AX167" s="23">
        <f t="shared" si="166"/>
        <v>17.840067055403107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-6.7984728957526396E-14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276.05121228874452</v>
      </c>
      <c r="T168" s="62">
        <f t="shared" si="142"/>
        <v>319.89882768207553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33.050211490536313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3.8330110201221723E-14</v>
      </c>
      <c r="AC168" s="24">
        <f t="shared" si="163"/>
        <v>33.050211490536348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-3.979039320256561E-13</v>
      </c>
      <c r="AJ168" s="14">
        <f>AI168*VLOOKUP('Données projet'!$B$10,Paramètres!$A$1:$I$89,3,0)*VLOOKUP('Données projet'!$B$10,Paramètres!$A$1:$I$89,5,0)</f>
        <v>-2.379465513513424E-13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211.38734697794843</v>
      </c>
      <c r="AO168" s="62">
        <f t="shared" si="144"/>
        <v>239.85955661394541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17.490234221813111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5.6705181350650811E-16</v>
      </c>
      <c r="AX168" s="23">
        <f t="shared" si="166"/>
        <v>17.490234221813111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-6.7984728957526396E-14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276.05121228874452</v>
      </c>
      <c r="T169" s="62">
        <f t="shared" si="142"/>
        <v>319.89882768207553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32.402117001845404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2.7103480846911542E-14</v>
      </c>
      <c r="AC169" s="24">
        <f t="shared" si="163"/>
        <v>32.402117001845433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-3.979039320256561E-13</v>
      </c>
      <c r="AJ169" s="14">
        <f>AI169*VLOOKUP('Données projet'!$B$10,Paramètres!$A$1:$I$89,3,0)*VLOOKUP('Données projet'!$B$10,Paramètres!$A$1:$I$89,5,0)</f>
        <v>-2.379465513513424E-13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211.38734697794843</v>
      </c>
      <c r="AO169" s="62">
        <f t="shared" si="144"/>
        <v>239.85955661394541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17.147261396712853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4.0096618261458139E-16</v>
      </c>
      <c r="AX169" s="23">
        <f t="shared" si="166"/>
        <v>17.147261396712853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-6.7984728957526396E-14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276.05121228874452</v>
      </c>
      <c r="T170" s="62">
        <f t="shared" si="142"/>
        <v>319.89882768207553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31.76673125077912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1.9165055100610861E-14</v>
      </c>
      <c r="AC170" s="24">
        <f t="shared" si="163"/>
        <v>31.766731250779138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-3.979039320256561E-13</v>
      </c>
      <c r="AJ170" s="14">
        <f>AI170*VLOOKUP('Données projet'!$B$10,Paramètres!$A$1:$I$89,3,0)*VLOOKUP('Données projet'!$B$10,Paramètres!$A$1:$I$89,5,0)</f>
        <v>-2.379465513513424E-13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211.38734697794843</v>
      </c>
      <c r="AO170" s="62">
        <f t="shared" si="144"/>
        <v>239.85955661394541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16.811014059520044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2.8352590675325405E-16</v>
      </c>
      <c r="AX170" s="23">
        <f t="shared" si="166"/>
        <v>16.811014059520044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-6.7984728957526396E-14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276.05121228874452</v>
      </c>
      <c r="T171" s="62">
        <f t="shared" si="142"/>
        <v>319.89882768207553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31.143805026744204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1.3551740423455771E-14</v>
      </c>
      <c r="AC171" s="24">
        <f t="shared" si="163"/>
        <v>31.143805026744218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-3.979039320256561E-13</v>
      </c>
      <c r="AJ171" s="14">
        <f>AI171*VLOOKUP('Données projet'!$B$10,Paramètres!$A$1:$I$89,3,0)*VLOOKUP('Données projet'!$B$10,Paramètres!$A$1:$I$89,5,0)</f>
        <v>-2.379465513513424E-13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211.38734697794843</v>
      </c>
      <c r="AO171" s="62">
        <f t="shared" si="144"/>
        <v>239.85955661394541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16.481360327518964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2.0048309130729069E-16</v>
      </c>
      <c r="AX171" s="23">
        <f t="shared" si="166"/>
        <v>16.481360327518964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-6.7984728957526396E-14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276.05121228874452</v>
      </c>
      <c r="T172" s="62">
        <f t="shared" si="142"/>
        <v>319.89882768207553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30.533094006015133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9.5825275503054307E-15</v>
      </c>
      <c r="AC172" s="24">
        <f t="shared" si="163"/>
        <v>30.533094006015144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-3.979039320256561E-13</v>
      </c>
      <c r="AJ172" s="14">
        <f>AI172*VLOOKUP('Données projet'!$B$10,Paramètres!$A$1:$I$89,3,0)*VLOOKUP('Données projet'!$B$10,Paramètres!$A$1:$I$89,5,0)</f>
        <v>-2.379465513513424E-13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211.38734697794843</v>
      </c>
      <c r="AO172" s="62">
        <f t="shared" si="144"/>
        <v>239.85955661394541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16.158170904133502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1.4176295337662703E-16</v>
      </c>
      <c r="AX172" s="23">
        <f t="shared" si="166"/>
        <v>16.158170904133502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-6.7984728957526396E-14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276.05121228874452</v>
      </c>
      <c r="T173" s="62">
        <f t="shared" si="142"/>
        <v>319.89882768207553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29.934358655905619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6.7758702117278856E-15</v>
      </c>
      <c r="AC173" s="24">
        <f t="shared" si="163"/>
        <v>29.934358655905626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-3.979039320256561E-13</v>
      </c>
      <c r="AJ173" s="14">
        <f>AI173*VLOOKUP('Données projet'!$B$10,Paramètres!$A$1:$I$89,3,0)*VLOOKUP('Données projet'!$B$10,Paramètres!$A$1:$I$89,5,0)</f>
        <v>-2.379465513513424E-13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211.38734697794843</v>
      </c>
      <c r="AO173" s="62">
        <f t="shared" si="144"/>
        <v>239.85955661394541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15.841319028214546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1.0024154565364535E-16</v>
      </c>
      <c r="AX173" s="23">
        <f t="shared" si="166"/>
        <v>15.841319028214546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-6.7984728957526396E-14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276.05121228874452</v>
      </c>
      <c r="T174" s="62">
        <f t="shared" si="142"/>
        <v>319.89882768207553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29.347364140819248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4.7912637751527154E-15</v>
      </c>
      <c r="AC174" s="24">
        <f t="shared" si="163"/>
        <v>29.347364140819252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-3.979039320256561E-13</v>
      </c>
      <c r="AJ174" s="14">
        <f>AI174*VLOOKUP('Données projet'!$B$10,Paramètres!$A$1:$I$89,3,0)*VLOOKUP('Données projet'!$B$10,Paramètres!$A$1:$I$89,5,0)</f>
        <v>-2.379465513513424E-13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211.38734697794843</v>
      </c>
      <c r="AO174" s="62">
        <f t="shared" si="144"/>
        <v>239.85955661394541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15.530680424321798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7.0881476688313513E-17</v>
      </c>
      <c r="AX174" s="23">
        <f t="shared" si="166"/>
        <v>15.530680424321798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-6.7984728957526396E-14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276.05121228874452</v>
      </c>
      <c r="T175" s="62">
        <f t="shared" si="142"/>
        <v>319.89882768207553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28.771880230142418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3.3879351058639428E-15</v>
      </c>
      <c r="AC175" s="24">
        <f t="shared" si="163"/>
        <v>28.771880230142422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-3.979039320256561E-13</v>
      </c>
      <c r="AJ175" s="14">
        <f>AI175*VLOOKUP('Données projet'!$B$10,Paramètres!$A$1:$I$89,3,0)*VLOOKUP('Données projet'!$B$10,Paramètres!$A$1:$I$89,5,0)</f>
        <v>-2.379465513513424E-13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211.38734697794843</v>
      </c>
      <c r="AO175" s="62">
        <f t="shared" si="144"/>
        <v>239.85955661394541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15.226133253980546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5.0120772826822674E-17</v>
      </c>
      <c r="AX175" s="23">
        <f t="shared" si="166"/>
        <v>15.226133253980546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-6.7984728957526396E-14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276.05121228874452</v>
      </c>
      <c r="T176" s="62">
        <f t="shared" si="142"/>
        <v>319.89882768207553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28.207681207943434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2.3956318875763577E-15</v>
      </c>
      <c r="AC176" s="24">
        <f t="shared" si="163"/>
        <v>28.207681207943438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-3.979039320256561E-13</v>
      </c>
      <c r="AJ176" s="14">
        <f>AI176*VLOOKUP('Données projet'!$B$10,Paramètres!$A$1:$I$89,3,0)*VLOOKUP('Données projet'!$B$10,Paramètres!$A$1:$I$89,5,0)</f>
        <v>-2.379465513513424E-13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211.38734697794843</v>
      </c>
      <c r="AO176" s="62">
        <f t="shared" si="144"/>
        <v>239.85955661394541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14.927558067894255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3.5440738344156757E-17</v>
      </c>
      <c r="AX176" s="23">
        <f t="shared" si="166"/>
        <v>14.927558067894255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-6.7984728957526396E-14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276.05121228874452</v>
      </c>
      <c r="T177" s="62">
        <f t="shared" si="142"/>
        <v>319.89882768207553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27.654545784442348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1.6939675529319714E-15</v>
      </c>
      <c r="AC177" s="24">
        <f t="shared" si="163"/>
        <v>27.654545784442348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-3.979039320256561E-13</v>
      </c>
      <c r="AJ177" s="14">
        <f>AI177*VLOOKUP('Données projet'!$B$10,Paramètres!$A$1:$I$89,3,0)*VLOOKUP('Données projet'!$B$10,Paramètres!$A$1:$I$89,5,0)</f>
        <v>-2.379465513513424E-13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211.38734697794843</v>
      </c>
      <c r="AO177" s="62">
        <f t="shared" si="144"/>
        <v>239.85955661394541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14.634837759094236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2.5060386413411337E-17</v>
      </c>
      <c r="AX177" s="23">
        <f t="shared" si="166"/>
        <v>14.634837759094236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-6.7984728957526396E-14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276.05121228874452</v>
      </c>
      <c r="T178" s="62">
        <f t="shared" si="142"/>
        <v>319.89882768207553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27.112257009216826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1.1978159437881788E-15</v>
      </c>
      <c r="AC178" s="24">
        <f t="shared" si="163"/>
        <v>27.112257009216826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-3.979039320256561E-13</v>
      </c>
      <c r="AJ178" s="14">
        <f>AI178*VLOOKUP('Données projet'!$B$10,Paramètres!$A$1:$I$89,3,0)*VLOOKUP('Données projet'!$B$10,Paramètres!$A$1:$I$89,5,0)</f>
        <v>-2.379465513513424E-13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211.38734697794843</v>
      </c>
      <c r="AO178" s="62">
        <f t="shared" si="144"/>
        <v>239.85955661394541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14.347857517008025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1.7720369172078378E-17</v>
      </c>
      <c r="AX178" s="23">
        <f t="shared" si="166"/>
        <v>14.347857517008025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-6.7984728957526396E-14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276.05121228874452</v>
      </c>
      <c r="T179" s="62">
        <f t="shared" si="142"/>
        <v>319.89882768207553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26.580602186109981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8.469837764659857E-16</v>
      </c>
      <c r="AC179" s="24">
        <f t="shared" si="163"/>
        <v>26.580602186109981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-3.979039320256561E-13</v>
      </c>
      <c r="AJ179" s="14">
        <f>AI179*VLOOKUP('Données projet'!$B$10,Paramètres!$A$1:$I$89,3,0)*VLOOKUP('Données projet'!$B$10,Paramètres!$A$1:$I$89,5,0)</f>
        <v>-2.379465513513424E-13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211.38734697794843</v>
      </c>
      <c r="AO179" s="62">
        <f t="shared" si="144"/>
        <v>239.85955661394541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14.066504782428462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1.2530193206705668E-17</v>
      </c>
      <c r="AX179" s="23">
        <f t="shared" si="166"/>
        <v>14.066504782428462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-6.7984728957526396E-14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276.05121228874452</v>
      </c>
      <c r="T180" s="62">
        <f t="shared" si="142"/>
        <v>319.89882768207553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26.05937278980684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5.9890797189408942E-16</v>
      </c>
      <c r="AC180" s="24">
        <f t="shared" si="163"/>
        <v>26.05937278980684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-3.979039320256561E-13</v>
      </c>
      <c r="AJ180" s="14">
        <f>AI180*VLOOKUP('Données projet'!$B$10,Paramètres!$A$1:$I$89,3,0)*VLOOKUP('Données projet'!$B$10,Paramètres!$A$1:$I$89,5,0)</f>
        <v>-2.379465513513424E-13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211.38734697794843</v>
      </c>
      <c r="AO180" s="62">
        <f t="shared" si="144"/>
        <v>239.85955661394541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13.790669203365781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8.8601845860391892E-18</v>
      </c>
      <c r="AX180" s="23">
        <f t="shared" si="166"/>
        <v>13.790669203365781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-6.7984728957526396E-14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276.05121228874452</v>
      </c>
      <c r="T181" s="62">
        <f t="shared" si="142"/>
        <v>319.89882768207553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25.548364384046664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4.2349188823299285E-16</v>
      </c>
      <c r="AC181" s="24">
        <f t="shared" si="163"/>
        <v>25.548364384046664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-3.979039320256561E-13</v>
      </c>
      <c r="AJ181" s="14">
        <f>AI181*VLOOKUP('Données projet'!$B$10,Paramètres!$A$1:$I$89,3,0)*VLOOKUP('Données projet'!$B$10,Paramètres!$A$1:$I$89,5,0)</f>
        <v>-2.379465513513424E-13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211.38734697794843</v>
      </c>
      <c r="AO181" s="62">
        <f t="shared" si="144"/>
        <v>239.85955661394541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13.520242591765427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6.2650966033528342E-18</v>
      </c>
      <c r="AX181" s="23">
        <f t="shared" si="166"/>
        <v>13.520242591765427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-6.7984728957526396E-14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276.05121228874452</v>
      </c>
      <c r="T182" s="62">
        <f t="shared" si="142"/>
        <v>319.89882768207553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25.047376541439093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2.9945398594704471E-16</v>
      </c>
      <c r="AC182" s="24">
        <f t="shared" si="163"/>
        <v>25.047376541439093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-3.979039320256561E-13</v>
      </c>
      <c r="AJ182" s="14">
        <f>AI182*VLOOKUP('Données projet'!$B$10,Paramètres!$A$1:$I$89,3,0)*VLOOKUP('Données projet'!$B$10,Paramètres!$A$1:$I$89,5,0)</f>
        <v>-2.379465513513424E-13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211.38734697794843</v>
      </c>
      <c r="AO182" s="62">
        <f t="shared" si="144"/>
        <v>239.85955661394541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13.25511888107461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4.4300922930195946E-18</v>
      </c>
      <c r="AX182" s="23">
        <f t="shared" si="166"/>
        <v>13.25511888107461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-6.7984728957526396E-14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276.05121228874452</v>
      </c>
      <c r="T183" s="62">
        <f t="shared" si="142"/>
        <v>319.89882768207553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24.556212764852646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2.1174594411649642E-16</v>
      </c>
      <c r="AC183" s="24">
        <f t="shared" si="163"/>
        <v>24.556212764852646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-3.979039320256561E-13</v>
      </c>
      <c r="AJ183" s="14">
        <f>AI183*VLOOKUP('Données projet'!$B$10,Paramètres!$A$1:$I$89,3,0)*VLOOKUP('Données projet'!$B$10,Paramètres!$A$1:$I$89,5,0)</f>
        <v>-2.379465513513424E-13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211.38734697794843</v>
      </c>
      <c r="AO183" s="62">
        <f t="shared" si="144"/>
        <v>239.85955661394541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12.995194084640945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3.1325483016764171E-18</v>
      </c>
      <c r="AX183" s="23">
        <f t="shared" si="166"/>
        <v>12.995194084640945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-6.7984728957526396E-14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276.05121228874452</v>
      </c>
      <c r="T184" s="62">
        <f t="shared" si="142"/>
        <v>319.89882768207553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24.074680410344737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1.4972699297352236E-16</v>
      </c>
      <c r="AC184" s="24">
        <f t="shared" si="163"/>
        <v>24.074680410344737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-3.979039320256561E-13</v>
      </c>
      <c r="AJ184" s="14">
        <f>AI184*VLOOKUP('Données projet'!$B$10,Paramètres!$A$1:$I$89,3,0)*VLOOKUP('Données projet'!$B$10,Paramètres!$A$1:$I$89,5,0)</f>
        <v>-2.379465513513424E-13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211.38734697794843</v>
      </c>
      <c r="AO184" s="62">
        <f t="shared" si="144"/>
        <v>239.85955661394541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12.740366254926872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2.2150461465097973E-18</v>
      </c>
      <c r="AX184" s="23">
        <f t="shared" si="166"/>
        <v>12.740366254926872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-6.7984728957526396E-14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276.05121228874452</v>
      </c>
      <c r="T185" s="62">
        <f t="shared" si="142"/>
        <v>319.89882768207553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23.602590611602992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1.0587297205824821E-16</v>
      </c>
      <c r="AC185" s="24">
        <f t="shared" si="163"/>
        <v>23.602590611602992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-3.979039320256561E-13</v>
      </c>
      <c r="AJ185" s="14">
        <f>AI185*VLOOKUP('Données projet'!$B$10,Paramètres!$A$1:$I$89,3,0)*VLOOKUP('Données projet'!$B$10,Paramètres!$A$1:$I$89,5,0)</f>
        <v>-2.379465513513424E-13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211.38734697794843</v>
      </c>
      <c r="AO185" s="62">
        <f t="shared" si="144"/>
        <v>239.85955661394541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12.490535443523864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1.5662741508382085E-18</v>
      </c>
      <c r="AX185" s="23">
        <f t="shared" si="166"/>
        <v>12.490535443523864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-6.7984728957526396E-14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276.05121228874452</v>
      </c>
      <c r="T186" s="62">
        <f t="shared" si="142"/>
        <v>319.89882768207553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23.139758205868226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7.4863496486761178E-17</v>
      </c>
      <c r="AC186" s="24">
        <f t="shared" si="163"/>
        <v>23.139758205868226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-3.979039320256561E-13</v>
      </c>
      <c r="AJ186" s="14">
        <f>AI186*VLOOKUP('Données projet'!$B$10,Paramètres!$A$1:$I$89,3,0)*VLOOKUP('Données projet'!$B$10,Paramètres!$A$1:$I$89,5,0)</f>
        <v>-2.379465513513424E-13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211.38734697794843</v>
      </c>
      <c r="AO186" s="62">
        <f t="shared" si="144"/>
        <v>239.85955661394541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12.245603661950719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1.1075230732548986E-18</v>
      </c>
      <c r="AX186" s="23">
        <f t="shared" si="166"/>
        <v>12.245603661950719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-6.7984728957526396E-14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276.05121228874452</v>
      </c>
      <c r="T187" s="62">
        <f t="shared" si="142"/>
        <v>319.89882768207553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22.686001661310026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5.2936486029124106E-17</v>
      </c>
      <c r="AC187" s="24">
        <f t="shared" si="163"/>
        <v>22.686001661310026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-3.979039320256561E-13</v>
      </c>
      <c r="AJ187" s="14">
        <f>AI187*VLOOKUP('Données projet'!$B$10,Paramètres!$A$1:$I$89,3,0)*VLOOKUP('Données projet'!$B$10,Paramètres!$A$1:$I$89,5,0)</f>
        <v>-2.379465513513424E-13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211.38734697794843</v>
      </c>
      <c r="AO187" s="62">
        <f t="shared" si="144"/>
        <v>239.85955661394541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12.005474843220588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7.8313707541910427E-19</v>
      </c>
      <c r="AX187" s="23">
        <f t="shared" si="166"/>
        <v>12.005474843220588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-6.7984728957526396E-14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276.05121228874452</v>
      </c>
      <c r="T188" s="62">
        <f t="shared" si="142"/>
        <v>319.89882768207553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22.241143005826451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3.7431748243380589E-17</v>
      </c>
      <c r="AC188" s="24">
        <f t="shared" si="163"/>
        <v>22.241143005826451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-3.979039320256561E-13</v>
      </c>
      <c r="AJ188" s="14">
        <f>AI188*VLOOKUP('Données projet'!$B$10,Paramètres!$A$1:$I$89,3,0)*VLOOKUP('Données projet'!$B$10,Paramètres!$A$1:$I$89,5,0)</f>
        <v>-2.379465513513424E-13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211.38734697794843</v>
      </c>
      <c r="AO188" s="62">
        <f t="shared" si="144"/>
        <v>239.85955661394541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11.770054804161639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5.5376153662744932E-19</v>
      </c>
      <c r="AX188" s="23">
        <f t="shared" si="166"/>
        <v>11.770054804161639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-6.7984728957526396E-14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276.05121228874452</v>
      </c>
      <c r="T189" s="62">
        <f t="shared" si="142"/>
        <v>319.89882768207553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21.80500775723992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2.6468243014562053E-17</v>
      </c>
      <c r="AC189" s="24">
        <f t="shared" si="163"/>
        <v>21.80500775723992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-3.979039320256561E-13</v>
      </c>
      <c r="AJ189" s="14">
        <f>AI189*VLOOKUP('Données projet'!$B$10,Paramètres!$A$1:$I$89,3,0)*VLOOKUP('Données projet'!$B$10,Paramètres!$A$1:$I$89,5,0)</f>
        <v>-2.379465513513424E-13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211.38734697794843</v>
      </c>
      <c r="AO189" s="62">
        <f t="shared" si="144"/>
        <v>239.85955661394541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11.539251208476589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3.9156853770955214E-19</v>
      </c>
      <c r="AX189" s="23">
        <f t="shared" si="166"/>
        <v>11.539251208476589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-6.7984728957526396E-14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276.05121228874452</v>
      </c>
      <c r="T190" s="62">
        <f t="shared" si="142"/>
        <v>319.89882768207553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21.377424854861935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1.8715874121690294E-17</v>
      </c>
      <c r="AC190" s="24">
        <f t="shared" si="163"/>
        <v>21.377424854861935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-3.979039320256561E-13</v>
      </c>
      <c r="AJ190" s="14">
        <f>AI190*VLOOKUP('Données projet'!$B$10,Paramètres!$A$1:$I$89,3,0)*VLOOKUP('Données projet'!$B$10,Paramètres!$A$1:$I$89,5,0)</f>
        <v>-2.379465513513424E-13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211.38734697794843</v>
      </c>
      <c r="AO190" s="62">
        <f t="shared" si="144"/>
        <v>239.85955661394541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11.31297353052663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2.7688076831372466E-19</v>
      </c>
      <c r="AX190" s="23">
        <f t="shared" si="166"/>
        <v>11.31297353052663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-6.7984728957526396E-14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276.05121228874452</v>
      </c>
      <c r="T191" s="62">
        <f t="shared" si="142"/>
        <v>319.89882768207553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20.958226592399765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1.3234121507281027E-17</v>
      </c>
      <c r="AC191" s="24">
        <f t="shared" si="163"/>
        <v>20.958226592399765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-3.979039320256561E-13</v>
      </c>
      <c r="AJ191" s="14">
        <f>AI191*VLOOKUP('Données projet'!$B$10,Paramètres!$A$1:$I$89,3,0)*VLOOKUP('Données projet'!$B$10,Paramètres!$A$1:$I$89,5,0)</f>
        <v>-2.379465513513424E-13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211.38734697794843</v>
      </c>
      <c r="AO191" s="62">
        <f t="shared" si="144"/>
        <v>239.85955661394541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11.091133019825515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1.9578426885477607E-19</v>
      </c>
      <c r="AX191" s="23">
        <f t="shared" si="166"/>
        <v>11.091133019825515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-6.7984728957526396E-14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276.05121228874452</v>
      </c>
      <c r="T192" s="62">
        <f t="shared" si="142"/>
        <v>319.89882768207553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20.547248552178786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9.3579370608451472E-18</v>
      </c>
      <c r="AC192" s="24">
        <f t="shared" si="163"/>
        <v>20.547248552178786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-3.979039320256561E-13</v>
      </c>
      <c r="AJ192" s="14">
        <f>AI192*VLOOKUP('Données projet'!$B$10,Paramètres!$A$1:$I$89,3,0)*VLOOKUP('Données projet'!$B$10,Paramètres!$A$1:$I$89,5,0)</f>
        <v>-2.379465513513424E-13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211.38734697794843</v>
      </c>
      <c r="AO192" s="62">
        <f t="shared" si="144"/>
        <v>239.85955661394541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10.873642666229898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1.3844038415686233E-19</v>
      </c>
      <c r="AX192" s="23">
        <f t="shared" si="166"/>
        <v>10.873642666229898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-6.7984728957526396E-14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276.05121228874452</v>
      </c>
      <c r="T193" s="62">
        <f t="shared" si="142"/>
        <v>319.89882768207553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20.144329540654688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6.6170607536405133E-18</v>
      </c>
      <c r="AC193" s="24">
        <f t="shared" si="163"/>
        <v>20.144329540654688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-3.979039320256561E-13</v>
      </c>
      <c r="AJ193" s="14">
        <f>AI193*VLOOKUP('Données projet'!$B$10,Paramètres!$A$1:$I$89,3,0)*VLOOKUP('Données projet'!$B$10,Paramètres!$A$1:$I$89,5,0)</f>
        <v>-2.379465513513424E-13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211.38734697794843</v>
      </c>
      <c r="AO193" s="62">
        <f t="shared" si="144"/>
        <v>239.85955661394541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10.660417165812275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9.7892134427388034E-20</v>
      </c>
      <c r="AX193" s="23">
        <f t="shared" si="166"/>
        <v>10.660417165812275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-6.7984728957526396E-14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276.05121228874452</v>
      </c>
      <c r="T194" s="62">
        <f t="shared" si="142"/>
        <v>319.89882768207553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19.749311525190247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4.6789685304225736E-18</v>
      </c>
      <c r="AC194" s="24">
        <f t="shared" si="163"/>
        <v>19.749311525190247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-3.979039320256561E-13</v>
      </c>
      <c r="AJ194" s="14">
        <f>AI194*VLOOKUP('Données projet'!$B$10,Paramètres!$A$1:$I$89,3,0)*VLOOKUP('Données projet'!$B$10,Paramètres!$A$1:$I$89,5,0)</f>
        <v>-2.379465513513424E-13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211.38734697794843</v>
      </c>
      <c r="AO194" s="62">
        <f t="shared" si="144"/>
        <v>239.85955661394541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10.451372887403128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6.9220192078431165E-20</v>
      </c>
      <c r="AX194" s="23">
        <f t="shared" si="166"/>
        <v>10.451372887403128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-6.7984728957526396E-14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276.05121228874452</v>
      </c>
      <c r="T195" s="62">
        <f t="shared" si="142"/>
        <v>319.89882768207553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19.362039572071865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3.3085303768202566E-18</v>
      </c>
      <c r="AC195" s="24">
        <f t="shared" si="163"/>
        <v>19.362039572071865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-3.979039320256561E-13</v>
      </c>
      <c r="AJ195" s="14">
        <f>AI195*VLOOKUP('Données projet'!$B$10,Paramètres!$A$1:$I$89,3,0)*VLOOKUP('Données projet'!$B$10,Paramètres!$A$1:$I$89,5,0)</f>
        <v>-2.379465513513424E-13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211.38734697794843</v>
      </c>
      <c r="AO195" s="62">
        <f t="shared" si="144"/>
        <v>239.85955661394541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10.246427839789163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4.8946067213694017E-20</v>
      </c>
      <c r="AX195" s="23">
        <f t="shared" si="166"/>
        <v>10.246427839789163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-6.7984728957526396E-14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276.05121228874452</v>
      </c>
      <c r="T196" s="62">
        <f t="shared" si="142"/>
        <v>319.89882768207553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18.982361785741567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2.3394842652112868E-18</v>
      </c>
      <c r="AC196" s="24">
        <f t="shared" si="163"/>
        <v>18.982361785741567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-3.979039320256561E-13</v>
      </c>
      <c r="AJ196" s="14">
        <f>AI196*VLOOKUP('Données projet'!$B$10,Paramètres!$A$1:$I$89,3,0)*VLOOKUP('Données projet'!$B$10,Paramètres!$A$1:$I$89,5,0)</f>
        <v>-2.379465513513424E-13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211.38734697794843</v>
      </c>
      <c r="AO196" s="62">
        <f t="shared" si="144"/>
        <v>239.85955661394541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10.045501639554773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3.4610096039215583E-20</v>
      </c>
      <c r="AX196" s="23">
        <f t="shared" si="166"/>
        <v>10.045501639554773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-6.7984728957526396E-14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276.05121228874452</v>
      </c>
      <c r="T197" s="62">
        <f t="shared" ref="T197:T203" si="204">$T$3</f>
        <v>319.89882768207553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18.610129249220623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1.6542651884101283E-18</v>
      </c>
      <c r="AC197" s="24">
        <f t="shared" si="163"/>
        <v>18.610129249220623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-3.979039320256561E-13</v>
      </c>
      <c r="AJ197" s="14">
        <f>AI197*VLOOKUP('Données projet'!$B$10,Paramètres!$A$1:$I$89,3,0)*VLOOKUP('Données projet'!$B$10,Paramètres!$A$1:$I$89,5,0)</f>
        <v>-2.379465513513424E-13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211.38734697794843</v>
      </c>
      <c r="AO197" s="62">
        <f t="shared" ref="AO197:AO203" si="205">$AO$3</f>
        <v>239.85955661394541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9.8485154795540986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2.4473033606847009E-20</v>
      </c>
      <c r="AX197" s="23">
        <f t="shared" si="166"/>
        <v>9.8485154795540986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-6.7984728957526396E-14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276.05121228874452</v>
      </c>
      <c r="T198" s="62">
        <f t="shared" si="204"/>
        <v>319.89882768207553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18.245195965701424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1.1697421326056434E-18</v>
      </c>
      <c r="AC198" s="24">
        <f t="shared" si="163"/>
        <v>18.245195965701424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-3.979039320256561E-13</v>
      </c>
      <c r="AJ198" s="14">
        <f>AI198*VLOOKUP('Données projet'!$B$10,Paramètres!$A$1:$I$89,3,0)*VLOOKUP('Données projet'!$B$10,Paramètres!$A$1:$I$89,5,0)</f>
        <v>-2.379465513513424E-13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211.38734697794843</v>
      </c>
      <c r="AO198" s="62">
        <f t="shared" si="205"/>
        <v>239.85955661394541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9.655392098001343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1.7305048019607791E-20</v>
      </c>
      <c r="AX198" s="23">
        <f t="shared" si="166"/>
        <v>9.655392098001343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-6.7984728957526396E-14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276.05121228874452</v>
      </c>
      <c r="T199" s="62">
        <f t="shared" si="204"/>
        <v>319.89882768207553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17.887418801284714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8.2713259420506416E-19</v>
      </c>
      <c r="AC199" s="24">
        <f t="shared" si="163"/>
        <v>17.887418801284714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-3.979039320256561E-13</v>
      </c>
      <c r="AJ199" s="14">
        <f>AI199*VLOOKUP('Données projet'!$B$10,Paramètres!$A$1:$I$89,3,0)*VLOOKUP('Données projet'!$B$10,Paramètres!$A$1:$I$89,5,0)</f>
        <v>-2.379465513513424E-13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211.38734697794843</v>
      </c>
      <c r="AO199" s="62">
        <f t="shared" si="205"/>
        <v>239.85955661394541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9.4660557481672054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1.2236516803423504E-20</v>
      </c>
      <c r="AX199" s="23">
        <f t="shared" si="166"/>
        <v>9.4660557481672054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-6.7984728957526396E-14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276.05121228874452</v>
      </c>
      <c r="T200" s="62">
        <f t="shared" si="204"/>
        <v>319.89882768207553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17.536657428839693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5.848710663028217E-19</v>
      </c>
      <c r="AC200" s="24">
        <f t="shared" si="163"/>
        <v>17.536657428839693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-3.979039320256561E-13</v>
      </c>
      <c r="AJ200" s="14">
        <f>AI200*VLOOKUP('Données projet'!$B$10,Paramètres!$A$1:$I$89,3,0)*VLOOKUP('Données projet'!$B$10,Paramètres!$A$1:$I$89,5,0)</f>
        <v>-2.379465513513424E-13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211.38734697794843</v>
      </c>
      <c r="AO200" s="62">
        <f t="shared" si="205"/>
        <v>239.85955661394541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9.2804321686695452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8.6525240098038957E-21</v>
      </c>
      <c r="AX200" s="23">
        <f t="shared" si="166"/>
        <v>9.2804321686695452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-6.7984728957526396E-14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276.05121228874452</v>
      </c>
      <c r="T201" s="62">
        <f t="shared" si="204"/>
        <v>319.89882768207553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17.192774272965007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4.1356629710253208E-19</v>
      </c>
      <c r="AC201" s="24">
        <f t="shared" si="163"/>
        <v>17.192774272965007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-3.979039320256561E-13</v>
      </c>
      <c r="AJ201" s="14">
        <f>AI201*VLOOKUP('Données projet'!$B$10,Paramètres!$A$1:$I$89,3,0)*VLOOKUP('Données projet'!$B$10,Paramètres!$A$1:$I$89,5,0)</f>
        <v>-2.379465513513424E-13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211.38734697794843</v>
      </c>
      <c r="AO201" s="62">
        <f t="shared" si="205"/>
        <v>239.85955661394541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9.0984485543466302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6.1182584017117521E-21</v>
      </c>
      <c r="AX201" s="23">
        <f t="shared" si="166"/>
        <v>9.0984485543466302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-6.7984728957526396E-14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276.05121228874452</v>
      </c>
      <c r="T202" s="62">
        <f t="shared" si="204"/>
        <v>319.89882768207553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16.855634456029009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2.9243553315141085E-19</v>
      </c>
      <c r="AC202" s="24">
        <f t="shared" si="163"/>
        <v>16.855634456029009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-3.979039320256561E-13</v>
      </c>
      <c r="AJ202" s="14">
        <f>AI202*VLOOKUP('Données projet'!$B$10,Paramètres!$A$1:$I$89,3,0)*VLOOKUP('Données projet'!$B$10,Paramètres!$A$1:$I$89,5,0)</f>
        <v>-2.379465513513424E-13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211.38734697794843</v>
      </c>
      <c r="AO202" s="62">
        <f t="shared" si="205"/>
        <v>239.85955661394541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8.920033527701543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4.3262620049019478E-21</v>
      </c>
      <c r="AX202" s="23">
        <f t="shared" si="166"/>
        <v>8.920033527701543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-6.7984728957526396E-14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276.05121228874452</v>
      </c>
      <c r="T203" s="62">
        <f t="shared" si="204"/>
        <v>319.89882768207553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16.525105745268142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2.0678314855126604E-19</v>
      </c>
      <c r="AC203" s="24">
        <f t="shared" si="163"/>
        <v>16.525105745268142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-3.979039320256561E-13</v>
      </c>
      <c r="AJ203" s="14">
        <f>AI203*VLOOKUP('Données projet'!$B$10,Paramètres!$A$1:$I$89,3,0)*VLOOKUP('Données projet'!$B$10,Paramètres!$A$1:$I$89,5,0)</f>
        <v>-2.379465513513424E-13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211.38734697794843</v>
      </c>
      <c r="AO203" s="62">
        <f t="shared" si="205"/>
        <v>239.85955661394541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8.7451171109065449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3.0591292008558761E-21</v>
      </c>
      <c r="AX203" s="23">
        <f t="shared" si="166"/>
        <v>8.7451171109065449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1.2855594921550282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1.2950174885756143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laricio</v>
      </c>
      <c r="B6" s="155">
        <f>'Données projet'!D9</f>
        <v>5</v>
      </c>
      <c r="C6" s="156">
        <f ca="1">IF(OR('Données projet'!B9="",'Données projet'!C9="",'Données projet'!C9=0%),0,Calculateur!S3)</f>
        <v>276.05121228874452</v>
      </c>
      <c r="D6" s="156">
        <f>IF(OR('Données projet'!B9="",'Données projet'!C9="",'Données projet'!C9=0%),0,Calculateur!T3)</f>
        <v>319.89882768207553</v>
      </c>
      <c r="E6" s="156">
        <f ca="1">MIN(C6,D6)</f>
        <v>276.05121228874452</v>
      </c>
      <c r="F6" s="156">
        <f ca="1">E6*B6</f>
        <v>1380.2560614437225</v>
      </c>
      <c r="G6" s="156">
        <f ca="1">F6*(100%-'Données projet'!$C$24)*(100%-'Données projet'!$C$25)*(100%-'Données projet'!$C$26)*(100%-'Données projet'!$C$27)</f>
        <v>1180.1189325343828</v>
      </c>
      <c r="H6" s="157">
        <f>IF(OR('Données projet'!B9="",'Données projet'!C9="",'Données projet'!C9=0%),0,AVERAGE(Calculateur!$AC$3:$AC$33)*B6)</f>
        <v>18.443598917770995</v>
      </c>
      <c r="I6" s="158">
        <f>H6*(100%-'Données projet'!$C$24)*(100%-'Données projet'!$C$25)*(100%-'Données projet'!$C$26)*(100%-'Données projet'!$C$27)</f>
        <v>15.7692770746942</v>
      </c>
      <c r="J6" s="159">
        <f>IF(OR('Données projet'!B9="",'Données projet'!C9="",'Données projet'!C9=0%),0,SUM(Calculateur!$V$3:$V$33)*VLOOKUP('Données projet'!$B$9,Paramètres!$A$1:$I$89,9,0)*B6)</f>
        <v>258</v>
      </c>
      <c r="K6" s="160">
        <f>J6*(100%-'Données projet'!$C$24)*(100%-'Données projet'!$C$25)*(100%-'Données projet'!$C$26)*(100%-'Données projet'!$C$27)</f>
        <v>220.59</v>
      </c>
      <c r="L6" s="161">
        <f ca="1">G6+I6+K6</f>
        <v>1416.4782096090769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maritime</v>
      </c>
      <c r="B7" s="163">
        <f>'Données projet'!D10</f>
        <v>5</v>
      </c>
      <c r="C7" s="156">
        <f ca="1">IF(OR('Données projet'!B10="",'Données projet'!C10="",'Données projet'!C10=0%),0,Calculateur!AN3)</f>
        <v>211.38734697794843</v>
      </c>
      <c r="D7" s="156">
        <f>IF(OR('Données projet'!B10="",'Données projet'!C10="",'Données projet'!C10=0%),0,Calculateur!AO3)</f>
        <v>239.85955661394541</v>
      </c>
      <c r="E7" s="156">
        <f t="shared" ref="E7:E15" ca="1" si="0">MIN(C7,D7)</f>
        <v>211.38734697794843</v>
      </c>
      <c r="F7" s="156">
        <f t="shared" ref="F7:F15" ca="1" si="1">E7*B7</f>
        <v>1056.9367348897422</v>
      </c>
      <c r="G7" s="156">
        <f ca="1">F7*(100%-'Données projet'!$C$24)*(100%-'Données projet'!$C$25)*(100%-'Données projet'!$C$26)*(100%-'Données projet'!$C$27)</f>
        <v>903.68090833072949</v>
      </c>
      <c r="H7" s="164">
        <f>IF(OR('Données projet'!B10="",'Données projet'!C10="",'Données projet'!C10=0%),0,AVERAGE(Calculateur!$AX$3:$AX$33)*B7)</f>
        <v>38.748722676074479</v>
      </c>
      <c r="I7" s="158">
        <f>H7*(100%-'Données projet'!$C$24)*(100%-'Données projet'!$C$25)*(100%-'Données projet'!$C$26)*(100%-'Données projet'!$C$27)</f>
        <v>33.130157888043684</v>
      </c>
      <c r="J7" s="159">
        <f>IF(OR('Données projet'!B10="",'Données projet'!C10="",'Données projet'!C10=0%),0,SUM(Calculateur!$AQ$3:$AQ$33)*VLOOKUP('Données projet'!$B$10,Paramètres!$A$1:$I$89,9,0)*B7)</f>
        <v>421.84999999999997</v>
      </c>
      <c r="K7" s="160">
        <f>J7*(100%-'Données projet'!$C$24)*(100%-'Données projet'!$C$25)*(100%-'Données projet'!$C$26)*(100%-'Données projet'!$C$27)</f>
        <v>360.68174999999997</v>
      </c>
      <c r="L7" s="161">
        <f t="shared" ref="L7:L15" ca="1" si="2">G7+I7+K7</f>
        <v>1297.492816218773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2437.1927963334647</v>
      </c>
      <c r="G16" s="175">
        <f t="shared" ca="1" si="3"/>
        <v>2083.7998408651124</v>
      </c>
      <c r="H16" s="176">
        <f t="shared" si="3"/>
        <v>57.192321593845477</v>
      </c>
      <c r="I16" s="176">
        <f t="shared" si="3"/>
        <v>48.899434962737885</v>
      </c>
      <c r="J16" s="177">
        <f t="shared" si="3"/>
        <v>679.84999999999991</v>
      </c>
      <c r="K16" s="177">
        <f t="shared" si="3"/>
        <v>581.27175</v>
      </c>
      <c r="L16" s="178">
        <f t="shared" ca="1" si="3"/>
        <v>2713.9710258278501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O1" zoomScale="80" zoomScaleNormal="80" workbookViewId="0">
      <selection activeCell="F61" sqref="F6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348.45222833440732</v>
      </c>
      <c r="U10" s="190">
        <f>'Données projet'!D9</f>
        <v>5</v>
      </c>
      <c r="V10" s="189">
        <f>U10*T10</f>
        <v>1742.2611416720365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-79.477254113329536</v>
      </c>
      <c r="U11" s="190">
        <f>'Données projet'!D10</f>
        <v>5</v>
      </c>
      <c r="V11" s="189">
        <f t="shared" ref="V11" si="0">U11*T11</f>
        <v>-397.38627056664768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35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(2700/5)+(8100/10)</f>
        <v>1350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34.999999999999986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174.99999999999994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f>(2000+7500+120+645)/10</f>
        <v>1026.5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1000/3</f>
        <v>333.33333333333331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>1000/3</f>
        <v>333.33333333333331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30</v>
      </c>
      <c r="C23" s="206">
        <v>3.5</v>
      </c>
      <c r="D23" s="194">
        <f>B23*C23</f>
        <v>105</v>
      </c>
      <c r="E23" s="206"/>
      <c r="F23" s="261"/>
      <c r="H23" s="203">
        <v>4</v>
      </c>
      <c r="I23" s="204">
        <f>1000/3</f>
        <v>333.33333333333331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-17246.717965689993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90</v>
      </c>
      <c r="C24" s="206">
        <v>4</v>
      </c>
      <c r="D24" s="194">
        <f t="shared" ref="D24:D42" si="2">B24*C24</f>
        <v>360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374.94527325376345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40</v>
      </c>
      <c r="B25" s="193">
        <f>'Données projet'!D38</f>
        <v>100</v>
      </c>
      <c r="C25" s="206">
        <v>11</v>
      </c>
      <c r="D25" s="194">
        <f t="shared" si="2"/>
        <v>1100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-17621.663238943758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50</v>
      </c>
      <c r="B26" s="193">
        <f>'Données projet'!D39</f>
        <v>104</v>
      </c>
      <c r="C26" s="206">
        <v>18</v>
      </c>
      <c r="D26" s="194">
        <f t="shared" si="2"/>
        <v>1872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65</v>
      </c>
      <c r="B27" s="193">
        <f>'Données projet'!D40</f>
        <v>635</v>
      </c>
      <c r="C27" s="206">
        <v>32</v>
      </c>
      <c r="D27" s="194">
        <f t="shared" si="2"/>
        <v>20320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(2700/5)+(8100/10)</f>
        <v>1350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59</v>
      </c>
      <c r="C54" s="204">
        <v>3.5</v>
      </c>
      <c r="D54" s="191">
        <f>B54*C54</f>
        <v>206.5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28</v>
      </c>
      <c r="B55" s="193">
        <f>'Données projet'!D63</f>
        <v>84</v>
      </c>
      <c r="C55" s="204">
        <v>4</v>
      </c>
      <c r="D55" s="191">
        <f t="shared" ref="D55:D73" si="4">B55*C55</f>
        <v>336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34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94</v>
      </c>
      <c r="C57" s="204">
        <v>15</v>
      </c>
      <c r="D57" s="191">
        <f t="shared" si="4"/>
        <v>1410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54</v>
      </c>
      <c r="B58" s="193">
        <f>'Données projet'!D66</f>
        <v>423</v>
      </c>
      <c r="C58" s="204">
        <v>24</v>
      </c>
      <c r="D58" s="191">
        <f t="shared" si="4"/>
        <v>10152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str">
        <f>IF(O87+1&lt;=MIN('Données projet'!$E$9:$E$18),O87+1,"STOP")</f>
        <v>STOP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2022-08-16T13:26:47Z</dcterms:modified>
</cp:coreProperties>
</file>