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A.S.O\Tour de France 2022\08 - Les Deux-Villes\"/>
    </mc:Choice>
  </mc:AlternateContent>
  <bookViews>
    <workbookView minimized="1" xWindow="0" yWindow="0" windowWidth="28800" windowHeight="11835" tabRatio="866" firstSheet="5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D96" i="1" l="1"/>
  <c r="B120" i="1"/>
  <c r="D119" i="1"/>
  <c r="B119" i="1"/>
  <c r="B118" i="1"/>
  <c r="D117" i="1"/>
  <c r="B117" i="1"/>
  <c r="B116" i="1"/>
  <c r="D115" i="1"/>
  <c r="B115" i="1"/>
  <c r="B114" i="1"/>
  <c r="B68" i="1"/>
  <c r="D67" i="1"/>
  <c r="B67" i="1"/>
  <c r="B66" i="1"/>
  <c r="D65" i="1"/>
  <c r="B65" i="1"/>
  <c r="B64" i="1"/>
  <c r="D63" i="1"/>
  <c r="B63" i="1"/>
  <c r="B62" i="1"/>
  <c r="D43" i="1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EV20" i="2"/>
  <c r="EW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H38" i="2" l="1"/>
  <c r="FS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V85" i="2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HG107" i="2"/>
  <c r="EB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EB113" i="2"/>
  <c r="HG113" i="2"/>
  <c r="EW113" i="2"/>
  <c r="HI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HH144" i="2" s="1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G146" i="2"/>
  <c r="HI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W155" i="2" l="1"/>
  <c r="EX155" i="2"/>
  <c r="DI154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FS156" i="2"/>
  <c r="HH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A159" i="2"/>
  <c r="EC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H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G162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H164" i="2" l="1"/>
  <c r="HG164" i="2"/>
  <c r="EA164" i="2"/>
  <c r="EV164" i="2"/>
  <c r="DH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FR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HH168" i="2"/>
  <c r="EV168" i="2"/>
  <c r="EW168" i="2"/>
  <c r="DI167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EA179" i="2"/>
  <c r="HG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A185" i="2" l="1"/>
  <c r="EV185" i="2"/>
  <c r="EW185" i="2"/>
  <c r="HH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G192" i="2"/>
  <c r="EA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B195" i="2" l="1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FS201" i="2" l="1"/>
  <c r="HH201" i="2"/>
  <c r="DI200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AH90" i="2" a="1"/>
  <c r="AH90" i="2" s="1"/>
  <c r="AH166" i="2" a="1"/>
  <c r="AH166" i="2" s="1"/>
  <c r="AH62" i="2" a="1"/>
  <c r="AH62" i="2" s="1"/>
  <c r="AH163" i="2" a="1"/>
  <c r="AH16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HG203" i="2" l="1"/>
  <c r="FR203" i="2"/>
  <c r="AH19" i="2" a="1"/>
  <c r="AH19" i="2" s="1"/>
  <c r="AH151" i="2" a="1"/>
  <c r="AH151" i="2" s="1"/>
  <c r="AH92" i="2" a="1"/>
  <c r="AH92" i="2" s="1"/>
  <c r="AH199" i="2" a="1"/>
  <c r="AH199" i="2" s="1"/>
  <c r="CS72" i="2" a="1"/>
  <c r="CS72" i="2" s="1"/>
  <c r="CS56" i="2" a="1"/>
  <c r="CS56" i="2" s="1"/>
  <c r="CS134" i="2" a="1"/>
  <c r="CS134" i="2" s="1"/>
  <c r="CS38" i="2" a="1"/>
  <c r="CS38" i="2" s="1"/>
  <c r="CS137" i="2" a="1"/>
  <c r="CS137" i="2" s="1"/>
  <c r="CS129" i="2" a="1"/>
  <c r="CS129" i="2" s="1"/>
  <c r="CS52" i="2" a="1"/>
  <c r="CS52" i="2" s="1"/>
  <c r="CS114" i="2" a="1"/>
  <c r="CS114" i="2" s="1"/>
  <c r="CS116" i="2" a="1"/>
  <c r="CS116" i="2" s="1"/>
  <c r="CS66" i="2" a="1"/>
  <c r="CS66" i="2" s="1"/>
  <c r="CS105" i="2" a="1"/>
  <c r="CS105" i="2" s="1"/>
  <c r="CS77" i="2" a="1"/>
  <c r="CS77" i="2" s="1"/>
  <c r="CS185" i="2" a="1"/>
  <c r="CS185" i="2" s="1"/>
  <c r="CS161" i="2" a="1"/>
  <c r="CS161" i="2" s="1"/>
  <c r="CS24" i="2" a="1"/>
  <c r="CS24" i="2" s="1"/>
  <c r="CS120" i="2" a="1"/>
  <c r="CS120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73" i="2" l="1"/>
  <c r="CD96" i="2"/>
  <c r="CD103" i="2"/>
  <c r="CD182" i="2"/>
  <c r="CD43" i="2"/>
  <c r="CD152" i="2"/>
  <c r="CD169" i="2"/>
  <c r="CD130" i="2"/>
  <c r="CD38" i="2"/>
  <c r="CD67" i="2"/>
  <c r="CD198" i="2"/>
  <c r="CD148" i="2"/>
  <c r="CD107" i="2"/>
  <c r="CD124" i="2"/>
  <c r="CD117" i="2"/>
  <c r="CD54" i="2"/>
  <c r="CD118" i="2"/>
  <c r="CD22" i="2"/>
  <c r="CD98" i="2"/>
  <c r="CD149" i="2"/>
  <c r="CD14" i="2"/>
  <c r="CD190" i="2"/>
  <c r="CD201" i="2"/>
  <c r="CD46" i="2"/>
  <c r="CD203" i="2"/>
  <c r="CD129" i="2"/>
  <c r="CD18" i="2"/>
  <c r="CD68" i="2"/>
  <c r="CD160" i="2"/>
  <c r="CD115" i="2"/>
  <c r="CD138" i="2"/>
  <c r="CD28" i="2"/>
  <c r="CD66" i="2"/>
  <c r="CD72" i="2"/>
  <c r="CD31" i="2"/>
  <c r="CD91" i="2"/>
  <c r="CD15" i="2"/>
  <c r="CD142" i="2"/>
  <c r="CD196" i="2"/>
  <c r="CD92" i="2"/>
  <c r="CD164" i="2"/>
  <c r="CD183" i="2"/>
  <c r="CD24" i="2"/>
  <c r="CD168" i="2"/>
  <c r="CD55" i="2"/>
  <c r="CD85" i="2"/>
  <c r="CD177" i="2"/>
  <c r="CD76" i="2"/>
  <c r="CD42" i="2"/>
  <c r="CD192" i="2"/>
  <c r="CD41" i="2"/>
  <c r="CD16" i="2"/>
  <c r="CD195" i="2"/>
  <c r="CD175" i="2"/>
  <c r="CD50" i="2"/>
  <c r="CD122" i="2"/>
  <c r="CD179" i="2"/>
  <c r="CD133" i="2"/>
  <c r="CD83" i="2"/>
  <c r="CD114" i="2"/>
  <c r="CD125" i="2"/>
  <c r="CD70" i="2"/>
  <c r="CD189" i="2"/>
  <c r="CD59" i="2"/>
  <c r="CD191" i="2"/>
  <c r="CD34" i="2"/>
  <c r="CD145" i="2"/>
  <c r="CD154" i="2"/>
  <c r="CD61" i="2"/>
  <c r="CD27" i="2"/>
  <c r="CD187" i="2"/>
  <c r="CD159" i="2"/>
  <c r="CD147" i="2"/>
  <c r="CD143" i="2"/>
  <c r="CD146" i="2"/>
  <c r="CD65" i="2"/>
  <c r="CD131" i="2"/>
  <c r="CD141" i="2"/>
  <c r="CD88" i="2"/>
  <c r="CD62" i="2"/>
  <c r="CD12" i="2"/>
  <c r="CD56" i="2"/>
  <c r="CD181" i="2"/>
  <c r="CD86" i="2"/>
  <c r="CD173" i="2"/>
  <c r="CD112" i="2"/>
  <c r="CD134" i="2"/>
  <c r="CD157" i="2"/>
  <c r="CD10" i="2"/>
  <c r="CD200" i="2"/>
  <c r="CD13" i="2"/>
  <c r="CD20" i="2"/>
  <c r="CD193" i="2"/>
  <c r="CD150" i="2"/>
  <c r="CD166" i="2"/>
  <c r="CD89" i="2"/>
  <c r="CD11" i="2"/>
  <c r="CD106" i="2"/>
  <c r="CD199" i="2"/>
  <c r="CD186" i="2"/>
  <c r="CD17" i="2"/>
  <c r="CD178" i="2"/>
  <c r="CD162" i="2"/>
  <c r="CD128" i="2"/>
  <c r="CD101" i="2"/>
  <c r="CD127" i="2"/>
  <c r="CD132" i="2"/>
  <c r="CD4" i="2"/>
  <c r="CD176" i="2"/>
  <c r="CD51" i="2"/>
  <c r="CD6" i="2"/>
  <c r="CD39" i="2"/>
  <c r="CD100" i="2"/>
  <c r="CD156" i="2"/>
  <c r="CD105" i="2"/>
  <c r="CD71" i="2"/>
  <c r="CD95" i="2"/>
  <c r="CD197" i="2"/>
  <c r="CD32" i="2"/>
  <c r="CD163" i="2"/>
  <c r="CD135" i="2"/>
  <c r="CD87" i="2"/>
  <c r="CD104" i="2"/>
  <c r="CD53" i="2"/>
  <c r="CD99" i="2"/>
  <c r="CD94" i="2"/>
  <c r="CD57" i="2"/>
  <c r="CD33" i="2"/>
  <c r="CD45" i="2"/>
  <c r="CD7" i="2"/>
  <c r="CD180" i="2"/>
  <c r="CD121" i="2"/>
  <c r="CD119" i="2"/>
  <c r="CD116" i="2"/>
  <c r="CD153" i="2"/>
  <c r="CD80" i="2"/>
  <c r="CD93" i="2"/>
  <c r="CD29" i="2"/>
  <c r="CD3" i="2"/>
  <c r="C9" i="4" s="1"/>
  <c r="E9" i="4" s="1"/>
  <c r="F9" i="4" s="1"/>
  <c r="G9" i="4" s="1"/>
  <c r="L9" i="4" s="1"/>
  <c r="CD47" i="2"/>
  <c r="CD48" i="2"/>
  <c r="CD184" i="2"/>
  <c r="CD136" i="2"/>
  <c r="CD58" i="2"/>
  <c r="CD49" i="2"/>
  <c r="CD8" i="2"/>
  <c r="CD52" i="2"/>
  <c r="CD155" i="2"/>
  <c r="CD174" i="2"/>
  <c r="CD158" i="2"/>
  <c r="CD64" i="2"/>
  <c r="CD167" i="2"/>
  <c r="CD113" i="2"/>
  <c r="CD109" i="2"/>
  <c r="CD170" i="2"/>
  <c r="CD60" i="2"/>
  <c r="CD108" i="2"/>
  <c r="CD74" i="2"/>
  <c r="CD5" i="2"/>
  <c r="CD171" i="2"/>
  <c r="CD202" i="2"/>
  <c r="CD79" i="2"/>
  <c r="CD194" i="2"/>
  <c r="CD139" i="2"/>
  <c r="CD188" i="2"/>
  <c r="CD81" i="2"/>
  <c r="CD126" i="2"/>
  <c r="CD102" i="2"/>
  <c r="CD78" i="2"/>
  <c r="CD30" i="2"/>
  <c r="CD23" i="2"/>
  <c r="CD82" i="2"/>
  <c r="CD26" i="2"/>
  <c r="CD172" i="2"/>
  <c r="CD75" i="2"/>
  <c r="CD35" i="2"/>
  <c r="CD40" i="2"/>
  <c r="CD25" i="2"/>
  <c r="CD140" i="2"/>
  <c r="CD151" i="2"/>
  <c r="CD123" i="2"/>
  <c r="CD110" i="2"/>
  <c r="CD90" i="2"/>
  <c r="CD97" i="2"/>
  <c r="CD19" i="2"/>
  <c r="CD63" i="2"/>
  <c r="CD37" i="2"/>
  <c r="CD9" i="2"/>
  <c r="CD44" i="2"/>
  <c r="CD111" i="2"/>
  <c r="CD165" i="2"/>
  <c r="CD84" i="2"/>
  <c r="CD120" i="2"/>
  <c r="CD185" i="2"/>
  <c r="CD144" i="2"/>
  <c r="CD137" i="2"/>
  <c r="CD77" i="2"/>
  <c r="CD69" i="2"/>
  <c r="CD36" i="2"/>
  <c r="CD161" i="2"/>
  <c r="CD21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95" i="2"/>
  <c r="BI201" i="2"/>
  <c r="BI9" i="2"/>
  <c r="BI51" i="2"/>
  <c r="BI163" i="2"/>
  <c r="BI132" i="2"/>
  <c r="BI53" i="2"/>
  <c r="BI3" i="2"/>
  <c r="C8" i="4" s="1"/>
  <c r="E8" i="4" s="1"/>
  <c r="F8" i="4" s="1"/>
  <c r="G8" i="4" s="1"/>
  <c r="L8" i="4" s="1"/>
  <c r="BI157" i="2"/>
  <c r="BI169" i="2"/>
  <c r="BI31" i="2"/>
  <c r="BI160" i="2"/>
  <c r="BI190" i="2"/>
  <c r="BI98" i="2"/>
  <c r="BI141" i="2"/>
  <c r="BI36" i="2"/>
  <c r="BI81" i="2"/>
  <c r="BI183" i="2"/>
  <c r="BI89" i="2"/>
  <c r="BI164" i="2"/>
  <c r="BI79" i="2"/>
  <c r="BI181" i="2"/>
  <c r="BI96" i="2"/>
  <c r="BI80" i="2"/>
  <c r="BI34" i="2"/>
  <c r="BI128" i="2"/>
  <c r="BI7" i="2"/>
  <c r="BI111" i="2"/>
  <c r="BI147" i="2"/>
  <c r="BI84" i="2"/>
  <c r="BI27" i="2"/>
  <c r="BI166" i="2"/>
  <c r="BI112" i="2"/>
  <c r="BI184" i="2"/>
  <c r="BI143" i="2"/>
  <c r="BI146" i="2"/>
  <c r="BI180" i="2"/>
  <c r="BI88" i="2"/>
  <c r="BI71" i="2"/>
  <c r="BI148" i="2"/>
  <c r="BI21" i="2"/>
  <c r="BI116" i="2"/>
  <c r="BI175" i="2"/>
  <c r="BI123" i="2"/>
  <c r="BI187" i="2"/>
  <c r="BI121" i="2"/>
  <c r="BI133" i="2"/>
  <c r="BI18" i="2"/>
  <c r="BI76" i="2"/>
  <c r="BI22" i="2"/>
  <c r="BI99" i="2"/>
  <c r="BI4" i="2"/>
  <c r="BI62" i="2"/>
  <c r="BI30" i="2"/>
  <c r="BI174" i="2"/>
  <c r="BI78" i="2"/>
  <c r="BI114" i="2"/>
  <c r="BI186" i="2"/>
  <c r="BI102" i="2"/>
  <c r="BI17" i="2"/>
  <c r="BI110" i="2"/>
  <c r="BI144" i="2"/>
  <c r="BI176" i="2"/>
  <c r="BI6" i="2"/>
  <c r="BI173" i="2"/>
  <c r="BI28" i="2"/>
  <c r="BI158" i="2"/>
  <c r="BI134" i="2"/>
  <c r="BI124" i="2"/>
  <c r="BI90" i="2"/>
  <c r="BI127" i="2"/>
  <c r="BI135" i="2"/>
  <c r="BI177" i="2"/>
  <c r="BI38" i="2"/>
  <c r="BI35" i="2"/>
  <c r="BI122" i="2"/>
  <c r="BI15" i="2"/>
  <c r="BI52" i="2"/>
  <c r="BI152" i="2"/>
  <c r="BI182" i="2"/>
  <c r="BI41" i="2"/>
  <c r="BI64" i="2"/>
  <c r="BI108" i="2"/>
  <c r="BI85" i="2"/>
  <c r="BI151" i="2"/>
  <c r="BI26" i="2"/>
  <c r="BI129" i="2"/>
  <c r="BI97" i="2"/>
  <c r="BI39" i="2"/>
  <c r="BI74" i="2"/>
  <c r="BI197" i="2"/>
  <c r="BI109" i="2"/>
  <c r="BI86" i="2"/>
  <c r="BI67" i="2"/>
  <c r="BI170" i="2"/>
  <c r="BI105" i="2"/>
  <c r="BI46" i="2"/>
  <c r="BI139" i="2"/>
  <c r="BI119" i="2"/>
  <c r="BI202" i="2"/>
  <c r="BI40" i="2"/>
  <c r="BI196" i="2"/>
  <c r="BI125" i="2"/>
  <c r="BI77" i="2"/>
  <c r="BI106" i="2"/>
  <c r="BI56" i="2"/>
  <c r="BI8" i="2"/>
  <c r="BI83" i="2"/>
  <c r="BI168" i="2"/>
  <c r="BI5" i="2"/>
  <c r="BI130" i="2"/>
  <c r="BI137" i="2"/>
  <c r="BI87" i="2"/>
  <c r="BI172" i="2"/>
  <c r="BI13" i="2"/>
  <c r="BI68" i="2"/>
  <c r="BI16" i="2"/>
  <c r="BI199" i="2"/>
  <c r="BI104" i="2"/>
  <c r="BI161" i="2"/>
  <c r="BI191" i="2"/>
  <c r="BI58" i="2"/>
  <c r="BI59" i="2"/>
  <c r="BI63" i="2"/>
  <c r="BI29" i="2"/>
  <c r="BI185" i="2"/>
  <c r="BI115" i="2"/>
  <c r="BI14" i="2"/>
  <c r="BI54" i="2"/>
  <c r="BI117" i="2"/>
  <c r="BI131" i="2"/>
  <c r="BI70" i="2"/>
  <c r="BI12" i="2"/>
  <c r="BI73" i="2"/>
  <c r="BI162" i="2"/>
  <c r="BI49" i="2"/>
  <c r="BI179" i="2"/>
  <c r="BI188" i="2"/>
  <c r="BI145" i="2"/>
  <c r="BI94" i="2"/>
  <c r="BI194" i="2"/>
  <c r="BI142" i="2"/>
  <c r="BI195" i="2"/>
  <c r="BI69" i="2"/>
  <c r="BI140" i="2"/>
  <c r="BI10" i="2"/>
  <c r="BI75" i="2"/>
  <c r="BI20" i="2"/>
  <c r="BI101" i="2"/>
  <c r="BI155" i="2"/>
  <c r="BI118" i="2"/>
  <c r="BI113" i="2"/>
  <c r="BI57" i="2"/>
  <c r="BI156" i="2"/>
  <c r="BI154" i="2"/>
  <c r="BI192" i="2"/>
  <c r="BI45" i="2"/>
  <c r="BI19" i="2"/>
  <c r="BI93" i="2"/>
  <c r="BI82" i="2"/>
  <c r="BI23" i="2"/>
  <c r="BI149" i="2"/>
  <c r="BI103" i="2"/>
  <c r="BI153" i="2"/>
  <c r="BI167" i="2"/>
  <c r="BI66" i="2"/>
  <c r="BI65" i="2"/>
  <c r="BI120" i="2"/>
  <c r="BI24" i="2"/>
  <c r="BI37" i="2"/>
  <c r="BI193" i="2"/>
  <c r="BI198" i="2"/>
  <c r="BI42" i="2"/>
  <c r="BI171" i="2"/>
  <c r="BI61" i="2"/>
  <c r="BI33" i="2"/>
  <c r="BI200" i="2"/>
  <c r="BI48" i="2"/>
  <c r="BI126" i="2"/>
  <c r="BI100" i="2"/>
  <c r="BI25" i="2"/>
  <c r="BI43" i="2"/>
  <c r="BI107" i="2"/>
  <c r="BI60" i="2"/>
  <c r="BI159" i="2"/>
  <c r="BI44" i="2"/>
  <c r="BI165" i="2"/>
  <c r="BI11" i="2"/>
  <c r="BI178" i="2"/>
  <c r="BI136" i="2"/>
  <c r="BI32" i="2"/>
  <c r="BI55" i="2"/>
  <c r="BI150" i="2"/>
  <c r="BI203" i="2"/>
  <c r="BI72" i="2"/>
  <c r="BI138" i="2"/>
  <c r="BI91" i="2"/>
  <c r="BI92" i="2"/>
  <c r="BI189" i="2"/>
  <c r="BI5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<sst xmlns="http://schemas.openxmlformats.org/spreadsheetml/2006/main" count="1173" uniqueCount="324">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</sst>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2667872"/>
        <c:axId val="1562670048"/>
      </c:scatterChart>
      <c:valAx>
        <c:axId val="15626678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62670048"/>
        <c:crosses val="autoZero"/>
        <c:crossBetween val="midCat"/>
      </c:valAx>
      <c:valAx>
        <c:axId val="156267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626678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8565280"/>
        <c:axId val="1638561472"/>
      </c:scatterChart>
      <c:valAx>
        <c:axId val="1638565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8561472"/>
        <c:crosses val="autoZero"/>
        <c:crossBetween val="midCat"/>
      </c:valAx>
      <c:valAx>
        <c:axId val="1638561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8565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537.29368823845221</c:v>
                </c:pt>
                <c:pt idx="87">
                  <c:v>547.62493821970577</c:v>
                </c:pt>
                <c:pt idx="88">
                  <c:v>557.95210035753439</c:v>
                </c:pt>
                <c:pt idx="89">
                  <c:v>568.27526097606165</c:v>
                </c:pt>
                <c:pt idx="90">
                  <c:v>578.5945030075876</c:v>
                </c:pt>
                <c:pt idx="91">
                  <c:v>507.61564043595627</c:v>
                </c:pt>
                <c:pt idx="92">
                  <c:v>517.0015903487556</c:v>
                </c:pt>
                <c:pt idx="93">
                  <c:v>526.38394569812215</c:v>
                </c:pt>
                <c:pt idx="94">
                  <c:v>535.76277959494871</c:v>
                </c:pt>
                <c:pt idx="95">
                  <c:v>545.13816238142238</c:v>
                </c:pt>
                <c:pt idx="96">
                  <c:v>554.5101617827122</c:v>
                </c:pt>
                <c:pt idx="97">
                  <c:v>563.87884304786508</c:v>
                </c:pt>
                <c:pt idx="98">
                  <c:v>573.24426908085536</c:v>
                </c:pt>
                <c:pt idx="99">
                  <c:v>582.60650056262341</c:v>
                </c:pt>
                <c:pt idx="100">
                  <c:v>591.96559606486426</c:v>
                </c:pt>
                <c:pt idx="101">
                  <c:v>520.06560820994207</c:v>
                </c:pt>
                <c:pt idx="102">
                  <c:v>528.48970219589603</c:v>
                </c:pt>
                <c:pt idx="103">
                  <c:v>536.910969684826</c:v>
                </c:pt>
                <c:pt idx="104">
                  <c:v>545.32946126916897</c:v>
                </c:pt>
                <c:pt idx="105">
                  <c:v>553.74522585166233</c:v>
                </c:pt>
                <c:pt idx="106">
                  <c:v>562.1583107271523</c:v>
                </c:pt>
                <c:pt idx="107">
                  <c:v>570.56876165925269</c:v>
                </c:pt>
                <c:pt idx="108">
                  <c:v>578.97662295224723</c:v>
                </c:pt>
                <c:pt idx="109">
                  <c:v>587.38193751859819</c:v>
                </c:pt>
                <c:pt idx="110">
                  <c:v>595.78474694239196</c:v>
                </c:pt>
                <c:pt idx="111">
                  <c:v>528.29827709857034</c:v>
                </c:pt>
                <c:pt idx="112">
                  <c:v>535.38003807305199</c:v>
                </c:pt>
                <c:pt idx="113">
                  <c:v>542.45982974283925</c:v>
                </c:pt>
                <c:pt idx="114">
                  <c:v>549.53768144295623</c:v>
                </c:pt>
                <c:pt idx="115">
                  <c:v>556.61362169091717</c:v>
                </c:pt>
                <c:pt idx="116">
                  <c:v>563.68767821983772</c:v>
                </c:pt>
                <c:pt idx="117">
                  <c:v>570.75987800979829</c:v>
                </c:pt>
                <c:pt idx="118">
                  <c:v>577.83024731757246</c:v>
                </c:pt>
                <c:pt idx="119">
                  <c:v>584.89881170482249</c:v>
                </c:pt>
                <c:pt idx="120">
                  <c:v>591.96559606486369</c:v>
                </c:pt>
                <c:pt idx="121">
                  <c:v>531.16950054399842</c:v>
                </c:pt>
                <c:pt idx="122">
                  <c:v>537.29368823845107</c:v>
                </c:pt>
                <c:pt idx="123">
                  <c:v>543.41640891561474</c:v>
                </c:pt>
                <c:pt idx="124">
                  <c:v>549.53768144295589</c:v>
                </c:pt>
                <c:pt idx="125">
                  <c:v>555.65752423315791</c:v>
                </c:pt>
                <c:pt idx="126">
                  <c:v>561.77595526008133</c:v>
                </c:pt>
                <c:pt idx="127">
                  <c:v>567.89299207399256</c:v>
                </c:pt>
                <c:pt idx="128">
                  <c:v>574.00865181610277</c:v>
                </c:pt>
                <c:pt idx="129">
                  <c:v>580.12295123245315</c:v>
                </c:pt>
                <c:pt idx="130">
                  <c:v>586.23590668718668</c:v>
                </c:pt>
                <c:pt idx="131">
                  <c:v>532.12650235188221</c:v>
                </c:pt>
                <c:pt idx="132">
                  <c:v>537.29368823845073</c:v>
                </c:pt>
                <c:pt idx="133">
                  <c:v>542.45982974283891</c:v>
                </c:pt>
                <c:pt idx="134">
                  <c:v>547.62493821970429</c:v>
                </c:pt>
                <c:pt idx="135">
                  <c:v>552.78902479193198</c:v>
                </c:pt>
                <c:pt idx="136">
                  <c:v>557.95210035753291</c:v>
                </c:pt>
                <c:pt idx="137">
                  <c:v>563.114175596275</c:v>
                </c:pt>
                <c:pt idx="138">
                  <c:v>568.27526097606028</c:v>
                </c:pt>
                <c:pt idx="139">
                  <c:v>573.43536675905398</c:v>
                </c:pt>
                <c:pt idx="140">
                  <c:v>578.59450300758601</c:v>
                </c:pt>
                <c:pt idx="141">
                  <c:v>531.55230561741371</c:v>
                </c:pt>
                <c:pt idx="142">
                  <c:v>536.14551536775048</c:v>
                </c:pt>
                <c:pt idx="143">
                  <c:v>540.73789791143201</c:v>
                </c:pt>
                <c:pt idx="144">
                  <c:v>545.32946126916795</c:v>
                </c:pt>
                <c:pt idx="145">
                  <c:v>549.9202133155037</c:v>
                </c:pt>
                <c:pt idx="146">
                  <c:v>554.51016178271072</c:v>
                </c:pt>
                <c:pt idx="147">
                  <c:v>559.09931426453795</c:v>
                </c:pt>
                <c:pt idx="148">
                  <c:v>563.68767821983681</c:v>
                </c:pt>
                <c:pt idx="149">
                  <c:v>568.27526097605983</c:v>
                </c:pt>
                <c:pt idx="150">
                  <c:v>572.86206973264086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4335280"/>
        <c:axId val="1304330928"/>
      </c:scatterChart>
      <c:valAx>
        <c:axId val="1304335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4330928"/>
        <c:crosses val="autoZero"/>
        <c:crossBetween val="midCat"/>
      </c:valAx>
      <c:valAx>
        <c:axId val="130433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4335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4863472"/>
        <c:axId val="1304866736"/>
      </c:scatterChart>
      <c:valAx>
        <c:axId val="13048634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4866736"/>
        <c:crosses val="autoZero"/>
        <c:crossBetween val="midCat"/>
      </c:valAx>
      <c:valAx>
        <c:axId val="1304866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4863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2.9021649741242297</c:v>
                </c:pt>
                <c:pt idx="2">
                  <c:v>3.4187201063672106</c:v>
                </c:pt>
                <c:pt idx="3">
                  <c:v>4.0275524263886373</c:v>
                </c:pt>
                <c:pt idx="4">
                  <c:v>4.7452029041587815</c:v>
                </c:pt>
                <c:pt idx="5">
                  <c:v>5.5911870403113042</c:v>
                </c:pt>
                <c:pt idx="6">
                  <c:v>6.5885313625952051</c:v>
                </c:pt>
                <c:pt idx="7">
                  <c:v>7.7644069523945136</c:v>
                </c:pt>
                <c:pt idx="8">
                  <c:v>9.1508775942690566</c:v>
                </c:pt>
                <c:pt idx="9">
                  <c:v>10.785783338663817</c:v>
                </c:pt>
                <c:pt idx="10">
                  <c:v>12.713784047373954</c:v>
                </c:pt>
                <c:pt idx="11">
                  <c:v>14.987591959271832</c:v>
                </c:pt>
                <c:pt idx="12">
                  <c:v>17.669427595851236</c:v>
                </c:pt>
                <c:pt idx="13">
                  <c:v>20.832739570942948</c:v>
                </c:pt>
                <c:pt idx="14">
                  <c:v>24.564236252300834</c:v>
                </c:pt>
                <c:pt idx="15">
                  <c:v>28.966285952596809</c:v>
                </c:pt>
                <c:pt idx="16">
                  <c:v>34.159752649685629</c:v>
                </c:pt>
                <c:pt idx="17">
                  <c:v>40.287346441806335</c:v>
                </c:pt>
                <c:pt idx="18">
                  <c:v>47.517582376933468</c:v>
                </c:pt>
                <c:pt idx="19">
                  <c:v>56.049458364054281</c:v>
                </c:pt>
                <c:pt idx="20">
                  <c:v>66.117983059573092</c:v>
                </c:pt>
                <c:pt idx="21">
                  <c:v>78.000708494419527</c:v>
                </c:pt>
                <c:pt idx="22">
                  <c:v>92.025450441272952</c:v>
                </c:pt>
                <c:pt idx="23">
                  <c:v>108.57941291469903</c:v>
                </c:pt>
                <c:pt idx="24">
                  <c:v>128.11997269425476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514.99392273715932</c:v>
                </c:pt>
                <c:pt idx="82">
                  <c:v>526.86584290776057</c:v>
                </c:pt>
                <c:pt idx="83">
                  <c:v>538.7321309043233</c:v>
                </c:pt>
                <c:pt idx="84">
                  <c:v>550.5929282476219</c:v>
                </c:pt>
                <c:pt idx="85">
                  <c:v>562.44836986503799</c:v>
                </c:pt>
                <c:pt idx="86">
                  <c:v>573.48149358555668</c:v>
                </c:pt>
                <c:pt idx="87">
                  <c:v>584.51018595042058</c:v>
                </c:pt>
                <c:pt idx="88">
                  <c:v>595.53454234223091</c:v>
                </c:pt>
                <c:pt idx="89">
                  <c:v>606.55465432493372</c:v>
                </c:pt>
                <c:pt idx="90">
                  <c:v>617.57060986476893</c:v>
                </c:pt>
                <c:pt idx="91">
                  <c:v>541.80009933248687</c:v>
                </c:pt>
                <c:pt idx="92">
                  <c:v>551.81959936072406</c:v>
                </c:pt>
                <c:pt idx="93">
                  <c:v>561.83528663769755</c:v>
                </c:pt>
                <c:pt idx="94">
                  <c:v>571.84723871208701</c:v>
                </c:pt>
                <c:pt idx="95">
                  <c:v>581.85553019580868</c:v>
                </c:pt>
                <c:pt idx="96">
                  <c:v>591.86023292490756</c:v>
                </c:pt>
                <c:pt idx="97">
                  <c:v>601.86141610900893</c:v>
                </c:pt>
                <c:pt idx="98">
                  <c:v>611.85914647032007</c:v>
                </c:pt>
                <c:pt idx="99">
                  <c:v>621.85348837307788</c:v>
                </c:pt>
                <c:pt idx="100">
                  <c:v>631.84450394424391</c:v>
                </c:pt>
                <c:pt idx="101">
                  <c:v>555.09044325536661</c:v>
                </c:pt>
                <c:pt idx="102">
                  <c:v>564.08319015797395</c:v>
                </c:pt>
                <c:pt idx="103">
                  <c:v>573.07293899689353</c:v>
                </c:pt>
                <c:pt idx="104">
                  <c:v>582.0597434354936</c:v>
                </c:pt>
                <c:pt idx="105">
                  <c:v>591.04365534487772</c:v>
                </c:pt>
                <c:pt idx="106">
                  <c:v>600.02472489066054</c:v>
                </c:pt>
                <c:pt idx="107">
                  <c:v>609.0030006142797</c:v>
                </c:pt>
                <c:pt idx="108">
                  <c:v>617.97852950926199</c:v>
                </c:pt>
                <c:pt idx="109">
                  <c:v>626.95135709283113</c:v>
                </c:pt>
                <c:pt idx="110">
                  <c:v>635.92152747320154</c:v>
                </c:pt>
                <c:pt idx="111">
                  <c:v>563.87884304786428</c:v>
                </c:pt>
                <c:pt idx="112">
                  <c:v>571.4386597609938</c:v>
                </c:pt>
                <c:pt idx="113">
                  <c:v>578.99638763382234</c:v>
                </c:pt>
                <c:pt idx="114">
                  <c:v>586.5520577819924</c:v>
                </c:pt>
                <c:pt idx="115">
                  <c:v>594.10570045401448</c:v>
                </c:pt>
                <c:pt idx="116">
                  <c:v>601.65734506638728</c:v>
                </c:pt>
                <c:pt idx="117">
                  <c:v>609.20702023686579</c:v>
                </c:pt>
                <c:pt idx="118">
                  <c:v>616.75475381599415</c:v>
                </c:pt>
                <c:pt idx="119">
                  <c:v>624.30057291701144</c:v>
                </c:pt>
                <c:pt idx="120">
                  <c:v>631.844503944243</c:v>
                </c:pt>
                <c:pt idx="121">
                  <c:v>566.94388739716271</c:v>
                </c:pt>
                <c:pt idx="122">
                  <c:v>573.4814935855552</c:v>
                </c:pt>
                <c:pt idx="123">
                  <c:v>580.01754370959486</c:v>
                </c:pt>
                <c:pt idx="124">
                  <c:v>586.55205778199229</c:v>
                </c:pt>
                <c:pt idx="125">
                  <c:v>593.08505533306891</c:v>
                </c:pt>
                <c:pt idx="126">
                  <c:v>599.61655542768756</c:v>
                </c:pt>
                <c:pt idx="127">
                  <c:v>606.14657668140615</c:v>
                </c:pt>
                <c:pt idx="128">
                  <c:v>612.6751372758963</c:v>
                </c:pt>
                <c:pt idx="129">
                  <c:v>619.20225497367426</c:v>
                </c:pt>
                <c:pt idx="130">
                  <c:v>625.72794713217604</c:v>
                </c:pt>
                <c:pt idx="131">
                  <c:v>567.96549176173994</c:v>
                </c:pt>
                <c:pt idx="132">
                  <c:v>573.48149358555509</c:v>
                </c:pt>
                <c:pt idx="133">
                  <c:v>578.99638763382166</c:v>
                </c:pt>
                <c:pt idx="134">
                  <c:v>584.51018595041899</c:v>
                </c:pt>
                <c:pt idx="135">
                  <c:v>590.02290033338375</c:v>
                </c:pt>
                <c:pt idx="136">
                  <c:v>595.5345423422292</c:v>
                </c:pt>
                <c:pt idx="137">
                  <c:v>601.04512330497994</c:v>
                </c:pt>
                <c:pt idx="138">
                  <c:v>606.55465432493213</c:v>
                </c:pt>
                <c:pt idx="139">
                  <c:v>612.06314628715893</c:v>
                </c:pt>
                <c:pt idx="140">
                  <c:v>617.57060986476733</c:v>
                </c:pt>
                <c:pt idx="141">
                  <c:v>567.35253375731349</c:v>
                </c:pt>
                <c:pt idx="142">
                  <c:v>572.25581156511919</c:v>
                </c:pt>
                <c:pt idx="143">
                  <c:v>577.15821195532499</c:v>
                </c:pt>
                <c:pt idx="144">
                  <c:v>582.05974343549258</c:v>
                </c:pt>
                <c:pt idx="145">
                  <c:v>586.96041435814789</c:v>
                </c:pt>
                <c:pt idx="146">
                  <c:v>591.86023292490597</c:v>
                </c:pt>
                <c:pt idx="147">
                  <c:v>596.75920719045223</c:v>
                </c:pt>
                <c:pt idx="148">
                  <c:v>601.65734506638626</c:v>
                </c:pt>
                <c:pt idx="149">
                  <c:v>606.55465432493168</c:v>
                </c:pt>
                <c:pt idx="150">
                  <c:v>611.4511426025241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8565824"/>
        <c:axId val="1638571808"/>
      </c:scatterChart>
      <c:valAx>
        <c:axId val="16385658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8571808"/>
        <c:crosses val="autoZero"/>
        <c:crossBetween val="midCat"/>
      </c:valAx>
      <c:valAx>
        <c:axId val="1638571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8565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8572352"/>
        <c:axId val="1638572896"/>
      </c:scatterChart>
      <c:valAx>
        <c:axId val="16385723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8572896"/>
        <c:crosses val="autoZero"/>
        <c:crossBetween val="midCat"/>
      </c:valAx>
      <c:valAx>
        <c:axId val="1638572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8572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8567456"/>
        <c:axId val="1638570720"/>
      </c:scatterChart>
      <c:valAx>
        <c:axId val="16385674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8570720"/>
        <c:crosses val="autoZero"/>
        <c:crossBetween val="midCat"/>
      </c:valAx>
      <c:valAx>
        <c:axId val="163857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85674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8568544"/>
        <c:axId val="1638559840"/>
      </c:scatterChart>
      <c:valAx>
        <c:axId val="16385685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8559840"/>
        <c:crosses val="autoZero"/>
        <c:crossBetween val="midCat"/>
      </c:valAx>
      <c:valAx>
        <c:axId val="163855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8568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8569632"/>
        <c:axId val="1638573984"/>
      </c:scatterChart>
      <c:valAx>
        <c:axId val="1638569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8573984"/>
        <c:crosses val="autoZero"/>
        <c:crossBetween val="midCat"/>
      </c:valAx>
      <c:valAx>
        <c:axId val="163857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8569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8573440"/>
        <c:axId val="1638566912"/>
      </c:scatterChart>
      <c:valAx>
        <c:axId val="16385734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8566912"/>
        <c:crosses val="autoZero"/>
        <c:crossBetween val="midCat"/>
      </c:valAx>
      <c:valAx>
        <c:axId val="1638566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85734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5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5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5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5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5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5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5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5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5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5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5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5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5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5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5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5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5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5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28" zoomScale="90" zoomScaleNormal="90" workbookViewId="0">
      <selection activeCell="D43" sqref="D4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6" t="s">
        <v>190</v>
      </c>
      <c r="D1" s="296"/>
      <c r="E1" s="29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7" t="s">
        <v>192</v>
      </c>
      <c r="C3" s="298"/>
      <c r="D3" s="298"/>
      <c r="E3" s="298"/>
      <c r="F3" s="299"/>
      <c r="G3" s="94"/>
      <c r="I3" s="227" t="s">
        <v>304</v>
      </c>
      <c r="J3" s="9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6"/>
      <c r="B4" s="96"/>
      <c r="C4" s="96"/>
      <c r="D4" s="96"/>
      <c r="E4" s="96"/>
      <c r="F4" s="96"/>
      <c r="G4" s="237"/>
      <c r="I4" s="227" t="s">
        <v>305</v>
      </c>
      <c r="J4" s="9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3" t="s">
        <v>231</v>
      </c>
      <c r="B5" s="303"/>
      <c r="C5" s="26">
        <v>2.2008999999999999</v>
      </c>
      <c r="D5" s="304" t="s">
        <v>229</v>
      </c>
      <c r="E5" s="305"/>
      <c r="F5" s="96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7"/>
      <c r="B6" s="97"/>
      <c r="C6" s="98"/>
      <c r="D6" s="92"/>
      <c r="E6" s="92"/>
      <c r="F6" s="29"/>
      <c r="G6" s="239"/>
      <c r="H6" s="240"/>
      <c r="I6" s="240"/>
      <c r="J6" s="247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</row>
    <row r="7" spans="1:38" ht="26.25" x14ac:dyDescent="0.25">
      <c r="A7" s="301" t="s">
        <v>226</v>
      </c>
      <c r="B7" s="301"/>
      <c r="C7" s="96"/>
      <c r="D7" s="96"/>
      <c r="E7" s="5"/>
      <c r="F7" s="96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27</v>
      </c>
      <c r="C9" s="35">
        <v>0.54559999999999997</v>
      </c>
      <c r="D9" s="36">
        <f t="shared" ref="D9:D18" si="0">C9*$C$5</f>
        <v>1.2008110399999998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14</v>
      </c>
      <c r="C10" s="35">
        <v>0.31809999999999999</v>
      </c>
      <c r="D10" s="36">
        <f t="shared" si="0"/>
        <v>0.70010628999999991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29</v>
      </c>
      <c r="C11" s="35">
        <v>6.8199999999999997E-2</v>
      </c>
      <c r="D11" s="36">
        <f t="shared" si="0"/>
        <v>0.15010137999999998</v>
      </c>
      <c r="E11" s="37">
        <v>69</v>
      </c>
      <c r="F11" s="38" t="str">
        <f t="array" ref="F11">IF(E11="","",IF(INDEX(A:A,MAX(IF(ISNUMBER($A$88:$A$107),ROW($A$88:$A$107),"")))&lt;&gt;E11,"Corrigez : révolution incorrecte","OK"))</f>
        <v>OK</v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</v>
      </c>
      <c r="C12" s="35">
        <v>4.5400000000000003E-2</v>
      </c>
      <c r="D12" s="36">
        <f t="shared" si="0"/>
        <v>9.992086E-2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9"/>
      <c r="B19" s="39" t="s">
        <v>175</v>
      </c>
      <c r="C19" s="40">
        <f>SUM(C9:C18)</f>
        <v>0.97729999999999995</v>
      </c>
      <c r="D19" s="41">
        <f>SUM(D9:D18)</f>
        <v>2.1509395699999998</v>
      </c>
      <c r="E19" s="5"/>
      <c r="F19" s="100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9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0" t="s">
        <v>232</v>
      </c>
      <c r="B22" s="300"/>
      <c r="C22" s="98"/>
      <c r="H22" s="229"/>
      <c r="I22" s="247"/>
      <c r="J22" s="247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</row>
    <row r="23" spans="1:45" x14ac:dyDescent="0.25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1"/>
      <c r="F24" s="101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2"/>
      <c r="E25" s="5"/>
      <c r="F25" s="102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1"/>
      <c r="F26" s="101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1"/>
      <c r="F27" s="101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2" t="s">
        <v>227</v>
      </c>
      <c r="B30" s="302"/>
      <c r="D30" s="249"/>
      <c r="H30" s="247"/>
      <c r="I30" s="247"/>
      <c r="J30" s="247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</row>
    <row r="31" spans="1:45" x14ac:dyDescent="0.25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Mélèze d'Europe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3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18</v>
      </c>
      <c r="B36" s="63">
        <v>112</v>
      </c>
      <c r="C36" s="63">
        <v>1</v>
      </c>
      <c r="D36" s="63">
        <v>20</v>
      </c>
      <c r="E36" s="54"/>
      <c r="F36" s="54"/>
      <c r="G36" s="54">
        <v>0.3</v>
      </c>
      <c r="H36" s="54">
        <v>0.7</v>
      </c>
      <c r="I36" s="52">
        <f>IFERROR(B36/A36,"")</f>
        <v>6.2222222222222223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21</v>
      </c>
      <c r="B37" s="63">
        <v>146</v>
      </c>
      <c r="C37" s="63">
        <v>2</v>
      </c>
      <c r="D37" s="63">
        <v>26</v>
      </c>
      <c r="E37" s="54"/>
      <c r="F37" s="54"/>
      <c r="G37" s="54">
        <v>0.4</v>
      </c>
      <c r="H37" s="54">
        <v>0.6</v>
      </c>
      <c r="I37" s="56">
        <f t="shared" ref="I37:I55" si="1">IF(A37&lt;&gt;0,(B37-(B36-D36))/(A37-A36),"")</f>
        <v>18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24</v>
      </c>
      <c r="B38" s="63">
        <v>168</v>
      </c>
      <c r="C38" s="63">
        <v>3</v>
      </c>
      <c r="D38" s="63">
        <v>29</v>
      </c>
      <c r="E38" s="54"/>
      <c r="F38" s="54">
        <v>0.1</v>
      </c>
      <c r="G38" s="54">
        <v>0.4</v>
      </c>
      <c r="H38" s="54">
        <v>0.5</v>
      </c>
      <c r="I38" s="56">
        <f t="shared" si="1"/>
        <v>16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224</v>
      </c>
      <c r="C39" s="63">
        <v>4</v>
      </c>
      <c r="D39" s="63">
        <v>53</v>
      </c>
      <c r="E39" s="54"/>
      <c r="F39" s="54">
        <v>0.3</v>
      </c>
      <c r="G39" s="54">
        <v>0.3</v>
      </c>
      <c r="H39" s="54">
        <v>0.4</v>
      </c>
      <c r="I39" s="52">
        <f t="shared" si="1"/>
        <v>14.166666666666666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36</v>
      </c>
      <c r="B40" s="63">
        <v>248</v>
      </c>
      <c r="C40" s="63">
        <v>5</v>
      </c>
      <c r="D40" s="63">
        <v>62</v>
      </c>
      <c r="E40" s="54"/>
      <c r="F40" s="54"/>
      <c r="G40" s="54"/>
      <c r="H40" s="54"/>
      <c r="I40" s="52">
        <f t="shared" si="1"/>
        <v>12.833333333333334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42</v>
      </c>
      <c r="B41" s="63">
        <v>255</v>
      </c>
      <c r="C41" s="63">
        <v>6</v>
      </c>
      <c r="D41" s="63">
        <v>67</v>
      </c>
      <c r="E41" s="54"/>
      <c r="F41" s="54"/>
      <c r="G41" s="54"/>
      <c r="H41" s="54"/>
      <c r="I41" s="56">
        <f t="shared" si="1"/>
        <v>11.5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48</v>
      </c>
      <c r="B42" s="63">
        <v>252</v>
      </c>
      <c r="C42" s="63">
        <v>7</v>
      </c>
      <c r="D42" s="63">
        <v>65</v>
      </c>
      <c r="E42" s="54"/>
      <c r="F42" s="54"/>
      <c r="G42" s="54"/>
      <c r="H42" s="54"/>
      <c r="I42" s="56">
        <f t="shared" si="1"/>
        <v>10.666666666666666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2">
        <v>60</v>
      </c>
      <c r="B43" s="63">
        <v>304</v>
      </c>
      <c r="C43" s="63">
        <v>8</v>
      </c>
      <c r="D43" s="63">
        <f>B43</f>
        <v>304</v>
      </c>
      <c r="E43" s="54"/>
      <c r="F43" s="54"/>
      <c r="G43" s="54"/>
      <c r="H43" s="54"/>
      <c r="I43" s="52">
        <f t="shared" si="1"/>
        <v>9.75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2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2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2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2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2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2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2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sessile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4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3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f>62+8</f>
        <v>70</v>
      </c>
      <c r="C62" s="63">
        <v>0</v>
      </c>
      <c r="D62" s="63"/>
      <c r="E62" s="54"/>
      <c r="F62" s="54"/>
      <c r="G62" s="54"/>
      <c r="H62" s="54"/>
      <c r="I62" s="56">
        <f>IFERROR(B62/A62,"")</f>
        <v>2.8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f>76+8+21</f>
        <v>105</v>
      </c>
      <c r="C63" s="63">
        <v>1</v>
      </c>
      <c r="D63" s="63">
        <f>8+21</f>
        <v>29</v>
      </c>
      <c r="E63" s="54"/>
      <c r="F63" s="54"/>
      <c r="G63" s="54"/>
      <c r="H63" s="54">
        <v>1</v>
      </c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f>95+21</f>
        <v>116</v>
      </c>
      <c r="C64" s="63"/>
      <c r="D64" s="63"/>
      <c r="E64" s="54"/>
      <c r="F64" s="54"/>
      <c r="G64" s="54"/>
      <c r="H64" s="54"/>
      <c r="I64" s="52">
        <f>IF(A64&lt;&gt;0,(B64-(B63-D63))/(A64-A63),"")</f>
        <v>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f>116+21+21</f>
        <v>158</v>
      </c>
      <c r="C65" s="63">
        <v>2</v>
      </c>
      <c r="D65" s="63">
        <f>21+21</f>
        <v>42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f>137+21</f>
        <v>158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f>157+21+21</f>
        <v>199</v>
      </c>
      <c r="C67" s="63">
        <v>3</v>
      </c>
      <c r="D67" s="63">
        <f>21+21</f>
        <v>42</v>
      </c>
      <c r="E67" s="54"/>
      <c r="F67" s="54"/>
      <c r="G67" s="54"/>
      <c r="H67" s="54"/>
      <c r="I67" s="52">
        <f t="shared" si="2"/>
        <v>8.1999999999999993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f>176+21</f>
        <v>197</v>
      </c>
      <c r="C68" s="63"/>
      <c r="D68" s="63"/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235</v>
      </c>
      <c r="C69" s="53">
        <v>4</v>
      </c>
      <c r="D69" s="53">
        <v>42</v>
      </c>
      <c r="E69" s="54"/>
      <c r="F69" s="54"/>
      <c r="G69" s="54"/>
      <c r="H69" s="54"/>
      <c r="I69" s="52">
        <f t="shared" si="2"/>
        <v>7.6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229</v>
      </c>
      <c r="C70" s="53"/>
      <c r="D70" s="53"/>
      <c r="E70" s="54"/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263</v>
      </c>
      <c r="C71" s="53">
        <v>5</v>
      </c>
      <c r="D71" s="53">
        <v>42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252</v>
      </c>
      <c r="C72" s="53"/>
      <c r="D72" s="53"/>
      <c r="E72" s="54"/>
      <c r="F72" s="54"/>
      <c r="G72" s="54"/>
      <c r="H72" s="54"/>
      <c r="I72" s="52">
        <f t="shared" si="2"/>
        <v>6.2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282</v>
      </c>
      <c r="C73" s="53">
        <v>6</v>
      </c>
      <c r="D73" s="53">
        <v>42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269</v>
      </c>
      <c r="C74" s="53"/>
      <c r="D74" s="53"/>
      <c r="E74" s="54"/>
      <c r="F74" s="54"/>
      <c r="G74" s="54"/>
      <c r="H74" s="54"/>
      <c r="I74" s="52">
        <f t="shared" si="2"/>
        <v>5.8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296</v>
      </c>
      <c r="C75" s="53">
        <v>7</v>
      </c>
      <c r="D75" s="53">
        <v>42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100</v>
      </c>
      <c r="B76" s="53">
        <v>303</v>
      </c>
      <c r="C76" s="53">
        <v>8</v>
      </c>
      <c r="D76" s="53">
        <v>42</v>
      </c>
      <c r="E76" s="54"/>
      <c r="F76" s="54"/>
      <c r="G76" s="54"/>
      <c r="H76" s="54"/>
      <c r="I76" s="52">
        <f t="shared" si="2"/>
        <v>4.9000000000000004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110</v>
      </c>
      <c r="B77" s="53">
        <v>305</v>
      </c>
      <c r="C77" s="53">
        <v>9</v>
      </c>
      <c r="D77" s="53">
        <v>39</v>
      </c>
      <c r="E77" s="54"/>
      <c r="F77" s="54"/>
      <c r="G77" s="54"/>
      <c r="H77" s="54"/>
      <c r="I77" s="52">
        <f t="shared" si="2"/>
        <v>4.4000000000000004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120</v>
      </c>
      <c r="B78" s="53">
        <v>303</v>
      </c>
      <c r="C78" s="53">
        <v>10</v>
      </c>
      <c r="D78" s="53">
        <v>35</v>
      </c>
      <c r="E78" s="54"/>
      <c r="F78" s="54"/>
      <c r="G78" s="54"/>
      <c r="H78" s="54"/>
      <c r="I78" s="52">
        <f t="shared" si="2"/>
        <v>3.7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130</v>
      </c>
      <c r="B79" s="53">
        <v>300</v>
      </c>
      <c r="C79" s="53">
        <v>11</v>
      </c>
      <c r="D79" s="53">
        <v>31</v>
      </c>
      <c r="E79" s="54"/>
      <c r="F79" s="54"/>
      <c r="G79" s="54"/>
      <c r="H79" s="54"/>
      <c r="I79" s="52">
        <f t="shared" si="2"/>
        <v>3.2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140</v>
      </c>
      <c r="B80" s="53">
        <v>296</v>
      </c>
      <c r="C80" s="53">
        <v>12</v>
      </c>
      <c r="D80" s="53">
        <v>27</v>
      </c>
      <c r="E80" s="54"/>
      <c r="F80" s="54"/>
      <c r="G80" s="54"/>
      <c r="H80" s="54"/>
      <c r="I80" s="52">
        <f t="shared" si="2"/>
        <v>2.7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150</v>
      </c>
      <c r="B81" s="53">
        <v>293</v>
      </c>
      <c r="C81" s="53">
        <v>13</v>
      </c>
      <c r="D81" s="53">
        <v>293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Merisier</v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4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3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3">
        <v>40</v>
      </c>
      <c r="C88" s="53">
        <v>1</v>
      </c>
      <c r="D88" s="63">
        <v>3</v>
      </c>
      <c r="E88" s="54"/>
      <c r="F88" s="54"/>
      <c r="G88" s="54"/>
      <c r="H88" s="54">
        <v>1</v>
      </c>
      <c r="I88" s="56">
        <f>IFERROR(B88/A88,"")</f>
        <v>2.6666666666666665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3">
        <v>85</v>
      </c>
      <c r="C89" s="53">
        <v>2</v>
      </c>
      <c r="D89" s="63">
        <v>25</v>
      </c>
      <c r="E89" s="54"/>
      <c r="F89" s="54"/>
      <c r="G89" s="54"/>
      <c r="H89" s="54">
        <v>1</v>
      </c>
      <c r="I89" s="56">
        <f t="shared" ref="I89:I98" si="3">IF(A89&lt;&gt;0,(B89-(B88-D88))/(A89-A88),"")</f>
        <v>9.6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3">
        <v>113</v>
      </c>
      <c r="C90" s="53">
        <v>3</v>
      </c>
      <c r="D90" s="63">
        <v>27</v>
      </c>
      <c r="E90" s="54"/>
      <c r="F90" s="54"/>
      <c r="G90" s="54"/>
      <c r="H90" s="54">
        <v>1</v>
      </c>
      <c r="I90" s="56">
        <f t="shared" si="3"/>
        <v>10.6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31</v>
      </c>
      <c r="B91" s="63">
        <v>155</v>
      </c>
      <c r="C91" s="53">
        <v>4</v>
      </c>
      <c r="D91" s="63">
        <v>36</v>
      </c>
      <c r="E91" s="54"/>
      <c r="F91" s="54"/>
      <c r="G91" s="54"/>
      <c r="H91" s="54"/>
      <c r="I91" s="56">
        <f t="shared" si="3"/>
        <v>11.5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37</v>
      </c>
      <c r="B92" s="63">
        <v>188</v>
      </c>
      <c r="C92" s="53">
        <v>5</v>
      </c>
      <c r="D92" s="63">
        <v>36</v>
      </c>
      <c r="E92" s="54"/>
      <c r="F92" s="54"/>
      <c r="G92" s="54"/>
      <c r="H92" s="54"/>
      <c r="I92" s="56">
        <f t="shared" si="3"/>
        <v>11.5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44</v>
      </c>
      <c r="B93" s="63">
        <v>230</v>
      </c>
      <c r="C93" s="53">
        <v>6</v>
      </c>
      <c r="D93" s="63">
        <v>43</v>
      </c>
      <c r="E93" s="54"/>
      <c r="F93" s="54"/>
      <c r="G93" s="54"/>
      <c r="H93" s="54"/>
      <c r="I93" s="56">
        <f t="shared" si="3"/>
        <v>11.142857142857142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52</v>
      </c>
      <c r="B94" s="63">
        <v>270</v>
      </c>
      <c r="C94" s="53">
        <v>7</v>
      </c>
      <c r="D94" s="63">
        <v>48</v>
      </c>
      <c r="E94" s="54"/>
      <c r="F94" s="54"/>
      <c r="G94" s="54"/>
      <c r="H94" s="54"/>
      <c r="I94" s="56">
        <f t="shared" si="3"/>
        <v>10.375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60</v>
      </c>
      <c r="B95" s="63">
        <v>297</v>
      </c>
      <c r="C95" s="53">
        <v>8</v>
      </c>
      <c r="D95" s="63">
        <v>47</v>
      </c>
      <c r="E95" s="54"/>
      <c r="F95" s="54"/>
      <c r="G95" s="54"/>
      <c r="H95" s="54"/>
      <c r="I95" s="56">
        <f t="shared" si="3"/>
        <v>9.375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69</v>
      </c>
      <c r="B96" s="63">
        <v>328</v>
      </c>
      <c r="C96" s="53">
        <v>9</v>
      </c>
      <c r="D96" s="63">
        <f>B96</f>
        <v>328</v>
      </c>
      <c r="E96" s="54"/>
      <c r="F96" s="54"/>
      <c r="G96" s="54"/>
      <c r="H96" s="54"/>
      <c r="I96" s="56">
        <f t="shared" si="3"/>
        <v>8.6666666666666661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/>
      <c r="B97" s="63"/>
      <c r="C97" s="53"/>
      <c r="D97" s="63"/>
      <c r="E97" s="54"/>
      <c r="F97" s="54"/>
      <c r="G97" s="54"/>
      <c r="H97" s="54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/>
      <c r="B98" s="63"/>
      <c r="C98" s="53"/>
      <c r="D98" s="63"/>
      <c r="E98" s="54"/>
      <c r="F98" s="54"/>
      <c r="G98" s="54"/>
      <c r="H98" s="54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/>
      <c r="B99" s="63"/>
      <c r="C99" s="53"/>
      <c r="D99" s="63"/>
      <c r="E99" s="54"/>
      <c r="F99" s="54"/>
      <c r="G99" s="54"/>
      <c r="H99" s="54"/>
      <c r="I99" s="56" t="str">
        <f t="shared" ref="I99:I107" si="4">IF(A99&lt;&gt;0,(B99-(B98-D98))/(A99-A98),"")</f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/>
      <c r="B100" s="63"/>
      <c r="C100" s="53"/>
      <c r="D100" s="63"/>
      <c r="E100" s="57"/>
      <c r="F100" s="57"/>
      <c r="G100" s="57"/>
      <c r="H100" s="57"/>
      <c r="I100" s="56" t="str">
        <f t="shared" si="4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4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4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4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4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4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4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4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Alisier torminal</v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4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3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25</v>
      </c>
      <c r="B114" s="63">
        <f>62+8</f>
        <v>70</v>
      </c>
      <c r="C114" s="63">
        <v>0</v>
      </c>
      <c r="D114" s="63"/>
      <c r="E114" s="54"/>
      <c r="F114" s="54"/>
      <c r="G114" s="54"/>
      <c r="H114" s="54"/>
      <c r="I114" s="56">
        <f>IFERROR(B114/A114,"")</f>
        <v>2.8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30</v>
      </c>
      <c r="B115" s="63">
        <f>76+8+21</f>
        <v>105</v>
      </c>
      <c r="C115" s="63">
        <v>1</v>
      </c>
      <c r="D115" s="63">
        <f>8+21</f>
        <v>29</v>
      </c>
      <c r="E115" s="54"/>
      <c r="F115" s="54"/>
      <c r="G115" s="54"/>
      <c r="H115" s="54">
        <v>1</v>
      </c>
      <c r="I115" s="56">
        <f t="shared" ref="I115:I133" si="5">IF(A115&lt;&gt;0,(B115-(B114-D114))/(A115-A114),"")</f>
        <v>7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35</v>
      </c>
      <c r="B116" s="63">
        <f>95+21</f>
        <v>116</v>
      </c>
      <c r="C116" s="63"/>
      <c r="D116" s="63"/>
      <c r="E116" s="54"/>
      <c r="F116" s="54"/>
      <c r="G116" s="54"/>
      <c r="H116" s="54"/>
      <c r="I116" s="56">
        <f t="shared" si="5"/>
        <v>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40</v>
      </c>
      <c r="B117" s="63">
        <f>116+21+21</f>
        <v>158</v>
      </c>
      <c r="C117" s="63">
        <v>2</v>
      </c>
      <c r="D117" s="63">
        <f>21+21</f>
        <v>42</v>
      </c>
      <c r="E117" s="54"/>
      <c r="F117" s="54"/>
      <c r="G117" s="54"/>
      <c r="H117" s="54"/>
      <c r="I117" s="56">
        <f t="shared" si="5"/>
        <v>8.4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45</v>
      </c>
      <c r="B118" s="63">
        <f>137+21</f>
        <v>158</v>
      </c>
      <c r="C118" s="63"/>
      <c r="D118" s="63"/>
      <c r="E118" s="54"/>
      <c r="F118" s="54"/>
      <c r="G118" s="54"/>
      <c r="H118" s="54"/>
      <c r="I118" s="56">
        <f t="shared" si="5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50</v>
      </c>
      <c r="B119" s="63">
        <f>157+21+21</f>
        <v>199</v>
      </c>
      <c r="C119" s="63">
        <v>3</v>
      </c>
      <c r="D119" s="63">
        <f>21+21</f>
        <v>42</v>
      </c>
      <c r="E119" s="54"/>
      <c r="F119" s="54"/>
      <c r="G119" s="54"/>
      <c r="H119" s="54"/>
      <c r="I119" s="56">
        <f t="shared" si="5"/>
        <v>8.1999999999999993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55</v>
      </c>
      <c r="B120" s="63">
        <f>176+21</f>
        <v>197</v>
      </c>
      <c r="C120" s="63"/>
      <c r="D120" s="63"/>
      <c r="E120" s="54"/>
      <c r="F120" s="54"/>
      <c r="G120" s="54"/>
      <c r="H120" s="54"/>
      <c r="I120" s="56">
        <f t="shared" si="5"/>
        <v>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60</v>
      </c>
      <c r="B121" s="53">
        <v>235</v>
      </c>
      <c r="C121" s="53">
        <v>4</v>
      </c>
      <c r="D121" s="53">
        <v>42</v>
      </c>
      <c r="E121" s="54"/>
      <c r="F121" s="54"/>
      <c r="G121" s="54"/>
      <c r="H121" s="54"/>
      <c r="I121" s="56">
        <f t="shared" si="5"/>
        <v>7.6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65</v>
      </c>
      <c r="B122" s="53">
        <v>229</v>
      </c>
      <c r="C122" s="53"/>
      <c r="D122" s="53"/>
      <c r="E122" s="54"/>
      <c r="F122" s="54"/>
      <c r="G122" s="54"/>
      <c r="H122" s="54"/>
      <c r="I122" s="56">
        <f t="shared" si="5"/>
        <v>7.2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70</v>
      </c>
      <c r="B123" s="53">
        <v>263</v>
      </c>
      <c r="C123" s="53">
        <v>5</v>
      </c>
      <c r="D123" s="53">
        <v>42</v>
      </c>
      <c r="E123" s="54"/>
      <c r="F123" s="54"/>
      <c r="G123" s="54"/>
      <c r="H123" s="54"/>
      <c r="I123" s="56">
        <f t="shared" si="5"/>
        <v>6.8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75</v>
      </c>
      <c r="B124" s="53">
        <v>252</v>
      </c>
      <c r="C124" s="53"/>
      <c r="D124" s="53"/>
      <c r="E124" s="54"/>
      <c r="F124" s="54"/>
      <c r="G124" s="54"/>
      <c r="H124" s="54"/>
      <c r="I124" s="56">
        <f t="shared" si="5"/>
        <v>6.2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80</v>
      </c>
      <c r="B125" s="53">
        <v>282</v>
      </c>
      <c r="C125" s="53">
        <v>6</v>
      </c>
      <c r="D125" s="53">
        <v>42</v>
      </c>
      <c r="E125" s="54"/>
      <c r="F125" s="54"/>
      <c r="G125" s="54"/>
      <c r="H125" s="54"/>
      <c r="I125" s="56">
        <f t="shared" si="5"/>
        <v>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85</v>
      </c>
      <c r="B126" s="53">
        <v>269</v>
      </c>
      <c r="C126" s="53"/>
      <c r="D126" s="53"/>
      <c r="E126" s="54"/>
      <c r="F126" s="54"/>
      <c r="G126" s="54"/>
      <c r="H126" s="54"/>
      <c r="I126" s="56">
        <f t="shared" si="5"/>
        <v>5.8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>
        <v>90</v>
      </c>
      <c r="B127" s="53">
        <v>296</v>
      </c>
      <c r="C127" s="53">
        <v>7</v>
      </c>
      <c r="D127" s="53">
        <v>42</v>
      </c>
      <c r="E127" s="54"/>
      <c r="F127" s="54"/>
      <c r="G127" s="54"/>
      <c r="H127" s="54"/>
      <c r="I127" s="56">
        <f t="shared" si="5"/>
        <v>5.4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100</v>
      </c>
      <c r="B128" s="53">
        <v>303</v>
      </c>
      <c r="C128" s="53">
        <v>8</v>
      </c>
      <c r="D128" s="53">
        <v>42</v>
      </c>
      <c r="E128" s="54"/>
      <c r="F128" s="54"/>
      <c r="G128" s="54"/>
      <c r="H128" s="54"/>
      <c r="I128" s="56">
        <f t="shared" si="5"/>
        <v>4.9000000000000004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110</v>
      </c>
      <c r="B129" s="53">
        <v>305</v>
      </c>
      <c r="C129" s="53">
        <v>9</v>
      </c>
      <c r="D129" s="53">
        <v>39</v>
      </c>
      <c r="E129" s="54"/>
      <c r="F129" s="54"/>
      <c r="G129" s="54"/>
      <c r="H129" s="54"/>
      <c r="I129" s="56">
        <f t="shared" si="5"/>
        <v>4.4000000000000004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120</v>
      </c>
      <c r="B130" s="53">
        <v>303</v>
      </c>
      <c r="C130" s="53">
        <v>10</v>
      </c>
      <c r="D130" s="53">
        <v>35</v>
      </c>
      <c r="E130" s="54"/>
      <c r="F130" s="54"/>
      <c r="G130" s="54"/>
      <c r="H130" s="54"/>
      <c r="I130" s="56">
        <f t="shared" si="5"/>
        <v>3.7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130</v>
      </c>
      <c r="B131" s="53">
        <v>300</v>
      </c>
      <c r="C131" s="53">
        <v>11</v>
      </c>
      <c r="D131" s="53">
        <v>31</v>
      </c>
      <c r="E131" s="54"/>
      <c r="F131" s="54"/>
      <c r="G131" s="54"/>
      <c r="H131" s="54"/>
      <c r="I131" s="56">
        <f t="shared" si="5"/>
        <v>3.2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140</v>
      </c>
      <c r="B132" s="53">
        <v>296</v>
      </c>
      <c r="C132" s="53">
        <v>12</v>
      </c>
      <c r="D132" s="53">
        <v>27</v>
      </c>
      <c r="E132" s="54"/>
      <c r="F132" s="54"/>
      <c r="G132" s="54"/>
      <c r="H132" s="54"/>
      <c r="I132" s="56">
        <f t="shared" si="5"/>
        <v>2.7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150</v>
      </c>
      <c r="B133" s="53">
        <v>293</v>
      </c>
      <c r="C133" s="53">
        <v>13</v>
      </c>
      <c r="D133" s="53">
        <v>293</v>
      </c>
      <c r="E133" s="54"/>
      <c r="F133" s="54"/>
      <c r="G133" s="54"/>
      <c r="H133" s="54"/>
      <c r="I133" s="56">
        <f t="shared" si="5"/>
        <v>2.4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4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3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0" si="6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6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6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6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6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6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 t="shared" si="6"/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6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6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6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ref="I151:I159" si="7">IF(A151&lt;&gt;0,(B151-(B150-D150))/(A151-A150),"")</f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7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7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7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7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7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7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7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7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4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3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8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8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8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8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8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8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8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8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8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8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8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8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8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8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8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8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8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8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8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4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3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9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9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9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9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9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9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9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9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9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9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9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9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9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9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9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9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9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9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9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4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3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10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10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10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10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10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10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10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10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10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10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10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10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3"/>
      <c r="B231" s="63"/>
      <c r="C231" s="93"/>
      <c r="D231" s="63"/>
      <c r="E231" s="57"/>
      <c r="F231" s="57"/>
      <c r="G231" s="57"/>
      <c r="H231" s="57"/>
      <c r="I231" s="56" t="str">
        <f t="shared" si="10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10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10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10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10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10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10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4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3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11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11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11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11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1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1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1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1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1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1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3"/>
      <c r="B257" s="63"/>
      <c r="C257" s="93"/>
      <c r="D257" s="63"/>
      <c r="E257" s="57"/>
      <c r="F257" s="57"/>
      <c r="G257" s="57"/>
      <c r="H257" s="57"/>
      <c r="I257" s="56" t="str">
        <f t="shared" si="11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1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1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1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1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1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1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4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3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2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2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2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2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2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2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2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2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2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2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2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3"/>
      <c r="B283" s="63"/>
      <c r="C283" s="93"/>
      <c r="D283" s="63"/>
      <c r="E283" s="57"/>
      <c r="F283" s="57"/>
      <c r="G283" s="57"/>
      <c r="H283" s="57"/>
      <c r="I283" s="56" t="str">
        <f t="shared" si="12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2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2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2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2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2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2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F9" sqref="F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5"/>
      <c r="K1" s="10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6" t="s">
        <v>296</v>
      </c>
      <c r="C5" s="106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7"/>
      <c r="B7" s="29" t="s">
        <v>295</v>
      </c>
      <c r="C7" s="108" t="s">
        <v>214</v>
      </c>
      <c r="D7" s="234"/>
      <c r="E7" s="109"/>
      <c r="F7" s="29" t="s">
        <v>295</v>
      </c>
      <c r="G7" s="108" t="s">
        <v>215</v>
      </c>
      <c r="H7" s="235"/>
      <c r="I7" s="235"/>
      <c r="J7" s="235"/>
      <c r="K7" s="235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</row>
    <row r="8" spans="1:38" ht="17.25" customHeight="1" x14ac:dyDescent="0.25">
      <c r="A8" s="113">
        <v>1</v>
      </c>
      <c r="B8" s="64">
        <v>0</v>
      </c>
      <c r="C8" s="52" t="s">
        <v>177</v>
      </c>
      <c r="D8" s="25"/>
      <c r="E8" s="113">
        <v>4</v>
      </c>
      <c r="F8" s="64">
        <v>1</v>
      </c>
      <c r="G8" s="110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3">
        <v>2</v>
      </c>
      <c r="B9" s="64">
        <v>0</v>
      </c>
      <c r="C9" s="116" t="s">
        <v>216</v>
      </c>
      <c r="D9" s="25"/>
      <c r="E9" s="113">
        <v>5</v>
      </c>
      <c r="F9" s="64">
        <v>0</v>
      </c>
      <c r="G9" s="111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3">
        <v>3</v>
      </c>
      <c r="B10" s="64">
        <v>0</v>
      </c>
      <c r="C10" s="117" t="s">
        <v>217</v>
      </c>
      <c r="D10" s="25"/>
      <c r="E10" s="5"/>
      <c r="F10" s="114">
        <f>SUM(F7:F9)</f>
        <v>1</v>
      </c>
      <c r="G10" s="112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4">
        <v>0</v>
      </c>
      <c r="C11" s="112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5"/>
      <c r="B13" s="115"/>
      <c r="C13" s="106" t="s">
        <v>273</v>
      </c>
      <c r="D13" s="235"/>
      <c r="E13" s="107"/>
      <c r="F13" s="115"/>
      <c r="G13" s="106" t="s">
        <v>301</v>
      </c>
      <c r="H13" s="235"/>
      <c r="I13" s="235"/>
      <c r="J13" s="235"/>
      <c r="K13" s="235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</row>
    <row r="14" spans="1:38" s="4" customFormat="1" ht="21" customHeight="1" x14ac:dyDescent="0.25">
      <c r="A14" s="235"/>
      <c r="B14" s="115"/>
      <c r="C14" s="106" t="s">
        <v>309</v>
      </c>
      <c r="D14" s="235"/>
      <c r="E14" s="107"/>
      <c r="F14" s="115"/>
      <c r="G14" s="106" t="s">
        <v>294</v>
      </c>
      <c r="H14" s="235"/>
      <c r="I14" s="235"/>
      <c r="J14" s="235"/>
      <c r="K14" s="235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8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8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8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4">
        <f>SUM(B16:B18)</f>
        <v>0</v>
      </c>
      <c r="C19" s="112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8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8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Mélèze d'Europe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Chêne sessile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Merisier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Alisier torminal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175.05987582828078</v>
      </c>
      <c r="T3" s="62">
        <f>IF('Données projet'!E9&gt;30,$R$33-$H$33,LOOKUP('Données projet'!$E$9,$A$3:$A$203,R3:R203)-LOOKUP('Données projet'!$E$9,$A$3:$A$203,$H$3:$H$203))</f>
        <v>268.54782308462387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302.55602998433079</v>
      </c>
      <c r="AO3" s="62">
        <f>IF('Données projet'!E10&gt;30,$AM$33-$H$33,LOOKUP('Données projet'!$E$10,$A$3:$A$203,AM3:AM203)-LOOKUP('Données projet'!$E$10,$A$3:$A$203,$H$3:$H$203))</f>
        <v>172.32171001882188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216.95993967070063</v>
      </c>
      <c r="BJ3" s="62">
        <f>IF('Données projet'!E11&gt;30,$BH$33-$H$33,LOOKUP('Données projet'!$E$11,$A$3:$A$203,BH3:BH203)-LOOKUP('Données projet'!$E$11,$A$3:$A$203,$H$3:$H$203))</f>
        <v>208.79744153433245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329.13617179625538</v>
      </c>
      <c r="CE3" s="62">
        <f>IF('Données projet'!E12&gt;30,$CC$33-$H$33,LOOKUP('Données projet'!$E$12,$A$3:$A$203,CC3:CC203)-LOOKUP('Données projet'!$E$12,$A$3:$A$203,$H$3:$H$203))</f>
        <v>186.45728006007261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6.2222222222222223</v>
      </c>
      <c r="N4" s="14">
        <f>IF('Données projet'!$A$36&gt;35,N3+M4-V3,IF(A4&lt;'Données projet'!$A$36,$K$205^A4,IF(A4='Données projet'!$A$36,'Données projet'!$B$36,N3+M4-V3)))</f>
        <v>1.2997069632623315</v>
      </c>
      <c r="O4" s="14">
        <f>N4*VLOOKUP('Données projet'!$B$9,Paramètres!$A$1:$I$89,3,0)*VLOOKUP('Données projet'!$B$9,Paramètres!$A$1:$I$89,5,0)</f>
        <v>0.81101714507569489</v>
      </c>
      <c r="P4" s="14">
        <f>EXP(-1.0587+0.8836*LN(O4)+0.284)</f>
        <v>0.38297551084354686</v>
      </c>
      <c r="Q4" s="22">
        <f t="shared" ref="Q4:Q34" si="2">(O4+P4)*0.475*44/12</f>
        <v>2.0795372090593456</v>
      </c>
      <c r="R4" s="62">
        <f t="shared" si="0"/>
        <v>295.41287054239268</v>
      </c>
      <c r="S4" s="62">
        <f ca="1">AVERAGE(OFFSET($R$3,0,0,'Données projet'!$E$9+1,1))-AVERAGE(OFFSET($H$3,0,0,'Données projet'!$E$9+1,1))</f>
        <v>175.05987582828078</v>
      </c>
      <c r="T4" s="62">
        <f>$T$3</f>
        <v>268.54782308462387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</v>
      </c>
      <c r="AI4" s="14">
        <f>IF('Données projet'!$A$62&gt;35,AI3+AH4-AQ3,IF(A4&lt;'Données projet'!$A$62,$AF$205^A4,IF(A4='Données projet'!$A$62,'Données projet'!$B$62,AI3+AH4-AQ3)))</f>
        <v>1.1852335095914694</v>
      </c>
      <c r="AJ4" s="14">
        <f>AI4*VLOOKUP('Données projet'!$B$10,Paramètres!$A$1:$I$89,3,0)*VLOOKUP('Données projet'!$B$10,Paramètres!$A$1:$I$89,5,0)</f>
        <v>1.0723992794783614</v>
      </c>
      <c r="AK4" s="14">
        <f>EXP(-1.0587+0.8836*LN(AJ4)+0.284)</f>
        <v>0.49020200157376026</v>
      </c>
      <c r="AL4" s="22">
        <f t="shared" ref="AL4:AL67" si="4">(AJ4+AK4)*0.475*44/12</f>
        <v>2.7215305644991119</v>
      </c>
      <c r="AM4" s="62">
        <f t="shared" ref="AM4:AM67" si="5">AL4+(AD4+AE4)*44/12</f>
        <v>296.05486389783243</v>
      </c>
      <c r="AN4" s="62">
        <f ca="1">AVERAGE(OFFSET($AM$3,0,0,'Données projet'!$E$10+1,1))-AVERAGE(OFFSET($H$3,0,0,'Données projet'!$E$10+1,1))</f>
        <v>302.55602998433079</v>
      </c>
      <c r="AO4" s="62">
        <f>$AO$3</f>
        <v>172.32171001882188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2.6666666666666665</v>
      </c>
      <c r="BD4" s="13">
        <f>IF('Données projet'!$A$88&gt;35,BD3+BC4-BL3,IF(A4&lt;'Données projet'!$A$88,$BA$205^A4,IF(A4='Données projet'!$A$88,'Données projet'!$B$88,BD3+BC4-BL3)))</f>
        <v>1.2788040393997409</v>
      </c>
      <c r="BE4" s="14">
        <f>BD4*VLOOKUP('Données projet'!$B$11,Paramètres!$A$1:$I$89,3,0)*VLOOKUP('Données projet'!$B$11,Paramètres!$A$1:$I$89,5,0)</f>
        <v>0.99746715073179792</v>
      </c>
      <c r="BF4" s="14">
        <f>EXP(-1.0587+0.8836*LN(BE4)+0.284)</f>
        <v>0.45981048445793882</v>
      </c>
      <c r="BG4" s="22">
        <f t="shared" ref="BG4:BG67" si="7">(BE4+BF4)*0.475*44/12</f>
        <v>2.5380918812887914</v>
      </c>
      <c r="BH4" s="62">
        <f t="shared" ref="BH4:BH67" si="8">BG4+(AY4+AZ4)*44/12</f>
        <v>295.87142521462209</v>
      </c>
      <c r="BI4" s="62">
        <f ca="1">AVERAGE(OFFSET($BH$3,0,0,'Données projet'!$E$11+1,1))-AVERAGE(OFFSET($H$3,0,0,'Données projet'!$E$11+1,1))</f>
        <v>216.95993967070063</v>
      </c>
      <c r="BJ4" s="62">
        <f>$BJ$3</f>
        <v>208.79744153433245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2.8</v>
      </c>
      <c r="BY4" s="13">
        <f>IF('Données projet'!$A$114&gt;35,BY3+BX4-CG3,IF(A4&lt;'Données projet'!$A$114,$BV$205^A4,IF(A4='Données projet'!$A$114,'Données projet'!$B$114,BY3+BX4-CG3)))</f>
        <v>1.1852335095914694</v>
      </c>
      <c r="BZ4" s="14">
        <f>BY4*VLOOKUP('Données projet'!$B$12,Paramètres!$A$1:$I$89,3,0)*VLOOKUP('Données projet'!$B$12,Paramètres!$A$1:$I$89,5,0)</f>
        <v>1.1463578504768692</v>
      </c>
      <c r="CA4" s="14">
        <f>EXP(-1.0587+0.8836*LN(BZ4)+0.284)</f>
        <v>0.51995696720211448</v>
      </c>
      <c r="CB4" s="22">
        <f t="shared" ref="CB4:CB67" si="10">(BZ4+CA4)*0.475*44/12</f>
        <v>2.9021649741242297</v>
      </c>
      <c r="CC4" s="62">
        <f t="shared" ref="CC4:CC67" si="11">CB4+(BT4+BU4)*44/12</f>
        <v>296.23549830745753</v>
      </c>
      <c r="CD4" s="62">
        <f ca="1">AVERAGE(OFFSET($CC$3,0,0,'Données projet'!$E$12+1,1))-AVERAGE(OFFSET($H$3,0,0,'Données projet'!$E$12+1,1))</f>
        <v>329.13617179625538</v>
      </c>
      <c r="CE4" s="62">
        <f>$CE$3</f>
        <v>186.45728006007261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6.2222222222222223</v>
      </c>
      <c r="N5" s="14">
        <f>IF('Données projet'!$A$36&gt;35,N4+M5-V4,IF(A5&lt;'Données projet'!$A$36,$K$205^A5,IF(A5='Données projet'!$A$36,'Données projet'!$B$36,N4+M5-V4)))</f>
        <v>1.6892381903525915</v>
      </c>
      <c r="O5" s="14">
        <f>N5*VLOOKUP('Données projet'!$B$9,Paramètres!$A$1:$I$89,3,0)*VLOOKUP('Données projet'!$B$9,Paramètres!$A$1:$I$89,5,0)</f>
        <v>1.0540846307800171</v>
      </c>
      <c r="P5" s="14">
        <f t="shared" ref="P5:P68" si="33">EXP(-1.0587+0.8836*LN(O5)+0.284)</f>
        <v>0.48279730809434274</v>
      </c>
      <c r="Q5" s="22">
        <f t="shared" si="2"/>
        <v>2.6767360435395098</v>
      </c>
      <c r="R5" s="62">
        <f t="shared" si="0"/>
        <v>296.01006937687282</v>
      </c>
      <c r="S5" s="62">
        <f ca="1">AVERAGE(OFFSET($R$3,0,0,'Données projet'!$E$9+1,1))-AVERAGE(OFFSET($H$3,0,0,'Données projet'!$E$9+1,1))</f>
        <v>175.05987582828078</v>
      </c>
      <c r="T5" s="62">
        <f t="shared" ref="T5:T68" si="34">$T$3</f>
        <v>268.54782308462387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</v>
      </c>
      <c r="AI5" s="14">
        <f>IF('Données projet'!$A$62&gt;35,AI4+AH5-AQ4,IF(A5&lt;'Données projet'!$A$62,$AF$205^A5,IF(A5='Données projet'!$A$62,'Données projet'!$B$62,AI4+AH5-AQ4)))</f>
        <v>1.4047784722585119</v>
      </c>
      <c r="AJ5" s="14">
        <f>AI5*VLOOKUP('Données projet'!$B$10,Paramètres!$A$1:$I$89,3,0)*VLOOKUP('Données projet'!$B$10,Paramètres!$A$1:$I$89,5,0)</f>
        <v>1.2710435616995015</v>
      </c>
      <c r="AK5" s="14">
        <f t="shared" ref="AK5:AK68" si="35">EXP(-1.0587+0.8836*LN(AJ5)+0.284)</f>
        <v>0.56962392939903683</v>
      </c>
      <c r="AL5" s="22">
        <f t="shared" si="4"/>
        <v>3.2058292136632871</v>
      </c>
      <c r="AM5" s="62">
        <f t="shared" si="5"/>
        <v>296.53916254699658</v>
      </c>
      <c r="AN5" s="62">
        <f ca="1">AVERAGE(OFFSET($AM$3,0,0,'Données projet'!$E$10+1,1))-AVERAGE(OFFSET($H$3,0,0,'Données projet'!$E$10+1,1))</f>
        <v>302.55602998433079</v>
      </c>
      <c r="AO5" s="62">
        <f t="shared" ref="AO5:AO68" si="36">$AO$3</f>
        <v>172.32171001882188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2.6666666666666665</v>
      </c>
      <c r="BD5" s="13">
        <f>IF('Données projet'!$A$88&gt;35,BD4+BC5-BL4,IF(A5&lt;'Données projet'!$A$88,$BA$205^A5,IF(A5='Données projet'!$A$88,'Données projet'!$B$88,BD4+BC5-BL4)))</f>
        <v>1.6353397711850939</v>
      </c>
      <c r="BE5" s="14">
        <f>BD5*VLOOKUP('Données projet'!$B$11,Paramètres!$A$1:$I$89,3,0)*VLOOKUP('Données projet'!$B$11,Paramètres!$A$1:$I$89,5,0)</f>
        <v>1.2755650215243732</v>
      </c>
      <c r="BF5" s="14">
        <f t="shared" ref="BF5:BF68" si="37">EXP(-1.0587+0.8836*LN(BE5)+0.284)</f>
        <v>0.57141400910743001</v>
      </c>
      <c r="BG5" s="22">
        <f t="shared" si="7"/>
        <v>3.2168218116837237</v>
      </c>
      <c r="BH5" s="62">
        <f t="shared" si="8"/>
        <v>296.55015514501702</v>
      </c>
      <c r="BI5" s="62">
        <f ca="1">AVERAGE(OFFSET($BH$3,0,0,'Données projet'!$E$11+1,1))-AVERAGE(OFFSET($H$3,0,0,'Données projet'!$E$11+1,1))</f>
        <v>216.95993967070063</v>
      </c>
      <c r="BJ5" s="62">
        <f t="shared" ref="BJ5:BJ68" si="38">$BJ$3</f>
        <v>208.79744153433245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2.8</v>
      </c>
      <c r="BY5" s="13">
        <f>IF('Données projet'!$A$114&gt;35,BY4+BX5-CG4,IF(A5&lt;'Données projet'!$A$114,$BV$205^A5,IF(A5='Données projet'!$A$114,'Données projet'!$B$114,BY4+BX5-CG4)))</f>
        <v>1.4047784722585119</v>
      </c>
      <c r="BZ5" s="14">
        <f>BY5*VLOOKUP('Données projet'!$B$12,Paramètres!$A$1:$I$89,3,0)*VLOOKUP('Données projet'!$B$12,Paramètres!$A$1:$I$89,5,0)</f>
        <v>1.3587017383684328</v>
      </c>
      <c r="CA5" s="14">
        <f t="shared" ref="CA5:CA68" si="39">EXP(-1.0587+0.8836*LN(BZ5)+0.284)</f>
        <v>0.60419975811034832</v>
      </c>
      <c r="CB5" s="22">
        <f t="shared" si="10"/>
        <v>3.4187201063672106</v>
      </c>
      <c r="CC5" s="62">
        <f t="shared" si="11"/>
        <v>296.75205343970055</v>
      </c>
      <c r="CD5" s="62">
        <f ca="1">AVERAGE(OFFSET($CC$3,0,0,'Données projet'!$E$12+1,1))-AVERAGE(OFFSET($H$3,0,0,'Données projet'!$E$12+1,1))</f>
        <v>329.13617179625538</v>
      </c>
      <c r="CE5" s="62">
        <f t="shared" ref="CE5:CE68" si="40">$CE$3</f>
        <v>186.45728006007261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6.2222222222222223</v>
      </c>
      <c r="N6" s="14">
        <f>IF('Données projet'!$A$36&gt;35,N5+M6-V5,IF(A6&lt;'Données projet'!$A$36,$K$205^A6,IF(A6='Données projet'!$A$36,'Données projet'!$B$36,N5+M6-V5)))</f>
        <v>2.1955146386099229</v>
      </c>
      <c r="O6" s="14">
        <f>N6*VLOOKUP('Données projet'!$B$9,Paramètres!$A$1:$I$89,3,0)*VLOOKUP('Données projet'!$B$9,Paramètres!$A$1:$I$89,5,0)</f>
        <v>1.3700011344925918</v>
      </c>
      <c r="P6" s="14">
        <f t="shared" si="33"/>
        <v>0.60863745619068288</v>
      </c>
      <c r="Q6" s="22">
        <f t="shared" si="2"/>
        <v>3.4461288787733699</v>
      </c>
      <c r="R6" s="62">
        <f t="shared" si="0"/>
        <v>296.77946221210669</v>
      </c>
      <c r="S6" s="62">
        <f ca="1">AVERAGE(OFFSET($R$3,0,0,'Données projet'!$E$9+1,1))-AVERAGE(OFFSET($H$3,0,0,'Données projet'!$E$9+1,1))</f>
        <v>175.05987582828078</v>
      </c>
      <c r="T6" s="62">
        <f t="shared" si="34"/>
        <v>268.54782308462387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</v>
      </c>
      <c r="AI6" s="14">
        <f>IF('Données projet'!$A$62&gt;35,AI5+AH6-AQ5,IF(A6&lt;'Données projet'!$A$62,$AF$205^A6,IF(A6='Données projet'!$A$62,'Données projet'!$B$62,AI5+AH6-AQ5)))</f>
        <v>1.6649905188734988</v>
      </c>
      <c r="AJ6" s="14">
        <f>AI6*VLOOKUP('Données projet'!$B$10,Paramètres!$A$1:$I$89,3,0)*VLOOKUP('Données projet'!$B$10,Paramètres!$A$1:$I$89,5,0)</f>
        <v>1.5064834214767417</v>
      </c>
      <c r="AK6" s="14">
        <f t="shared" si="35"/>
        <v>0.66191370068319888</v>
      </c>
      <c r="AL6" s="22">
        <f t="shared" si="4"/>
        <v>3.7766249877618967</v>
      </c>
      <c r="AM6" s="62">
        <f t="shared" si="5"/>
        <v>297.10995832109523</v>
      </c>
      <c r="AN6" s="62">
        <f ca="1">AVERAGE(OFFSET($AM$3,0,0,'Données projet'!$E$10+1,1))-AVERAGE(OFFSET($H$3,0,0,'Données projet'!$E$10+1,1))</f>
        <v>302.55602998433079</v>
      </c>
      <c r="AO6" s="62">
        <f t="shared" si="36"/>
        <v>172.32171001882188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2.6666666666666665</v>
      </c>
      <c r="BD6" s="13">
        <f>IF('Données projet'!$A$88&gt;35,BD5+BC6-BL5,IF(A6&lt;'Données projet'!$A$88,$BA$205^A6,IF(A6='Données projet'!$A$88,'Données projet'!$B$88,BD5+BC6-BL5)))</f>
        <v>2.0912791051825459</v>
      </c>
      <c r="BE6" s="14">
        <f>BD6*VLOOKUP('Données projet'!$B$11,Paramètres!$A$1:$I$89,3,0)*VLOOKUP('Données projet'!$B$11,Paramètres!$A$1:$I$89,5,0)</f>
        <v>1.6311977020423858</v>
      </c>
      <c r="BF6" s="14">
        <f t="shared" si="37"/>
        <v>0.71010553443370616</v>
      </c>
      <c r="BG6" s="22">
        <f t="shared" si="7"/>
        <v>4.0777698035291934</v>
      </c>
      <c r="BH6" s="62">
        <f t="shared" si="8"/>
        <v>297.41110313686249</v>
      </c>
      <c r="BI6" s="62">
        <f ca="1">AVERAGE(OFFSET($BH$3,0,0,'Données projet'!$E$11+1,1))-AVERAGE(OFFSET($H$3,0,0,'Données projet'!$E$11+1,1))</f>
        <v>216.95993967070063</v>
      </c>
      <c r="BJ6" s="62">
        <f t="shared" si="38"/>
        <v>208.79744153433245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2.8</v>
      </c>
      <c r="BY6" s="13">
        <f>IF('Données projet'!$A$114&gt;35,BY5+BX6-CG5,IF(A6&lt;'Données projet'!$A$114,$BV$205^A6,IF(A6='Données projet'!$A$114,'Données projet'!$B$114,BY5+BX6-CG5)))</f>
        <v>1.6649905188734988</v>
      </c>
      <c r="BZ6" s="14">
        <f>BY6*VLOOKUP('Données projet'!$B$12,Paramètres!$A$1:$I$89,3,0)*VLOOKUP('Données projet'!$B$12,Paramètres!$A$1:$I$89,5,0)</f>
        <v>1.6103788298544481</v>
      </c>
      <c r="CA6" s="14">
        <f t="shared" si="39"/>
        <v>0.70209146280888401</v>
      </c>
      <c r="CB6" s="22">
        <f t="shared" si="10"/>
        <v>4.0275524263886373</v>
      </c>
      <c r="CC6" s="62">
        <f t="shared" si="11"/>
        <v>297.36088575972195</v>
      </c>
      <c r="CD6" s="62">
        <f ca="1">AVERAGE(OFFSET($CC$3,0,0,'Données projet'!$E$12+1,1))-AVERAGE(OFFSET($H$3,0,0,'Données projet'!$E$12+1,1))</f>
        <v>329.13617179625538</v>
      </c>
      <c r="CE6" s="62">
        <f t="shared" si="40"/>
        <v>186.45728006007261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6.2222222222222223</v>
      </c>
      <c r="N7" s="14">
        <f>IF('Données projet'!$A$36&gt;35,N6+M7-V6,IF(A7&lt;'Données projet'!$A$36,$K$205^A7,IF(A7='Données projet'!$A$36,'Données projet'!$B$36,N6+M7-V6)))</f>
        <v>2.8535256637456983</v>
      </c>
      <c r="O7" s="14">
        <f>N7*VLOOKUP('Données projet'!$B$9,Paramètres!$A$1:$I$89,3,0)*VLOOKUP('Données projet'!$B$9,Paramètres!$A$1:$I$89,5,0)</f>
        <v>1.7806000141773157</v>
      </c>
      <c r="P7" s="14">
        <f t="shared" si="33"/>
        <v>0.76727758599241935</v>
      </c>
      <c r="Q7" s="22">
        <f t="shared" si="2"/>
        <v>4.4375534869622877</v>
      </c>
      <c r="R7" s="62">
        <f t="shared" si="0"/>
        <v>297.77088682029563</v>
      </c>
      <c r="S7" s="62">
        <f ca="1">AVERAGE(OFFSET($R$3,0,0,'Données projet'!$E$9+1,1))-AVERAGE(OFFSET($H$3,0,0,'Données projet'!$E$9+1,1))</f>
        <v>175.05987582828078</v>
      </c>
      <c r="T7" s="62">
        <f t="shared" si="34"/>
        <v>268.54782308462387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</v>
      </c>
      <c r="AI7" s="14">
        <f>IF('Données projet'!$A$62&gt;35,AI6+AH7-AQ6,IF(A7&lt;'Données projet'!$A$62,$AF$205^A7,IF(A7='Données projet'!$A$62,'Données projet'!$B$62,AI6+AH7-AQ6)))</f>
        <v>1.9734025561209587</v>
      </c>
      <c r="AJ7" s="14">
        <f>AI7*VLOOKUP('Données projet'!$B$10,Paramètres!$A$1:$I$89,3,0)*VLOOKUP('Données projet'!$B$10,Paramètres!$A$1:$I$89,5,0)</f>
        <v>1.7855346327782433</v>
      </c>
      <c r="AK7" s="14">
        <f t="shared" si="35"/>
        <v>0.7691561476610751</v>
      </c>
      <c r="AL7" s="22">
        <f t="shared" si="4"/>
        <v>4.4494197759318128</v>
      </c>
      <c r="AM7" s="62">
        <f t="shared" si="5"/>
        <v>297.78275310926512</v>
      </c>
      <c r="AN7" s="62">
        <f ca="1">AVERAGE(OFFSET($AM$3,0,0,'Données projet'!$E$10+1,1))-AVERAGE(OFFSET($H$3,0,0,'Données projet'!$E$10+1,1))</f>
        <v>302.55602998433079</v>
      </c>
      <c r="AO7" s="62">
        <f t="shared" si="36"/>
        <v>172.32171001882188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2.6666666666666665</v>
      </c>
      <c r="BD7" s="13">
        <f>IF('Données projet'!$A$88&gt;35,BD6+BC7-BL6,IF(A7&lt;'Données projet'!$A$88,$BA$205^A7,IF(A7='Données projet'!$A$88,'Données projet'!$B$88,BD6+BC7-BL6)))</f>
        <v>2.6743361672197152</v>
      </c>
      <c r="BE7" s="14">
        <f>BD7*VLOOKUP('Données projet'!$B$11,Paramètres!$A$1:$I$89,3,0)*VLOOKUP('Données projet'!$B$11,Paramètres!$A$1:$I$89,5,0)</f>
        <v>2.0859822104313781</v>
      </c>
      <c r="BF7" s="14">
        <f t="shared" si="37"/>
        <v>0.88245976121767966</v>
      </c>
      <c r="BG7" s="22">
        <f t="shared" si="7"/>
        <v>5.1700364339554419</v>
      </c>
      <c r="BH7" s="62">
        <f t="shared" si="8"/>
        <v>298.50336976728875</v>
      </c>
      <c r="BI7" s="62">
        <f ca="1">AVERAGE(OFFSET($BH$3,0,0,'Données projet'!$E$11+1,1))-AVERAGE(OFFSET($H$3,0,0,'Données projet'!$E$11+1,1))</f>
        <v>216.95993967070063</v>
      </c>
      <c r="BJ7" s="62">
        <f t="shared" si="38"/>
        <v>208.79744153433245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2.8</v>
      </c>
      <c r="BY7" s="13">
        <f>IF('Données projet'!$A$114&gt;35,BY6+BX7-CG6,IF(A7&lt;'Données projet'!$A$114,$BV$205^A7,IF(A7='Données projet'!$A$114,'Données projet'!$B$114,BY6+BX7-CG6)))</f>
        <v>1.9734025561209587</v>
      </c>
      <c r="BZ7" s="14">
        <f>BY7*VLOOKUP('Données projet'!$B$12,Paramètres!$A$1:$I$89,3,0)*VLOOKUP('Données projet'!$B$12,Paramètres!$A$1:$I$89,5,0)</f>
        <v>1.9086749522801914</v>
      </c>
      <c r="CA7" s="14">
        <f t="shared" si="39"/>
        <v>0.8158434615908795</v>
      </c>
      <c r="CB7" s="22">
        <f t="shared" si="10"/>
        <v>4.7452029041587815</v>
      </c>
      <c r="CC7" s="62">
        <f t="shared" si="11"/>
        <v>298.07853623749207</v>
      </c>
      <c r="CD7" s="62">
        <f ca="1">AVERAGE(OFFSET($CC$3,0,0,'Données projet'!$E$12+1,1))-AVERAGE(OFFSET($H$3,0,0,'Données projet'!$E$12+1,1))</f>
        <v>329.13617179625538</v>
      </c>
      <c r="CE7" s="62">
        <f t="shared" si="40"/>
        <v>186.45728006007261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6.2222222222222223</v>
      </c>
      <c r="N8" s="14">
        <f>IF('Données projet'!$A$36&gt;35,N7+M8-V7,IF(A8&lt;'Données projet'!$A$36,$K$205^A8,IF(A8='Données projet'!$A$36,'Données projet'!$B$36,N7+M8-V7)))</f>
        <v>3.7087471750180505</v>
      </c>
      <c r="O8" s="14">
        <f>N8*VLOOKUP('Données projet'!$B$9,Paramètres!$A$1:$I$89,3,0)*VLOOKUP('Données projet'!$B$9,Paramètres!$A$1:$I$89,5,0)</f>
        <v>2.3142582372112632</v>
      </c>
      <c r="P8" s="14">
        <f t="shared" si="33"/>
        <v>0.96726694681425085</v>
      </c>
      <c r="Q8" s="22">
        <f t="shared" si="2"/>
        <v>5.7153230288444377</v>
      </c>
      <c r="R8" s="62">
        <f t="shared" si="0"/>
        <v>299.04865636217778</v>
      </c>
      <c r="S8" s="62">
        <f ca="1">AVERAGE(OFFSET($R$3,0,0,'Données projet'!$E$9+1,1))-AVERAGE(OFFSET($H$3,0,0,'Données projet'!$E$9+1,1))</f>
        <v>175.05987582828078</v>
      </c>
      <c r="T8" s="62">
        <f t="shared" si="34"/>
        <v>268.54782308462387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</v>
      </c>
      <c r="AI8" s="14">
        <f>IF('Données projet'!$A$62&gt;35,AI7+AH8-AQ7,IF(A8&lt;'Données projet'!$A$62,$AF$205^A8,IF(A8='Données projet'!$A$62,'Données projet'!$B$62,AI7+AH8-AQ7)))</f>
        <v>2.3389428374280206</v>
      </c>
      <c r="AJ8" s="14">
        <f>AI8*VLOOKUP('Données projet'!$B$10,Paramètres!$A$1:$I$89,3,0)*VLOOKUP('Données projet'!$B$10,Paramètres!$A$1:$I$89,5,0)</f>
        <v>2.1162754793048726</v>
      </c>
      <c r="AK8" s="14">
        <f t="shared" si="35"/>
        <v>0.89377388453237949</v>
      </c>
      <c r="AL8" s="22">
        <f t="shared" si="4"/>
        <v>5.2425026420165475</v>
      </c>
      <c r="AM8" s="62">
        <f t="shared" si="5"/>
        <v>298.57583597534989</v>
      </c>
      <c r="AN8" s="62">
        <f ca="1">AVERAGE(OFFSET($AM$3,0,0,'Données projet'!$E$10+1,1))-AVERAGE(OFFSET($H$3,0,0,'Données projet'!$E$10+1,1))</f>
        <v>302.55602998433079</v>
      </c>
      <c r="AO8" s="62">
        <f t="shared" si="36"/>
        <v>172.32171001882188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2.6666666666666665</v>
      </c>
      <c r="BD8" s="13">
        <f>IF('Données projet'!$A$88&gt;35,BD7+BC8-BL7,IF(A8&lt;'Données projet'!$A$88,$BA$205^A8,IF(A8='Données projet'!$A$88,'Données projet'!$B$88,BD7+BC8-BL7)))</f>
        <v>3.4199518933533928</v>
      </c>
      <c r="BE8" s="14">
        <f>BD8*VLOOKUP('Données projet'!$B$11,Paramètres!$A$1:$I$89,3,0)*VLOOKUP('Données projet'!$B$11,Paramètres!$A$1:$I$89,5,0)</f>
        <v>2.6675624768156463</v>
      </c>
      <c r="BF8" s="14">
        <f t="shared" si="37"/>
        <v>1.0966471776471767</v>
      </c>
      <c r="BG8" s="22">
        <f t="shared" si="7"/>
        <v>6.5559984815227494</v>
      </c>
      <c r="BH8" s="62">
        <f t="shared" si="8"/>
        <v>299.88933181485606</v>
      </c>
      <c r="BI8" s="62">
        <f ca="1">AVERAGE(OFFSET($BH$3,0,0,'Données projet'!$E$11+1,1))-AVERAGE(OFFSET($H$3,0,0,'Données projet'!$E$11+1,1))</f>
        <v>216.95993967070063</v>
      </c>
      <c r="BJ8" s="62">
        <f t="shared" si="38"/>
        <v>208.79744153433245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2.8</v>
      </c>
      <c r="BY8" s="13">
        <f>IF('Données projet'!$A$114&gt;35,BY7+BX8-CG7,IF(A8&lt;'Données projet'!$A$114,$BV$205^A8,IF(A8='Données projet'!$A$114,'Données projet'!$B$114,BY7+BX8-CG7)))</f>
        <v>2.3389428374280206</v>
      </c>
      <c r="BZ8" s="14">
        <f>BY8*VLOOKUP('Données projet'!$B$12,Paramètres!$A$1:$I$89,3,0)*VLOOKUP('Données projet'!$B$12,Paramètres!$A$1:$I$89,5,0)</f>
        <v>2.2622255123603816</v>
      </c>
      <c r="CA8" s="14">
        <f t="shared" si="39"/>
        <v>0.94802541987577404</v>
      </c>
      <c r="CB8" s="22">
        <f t="shared" si="10"/>
        <v>5.5911870403113042</v>
      </c>
      <c r="CC8" s="62">
        <f t="shared" si="11"/>
        <v>298.92452037364461</v>
      </c>
      <c r="CD8" s="62">
        <f ca="1">AVERAGE(OFFSET($CC$3,0,0,'Données projet'!$E$12+1,1))-AVERAGE(OFFSET($H$3,0,0,'Données projet'!$E$12+1,1))</f>
        <v>329.13617179625538</v>
      </c>
      <c r="CE8" s="62">
        <f t="shared" si="40"/>
        <v>186.45728006007261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6.2222222222222223</v>
      </c>
      <c r="N9" s="14">
        <f>IF('Données projet'!$A$36&gt;35,N8+M9-V8,IF(A9&lt;'Données projet'!$A$36,$K$205^A9,IF(A9='Données projet'!$A$36,'Données projet'!$B$36,N8+M9-V8)))</f>
        <v>4.8202845283504612</v>
      </c>
      <c r="O9" s="14">
        <f>N9*VLOOKUP('Données projet'!$B$9,Paramètres!$A$1:$I$89,3,0)*VLOOKUP('Données projet'!$B$9,Paramètres!$A$1:$I$89,5,0)</f>
        <v>3.0078575456906878</v>
      </c>
      <c r="P9" s="14">
        <f t="shared" si="33"/>
        <v>1.2193831326236693</v>
      </c>
      <c r="Q9" s="22">
        <f t="shared" si="2"/>
        <v>7.3624441813975059</v>
      </c>
      <c r="R9" s="62">
        <f t="shared" si="0"/>
        <v>300.69577751473082</v>
      </c>
      <c r="S9" s="62">
        <f ca="1">AVERAGE(OFFSET($R$3,0,0,'Données projet'!$E$9+1,1))-AVERAGE(OFFSET($H$3,0,0,'Données projet'!$E$9+1,1))</f>
        <v>175.05987582828078</v>
      </c>
      <c r="T9" s="62">
        <f t="shared" si="34"/>
        <v>268.54782308462387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</v>
      </c>
      <c r="AI9" s="14">
        <f>IF('Données projet'!$A$62&gt;35,AI8+AH9-AQ8,IF(A9&lt;'Données projet'!$A$62,$AF$205^A9,IF(A9='Données projet'!$A$62,'Données projet'!$B$62,AI8+AH9-AQ8)))</f>
        <v>2.7721934279386429</v>
      </c>
      <c r="AJ9" s="14">
        <f>AI9*VLOOKUP('Données projet'!$B$10,Paramètres!$A$1:$I$89,3,0)*VLOOKUP('Données projet'!$B$10,Paramètres!$A$1:$I$89,5,0)</f>
        <v>2.5082806135988838</v>
      </c>
      <c r="AK9" s="14">
        <f t="shared" si="35"/>
        <v>1.0385820344818992</v>
      </c>
      <c r="AL9" s="22">
        <f t="shared" si="4"/>
        <v>6.1774524454073623</v>
      </c>
      <c r="AM9" s="62">
        <f t="shared" si="5"/>
        <v>299.51078577874068</v>
      </c>
      <c r="AN9" s="62">
        <f ca="1">AVERAGE(OFFSET($AM$3,0,0,'Données projet'!$E$10+1,1))-AVERAGE(OFFSET($H$3,0,0,'Données projet'!$E$10+1,1))</f>
        <v>302.55602998433079</v>
      </c>
      <c r="AO9" s="62">
        <f t="shared" si="36"/>
        <v>172.32171001882188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2.6666666666666665</v>
      </c>
      <c r="BD9" s="13">
        <f>IF('Données projet'!$A$88&gt;35,BD8+BC9-BL8,IF(A9&lt;'Données projet'!$A$88,$BA$205^A9,IF(A9='Données projet'!$A$88,'Données projet'!$B$88,BD8+BC9-BL8)))</f>
        <v>4.3734482957731098</v>
      </c>
      <c r="BE9" s="14">
        <f>BD9*VLOOKUP('Données projet'!$B$11,Paramètres!$A$1:$I$89,3,0)*VLOOKUP('Données projet'!$B$11,Paramètres!$A$1:$I$89,5,0)</f>
        <v>3.4112896707030256</v>
      </c>
      <c r="BF9" s="14">
        <f t="shared" si="37"/>
        <v>1.3628213830192535</v>
      </c>
      <c r="BG9" s="22">
        <f t="shared" si="7"/>
        <v>8.3149100852329703</v>
      </c>
      <c r="BH9" s="62">
        <f t="shared" si="8"/>
        <v>301.64824341856627</v>
      </c>
      <c r="BI9" s="62">
        <f ca="1">AVERAGE(OFFSET($BH$3,0,0,'Données projet'!$E$11+1,1))-AVERAGE(OFFSET($H$3,0,0,'Données projet'!$E$11+1,1))</f>
        <v>216.95993967070063</v>
      </c>
      <c r="BJ9" s="62">
        <f t="shared" si="38"/>
        <v>208.79744153433245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2.8</v>
      </c>
      <c r="BY9" s="13">
        <f>IF('Données projet'!$A$114&gt;35,BY8+BX9-CG8,IF(A9&lt;'Données projet'!$A$114,$BV$205^A9,IF(A9='Données projet'!$A$114,'Données projet'!$B$114,BY8+BX9-CG8)))</f>
        <v>2.7721934279386429</v>
      </c>
      <c r="BZ9" s="14">
        <f>BY9*VLOOKUP('Données projet'!$B$12,Paramètres!$A$1:$I$89,3,0)*VLOOKUP('Données projet'!$B$12,Paramètres!$A$1:$I$89,5,0)</f>
        <v>2.6812654835022554</v>
      </c>
      <c r="CA9" s="14">
        <f t="shared" si="39"/>
        <v>1.1016233371265707</v>
      </c>
      <c r="CB9" s="22">
        <f t="shared" si="10"/>
        <v>6.5885313625952051</v>
      </c>
      <c r="CC9" s="62">
        <f t="shared" si="11"/>
        <v>299.92186469592855</v>
      </c>
      <c r="CD9" s="62">
        <f ca="1">AVERAGE(OFFSET($CC$3,0,0,'Données projet'!$E$12+1,1))-AVERAGE(OFFSET($H$3,0,0,'Données projet'!$E$12+1,1))</f>
        <v>329.13617179625538</v>
      </c>
      <c r="CE9" s="62">
        <f t="shared" si="40"/>
        <v>186.45728006007261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6.2222222222222223</v>
      </c>
      <c r="N10" s="14">
        <f>IF('Données projet'!$A$36&gt;35,N9+M10-V9,IF(A10&lt;'Données projet'!$A$36,$K$205^A10,IF(A10='Données projet'!$A$36,'Données projet'!$B$36,N9+M10-V9)))</f>
        <v>6.2649573664027773</v>
      </c>
      <c r="O10" s="14">
        <f>N10*VLOOKUP('Données projet'!$B$9,Paramètres!$A$1:$I$89,3,0)*VLOOKUP('Données projet'!$B$9,Paramètres!$A$1:$I$89,5,0)</f>
        <v>3.9093333966353332</v>
      </c>
      <c r="P10" s="14">
        <f t="shared" si="33"/>
        <v>1.5372128955964925</v>
      </c>
      <c r="Q10" s="22">
        <f t="shared" si="2"/>
        <v>9.4860681256370967</v>
      </c>
      <c r="R10" s="62">
        <f t="shared" si="0"/>
        <v>302.81940145897039</v>
      </c>
      <c r="S10" s="62">
        <f ca="1">AVERAGE(OFFSET($R$3,0,0,'Données projet'!$E$9+1,1))-AVERAGE(OFFSET($H$3,0,0,'Données projet'!$E$9+1,1))</f>
        <v>175.05987582828078</v>
      </c>
      <c r="T10" s="62">
        <f t="shared" si="34"/>
        <v>268.54782308462387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</v>
      </c>
      <c r="AI10" s="14">
        <f>IF('Données projet'!$A$62&gt;35,AI9+AH10-AQ9,IF(A10&lt;'Données projet'!$A$62,$AF$205^A10,IF(A10='Données projet'!$A$62,'Données projet'!$B$62,AI9+AH10-AQ9)))</f>
        <v>3.2856965458621241</v>
      </c>
      <c r="AJ10" s="14">
        <f>AI10*VLOOKUP('Données projet'!$B$10,Paramètres!$A$1:$I$89,3,0)*VLOOKUP('Données projet'!$B$10,Paramètres!$A$1:$I$89,5,0)</f>
        <v>2.9728982346960495</v>
      </c>
      <c r="AK10" s="14">
        <f t="shared" si="35"/>
        <v>1.2068518235044534</v>
      </c>
      <c r="AL10" s="22">
        <f t="shared" si="4"/>
        <v>7.279731351365875</v>
      </c>
      <c r="AM10" s="62">
        <f t="shared" si="5"/>
        <v>300.61306468469917</v>
      </c>
      <c r="AN10" s="62">
        <f ca="1">AVERAGE(OFFSET($AM$3,0,0,'Données projet'!$E$10+1,1))-AVERAGE(OFFSET($H$3,0,0,'Données projet'!$E$10+1,1))</f>
        <v>302.55602998433079</v>
      </c>
      <c r="AO10" s="62">
        <f t="shared" si="36"/>
        <v>172.32171001882188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2.6666666666666665</v>
      </c>
      <c r="BD10" s="13">
        <f>IF('Données projet'!$A$88&gt;35,BD9+BC10-BL9,IF(A10&lt;'Données projet'!$A$88,$BA$205^A10,IF(A10='Données projet'!$A$88,'Données projet'!$B$88,BD9+BC10-BL9)))</f>
        <v>5.5927833467405659</v>
      </c>
      <c r="BE10" s="14">
        <f>BD10*VLOOKUP('Données projet'!$B$11,Paramètres!$A$1:$I$89,3,0)*VLOOKUP('Données projet'!$B$11,Paramètres!$A$1:$I$89,5,0)</f>
        <v>4.3623710104576414</v>
      </c>
      <c r="BF10" s="14">
        <f t="shared" si="37"/>
        <v>1.6936004212396314</v>
      </c>
      <c r="BG10" s="22">
        <f t="shared" si="7"/>
        <v>10.54748357687275</v>
      </c>
      <c r="BH10" s="62">
        <f t="shared" si="8"/>
        <v>303.88081691020608</v>
      </c>
      <c r="BI10" s="62">
        <f ca="1">AVERAGE(OFFSET($BH$3,0,0,'Données projet'!$E$11+1,1))-AVERAGE(OFFSET($H$3,0,0,'Données projet'!$E$11+1,1))</f>
        <v>216.95993967070063</v>
      </c>
      <c r="BJ10" s="62">
        <f t="shared" si="38"/>
        <v>208.79744153433245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2.8</v>
      </c>
      <c r="BY10" s="13">
        <f>IF('Données projet'!$A$114&gt;35,BY9+BX10-CG9,IF(A10&lt;'Données projet'!$A$114,$BV$205^A10,IF(A10='Données projet'!$A$114,'Données projet'!$B$114,BY9+BX10-CG9)))</f>
        <v>3.2856965458621241</v>
      </c>
      <c r="BZ10" s="14">
        <f>BY10*VLOOKUP('Données projet'!$B$12,Paramètres!$A$1:$I$89,3,0)*VLOOKUP('Données projet'!$B$12,Paramètres!$A$1:$I$89,5,0)</f>
        <v>3.1779256991578464</v>
      </c>
      <c r="CA10" s="14">
        <f t="shared" si="39"/>
        <v>1.2801070007815871</v>
      </c>
      <c r="CB10" s="22">
        <f t="shared" si="10"/>
        <v>7.7644069523945136</v>
      </c>
      <c r="CC10" s="62">
        <f t="shared" si="11"/>
        <v>301.09774028572781</v>
      </c>
      <c r="CD10" s="62">
        <f ca="1">AVERAGE(OFFSET($CC$3,0,0,'Données projet'!$E$12+1,1))-AVERAGE(OFFSET($H$3,0,0,'Données projet'!$E$12+1,1))</f>
        <v>329.13617179625538</v>
      </c>
      <c r="CE10" s="62">
        <f t="shared" si="40"/>
        <v>186.45728006007261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6.2222222222222223</v>
      </c>
      <c r="N11" s="14">
        <f>IF('Données projet'!$A$36&gt;35,N10+M11-V10,IF(A11&lt;'Données projet'!$A$36,$K$205^A11,IF(A11='Données projet'!$A$36,'Données projet'!$B$36,N10+M11-V10)))</f>
        <v>8.1426087136553278</v>
      </c>
      <c r="O11" s="14">
        <f>N11*VLOOKUP('Données projet'!$B$9,Paramètres!$A$1:$I$89,3,0)*VLOOKUP('Données projet'!$B$9,Paramètres!$A$1:$I$89,5,0)</f>
        <v>5.080987837320925</v>
      </c>
      <c r="P11" s="14">
        <f t="shared" si="33"/>
        <v>1.9378843475584122</v>
      </c>
      <c r="Q11" s="22">
        <f t="shared" si="2"/>
        <v>12.224535721998178</v>
      </c>
      <c r="R11" s="62">
        <f t="shared" si="0"/>
        <v>305.55786905533148</v>
      </c>
      <c r="S11" s="62">
        <f ca="1">AVERAGE(OFFSET($R$3,0,0,'Données projet'!$E$9+1,1))-AVERAGE(OFFSET($H$3,0,0,'Données projet'!$E$9+1,1))</f>
        <v>175.05987582828078</v>
      </c>
      <c r="T11" s="62">
        <f t="shared" si="34"/>
        <v>268.54782308462387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</v>
      </c>
      <c r="AI11" s="14">
        <f>IF('Données projet'!$A$62&gt;35,AI10+AH11-AQ10,IF(A11&lt;'Données projet'!$A$62,$AF$205^A11,IF(A11='Données projet'!$A$62,'Données projet'!$B$62,AI10+AH11-AQ10)))</f>
        <v>3.8943176485047335</v>
      </c>
      <c r="AJ11" s="14">
        <f>AI11*VLOOKUP('Données projet'!$B$10,Paramètres!$A$1:$I$89,3,0)*VLOOKUP('Données projet'!$B$10,Paramètres!$A$1:$I$89,5,0)</f>
        <v>3.5235786083670826</v>
      </c>
      <c r="AK11" s="14">
        <f t="shared" si="35"/>
        <v>1.4023844776234748</v>
      </c>
      <c r="AL11" s="22">
        <f t="shared" si="4"/>
        <v>8.5793857081002205</v>
      </c>
      <c r="AM11" s="62">
        <f t="shared" si="5"/>
        <v>301.91271904143355</v>
      </c>
      <c r="AN11" s="62">
        <f ca="1">AVERAGE(OFFSET($AM$3,0,0,'Données projet'!$E$10+1,1))-AVERAGE(OFFSET($H$3,0,0,'Données projet'!$E$10+1,1))</f>
        <v>302.55602998433079</v>
      </c>
      <c r="AO11" s="62">
        <f t="shared" si="36"/>
        <v>172.32171001882188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2.6666666666666665</v>
      </c>
      <c r="BD11" s="13">
        <f>IF('Données projet'!$A$88&gt;35,BD10+BC11-BL10,IF(A11&lt;'Données projet'!$A$88,$BA$205^A11,IF(A11='Données projet'!$A$88,'Données projet'!$B$88,BD10+BC11-BL10)))</f>
        <v>7.1520739352994367</v>
      </c>
      <c r="BE11" s="14">
        <f>BD11*VLOOKUP('Données projet'!$B$11,Paramètres!$A$1:$I$89,3,0)*VLOOKUP('Données projet'!$B$11,Paramètres!$A$1:$I$89,5,0)</f>
        <v>5.5786176695335605</v>
      </c>
      <c r="BF11" s="14">
        <f t="shared" si="37"/>
        <v>2.1046649418345189</v>
      </c>
      <c r="BG11" s="22">
        <f t="shared" si="7"/>
        <v>13.381717214799407</v>
      </c>
      <c r="BH11" s="62">
        <f t="shared" si="8"/>
        <v>306.71505054813269</v>
      </c>
      <c r="BI11" s="62">
        <f ca="1">AVERAGE(OFFSET($BH$3,0,0,'Données projet'!$E$11+1,1))-AVERAGE(OFFSET($H$3,0,0,'Données projet'!$E$11+1,1))</f>
        <v>216.95993967070063</v>
      </c>
      <c r="BJ11" s="62">
        <f t="shared" si="38"/>
        <v>208.79744153433245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2.8</v>
      </c>
      <c r="BY11" s="13">
        <f>IF('Données projet'!$A$114&gt;35,BY10+BX11-CG10,IF(A11&lt;'Données projet'!$A$114,$BV$205^A11,IF(A11='Données projet'!$A$114,'Données projet'!$B$114,BY10+BX11-CG10)))</f>
        <v>3.8943176485047335</v>
      </c>
      <c r="BZ11" s="14">
        <f>BY11*VLOOKUP('Données projet'!$B$12,Paramètres!$A$1:$I$89,3,0)*VLOOKUP('Données projet'!$B$12,Paramètres!$A$1:$I$89,5,0)</f>
        <v>3.7665840296337785</v>
      </c>
      <c r="CA11" s="14">
        <f t="shared" si="39"/>
        <v>1.487508368989604</v>
      </c>
      <c r="CB11" s="22">
        <f t="shared" si="10"/>
        <v>9.1508775942690566</v>
      </c>
      <c r="CC11" s="62">
        <f t="shared" si="11"/>
        <v>302.48421092760236</v>
      </c>
      <c r="CD11" s="62">
        <f ca="1">AVERAGE(OFFSET($CC$3,0,0,'Données projet'!$E$12+1,1))-AVERAGE(OFFSET($H$3,0,0,'Données projet'!$E$12+1,1))</f>
        <v>329.13617179625538</v>
      </c>
      <c r="CE11" s="62">
        <f t="shared" si="40"/>
        <v>186.45728006007261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6.2222222222222223</v>
      </c>
      <c r="N12" s="14">
        <f>IF('Données projet'!$A$36&gt;35,N11+M12-V11,IF(A12&lt;'Données projet'!$A$36,$K$205^A12,IF(A12='Données projet'!$A$36,'Données projet'!$B$36,N11+M12-V11)))</f>
        <v>10.583005244258365</v>
      </c>
      <c r="O12" s="14">
        <f>N12*VLOOKUP('Données projet'!$B$9,Paramètres!$A$1:$I$89,3,0)*VLOOKUP('Données projet'!$B$9,Paramètres!$A$1:$I$89,5,0)</f>
        <v>6.6037952724172193</v>
      </c>
      <c r="P12" s="14">
        <f t="shared" si="33"/>
        <v>2.4429900082608067</v>
      </c>
      <c r="Q12" s="22">
        <f t="shared" si="2"/>
        <v>15.75648436384756</v>
      </c>
      <c r="R12" s="62">
        <f t="shared" si="0"/>
        <v>309.08981769718088</v>
      </c>
      <c r="S12" s="62">
        <f ca="1">AVERAGE(OFFSET($R$3,0,0,'Données projet'!$E$9+1,1))-AVERAGE(OFFSET($H$3,0,0,'Données projet'!$E$9+1,1))</f>
        <v>175.05987582828078</v>
      </c>
      <c r="T12" s="62">
        <f t="shared" si="34"/>
        <v>268.54782308462387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</v>
      </c>
      <c r="AI12" s="14">
        <f>IF('Données projet'!$A$62&gt;35,AI11+AH12-AQ11,IF(A12&lt;'Données projet'!$A$62,$AF$205^A12,IF(A12='Données projet'!$A$62,'Données projet'!$B$62,AI11+AH12-AQ11)))</f>
        <v>4.6156757740012635</v>
      </c>
      <c r="AJ12" s="14">
        <f>AI12*VLOOKUP('Données projet'!$B$10,Paramètres!$A$1:$I$89,3,0)*VLOOKUP('Données projet'!$B$10,Paramètres!$A$1:$I$89,5,0)</f>
        <v>4.176263440316343</v>
      </c>
      <c r="AK12" s="14">
        <f t="shared" si="35"/>
        <v>1.6295970928464274</v>
      </c>
      <c r="AL12" s="22">
        <f t="shared" si="4"/>
        <v>10.111873761925157</v>
      </c>
      <c r="AM12" s="62">
        <f t="shared" si="5"/>
        <v>303.44520709525847</v>
      </c>
      <c r="AN12" s="62">
        <f ca="1">AVERAGE(OFFSET($AM$3,0,0,'Données projet'!$E$10+1,1))-AVERAGE(OFFSET($H$3,0,0,'Données projet'!$E$10+1,1))</f>
        <v>302.55602998433079</v>
      </c>
      <c r="AO12" s="62">
        <f t="shared" si="36"/>
        <v>172.32171001882188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2.6666666666666665</v>
      </c>
      <c r="BD12" s="13">
        <f>IF('Données projet'!$A$88&gt;35,BD11+BC12-BL11,IF(A12&lt;'Données projet'!$A$88,$BA$205^A12,IF(A12='Données projet'!$A$88,'Données projet'!$B$88,BD11+BC12-BL11)))</f>
        <v>9.1461010385465205</v>
      </c>
      <c r="BE12" s="14">
        <f>BD12*VLOOKUP('Données projet'!$B$11,Paramètres!$A$1:$I$89,3,0)*VLOOKUP('Données projet'!$B$11,Paramètres!$A$1:$I$89,5,0)</f>
        <v>7.1339588100662858</v>
      </c>
      <c r="BF12" s="14">
        <f t="shared" si="37"/>
        <v>2.6155015444227643</v>
      </c>
      <c r="BG12" s="22">
        <f t="shared" si="7"/>
        <v>16.980310117401761</v>
      </c>
      <c r="BH12" s="62">
        <f t="shared" si="8"/>
        <v>310.31364345073507</v>
      </c>
      <c r="BI12" s="62">
        <f ca="1">AVERAGE(OFFSET($BH$3,0,0,'Données projet'!$E$11+1,1))-AVERAGE(OFFSET($H$3,0,0,'Données projet'!$E$11+1,1))</f>
        <v>216.95993967070063</v>
      </c>
      <c r="BJ12" s="62">
        <f t="shared" si="38"/>
        <v>208.79744153433245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2.8</v>
      </c>
      <c r="BY12" s="13">
        <f>IF('Données projet'!$A$114&gt;35,BY11+BX12-CG11,IF(A12&lt;'Données projet'!$A$114,$BV$205^A12,IF(A12='Données projet'!$A$114,'Données projet'!$B$114,BY11+BX12-CG11)))</f>
        <v>4.6156757740012635</v>
      </c>
      <c r="BZ12" s="14">
        <f>BY12*VLOOKUP('Données projet'!$B$12,Paramètres!$A$1:$I$89,3,0)*VLOOKUP('Données projet'!$B$12,Paramètres!$A$1:$I$89,5,0)</f>
        <v>4.464281608614022</v>
      </c>
      <c r="CA12" s="14">
        <f t="shared" si="39"/>
        <v>1.7285126528197481</v>
      </c>
      <c r="CB12" s="22">
        <f t="shared" si="10"/>
        <v>10.785783338663817</v>
      </c>
      <c r="CC12" s="62">
        <f t="shared" si="11"/>
        <v>304.11911667199712</v>
      </c>
      <c r="CD12" s="62">
        <f ca="1">AVERAGE(OFFSET($CC$3,0,0,'Données projet'!$E$12+1,1))-AVERAGE(OFFSET($H$3,0,0,'Données projet'!$E$12+1,1))</f>
        <v>329.13617179625538</v>
      </c>
      <c r="CE12" s="62">
        <f t="shared" si="40"/>
        <v>186.45728006007261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6.2222222222222223</v>
      </c>
      <c r="N13" s="14">
        <f>IF('Données projet'!$A$36&gt;35,N12+M13-V12,IF(A13&lt;'Données projet'!$A$36,$K$205^A13,IF(A13='Données projet'!$A$36,'Données projet'!$B$36,N12+M13-V12)))</f>
        <v>13.754805608204368</v>
      </c>
      <c r="O13" s="14">
        <f>N13*VLOOKUP('Données projet'!$B$9,Paramètres!$A$1:$I$89,3,0)*VLOOKUP('Données projet'!$B$9,Paramètres!$A$1:$I$89,5,0)</f>
        <v>8.5829986995195267</v>
      </c>
      <c r="P13" s="14">
        <f t="shared" si="33"/>
        <v>3.0797504443346257</v>
      </c>
      <c r="Q13" s="22">
        <f t="shared" si="2"/>
        <v>20.312621425545984</v>
      </c>
      <c r="R13" s="62">
        <f t="shared" si="0"/>
        <v>313.64595475887927</v>
      </c>
      <c r="S13" s="62">
        <f ca="1">AVERAGE(OFFSET($R$3,0,0,'Données projet'!$E$9+1,1))-AVERAGE(OFFSET($H$3,0,0,'Données projet'!$E$9+1,1))</f>
        <v>175.05987582828078</v>
      </c>
      <c r="T13" s="62">
        <f t="shared" si="34"/>
        <v>268.54782308462387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</v>
      </c>
      <c r="AI13" s="14">
        <f>IF('Données projet'!$A$62&gt;35,AI12+AH13-AQ12,IF(A13&lt;'Données projet'!$A$62,$AF$205^A13,IF(A13='Données projet'!$A$62,'Données projet'!$B$62,AI12+AH13-AQ12)))</f>
        <v>5.4706535967558398</v>
      </c>
      <c r="AJ13" s="14">
        <f>AI13*VLOOKUP('Données projet'!$B$10,Paramètres!$A$1:$I$89,3,0)*VLOOKUP('Données projet'!$B$10,Paramètres!$A$1:$I$89,5,0)</f>
        <v>4.9498473743446834</v>
      </c>
      <c r="AK13" s="14">
        <f t="shared" si="35"/>
        <v>1.8936224176652101</v>
      </c>
      <c r="AL13" s="22">
        <f t="shared" si="4"/>
        <v>11.919043221083896</v>
      </c>
      <c r="AM13" s="62">
        <f t="shared" si="5"/>
        <v>305.2523765544172</v>
      </c>
      <c r="AN13" s="62">
        <f ca="1">AVERAGE(OFFSET($AM$3,0,0,'Données projet'!$E$10+1,1))-AVERAGE(OFFSET($H$3,0,0,'Données projet'!$E$10+1,1))</f>
        <v>302.55602998433079</v>
      </c>
      <c r="AO13" s="62">
        <f t="shared" si="36"/>
        <v>172.32171001882188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2.6666666666666665</v>
      </c>
      <c r="BD13" s="13">
        <f>IF('Données projet'!$A$88&gt;35,BD12+BC13-BL12,IF(A13&lt;'Données projet'!$A$88,$BA$205^A13,IF(A13='Données projet'!$A$88,'Données projet'!$B$88,BD12+BC13-BL12)))</f>
        <v>11.696070952851455</v>
      </c>
      <c r="BE13" s="14">
        <f>BD13*VLOOKUP('Données projet'!$B$11,Paramètres!$A$1:$I$89,3,0)*VLOOKUP('Données projet'!$B$11,Paramètres!$A$1:$I$89,5,0)</f>
        <v>9.1229353432241354</v>
      </c>
      <c r="BF13" s="14">
        <f t="shared" si="37"/>
        <v>3.2503265450485803</v>
      </c>
      <c r="BG13" s="22">
        <f t="shared" si="7"/>
        <v>21.550097788741649</v>
      </c>
      <c r="BH13" s="62">
        <f t="shared" si="8"/>
        <v>314.88343112207497</v>
      </c>
      <c r="BI13" s="62">
        <f ca="1">AVERAGE(OFFSET($BH$3,0,0,'Données projet'!$E$11+1,1))-AVERAGE(OFFSET($H$3,0,0,'Données projet'!$E$11+1,1))</f>
        <v>216.95993967070063</v>
      </c>
      <c r="BJ13" s="62">
        <f t="shared" si="38"/>
        <v>208.79744153433245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2.8</v>
      </c>
      <c r="BY13" s="13">
        <f>IF('Données projet'!$A$114&gt;35,BY12+BX13-CG12,IF(A13&lt;'Données projet'!$A$114,$BV$205^A13,IF(A13='Données projet'!$A$114,'Données projet'!$B$114,BY12+BX13-CG12)))</f>
        <v>5.4706535967558398</v>
      </c>
      <c r="BZ13" s="14">
        <f>BY13*VLOOKUP('Données projet'!$B$12,Paramètres!$A$1:$I$89,3,0)*VLOOKUP('Données projet'!$B$12,Paramètres!$A$1:$I$89,5,0)</f>
        <v>5.2912161587822482</v>
      </c>
      <c r="CA13" s="14">
        <f t="shared" si="39"/>
        <v>2.0085641554994469</v>
      </c>
      <c r="CB13" s="22">
        <f t="shared" si="10"/>
        <v>12.713784047373954</v>
      </c>
      <c r="CC13" s="62">
        <f t="shared" si="11"/>
        <v>306.04711738070728</v>
      </c>
      <c r="CD13" s="62">
        <f ca="1">AVERAGE(OFFSET($CC$3,0,0,'Données projet'!$E$12+1,1))-AVERAGE(OFFSET($H$3,0,0,'Données projet'!$E$12+1,1))</f>
        <v>329.13617179625538</v>
      </c>
      <c r="CE13" s="62">
        <f t="shared" si="40"/>
        <v>186.45728006007261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6.2222222222222223</v>
      </c>
      <c r="N14" s="14">
        <f>IF('Données projet'!$A$36&gt;35,N13+M14-V13,IF(A14&lt;'Données projet'!$A$36,$K$205^A14,IF(A14='Données projet'!$A$36,'Données projet'!$B$36,N13+M14-V13)))</f>
        <v>17.877216627302985</v>
      </c>
      <c r="O14" s="14">
        <f>N14*VLOOKUP('Données projet'!$B$9,Paramètres!$A$1:$I$89,3,0)*VLOOKUP('Données projet'!$B$9,Paramètres!$A$1:$I$89,5,0)</f>
        <v>11.155383175437063</v>
      </c>
      <c r="P14" s="14">
        <f t="shared" si="33"/>
        <v>3.8824812083990929</v>
      </c>
      <c r="Q14" s="22">
        <f t="shared" si="2"/>
        <v>26.1909471351813</v>
      </c>
      <c r="R14" s="62">
        <f t="shared" si="0"/>
        <v>319.52428046851463</v>
      </c>
      <c r="S14" s="62">
        <f ca="1">AVERAGE(OFFSET($R$3,0,0,'Données projet'!$E$9+1,1))-AVERAGE(OFFSET($H$3,0,0,'Données projet'!$E$9+1,1))</f>
        <v>175.05987582828078</v>
      </c>
      <c r="T14" s="62">
        <f t="shared" si="34"/>
        <v>268.54782308462387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</v>
      </c>
      <c r="AI14" s="14">
        <f>IF('Données projet'!$A$62&gt;35,AI13+AH14-AQ13,IF(A14&lt;'Données projet'!$A$62,$AF$205^A14,IF(A14='Données projet'!$A$62,'Données projet'!$B$62,AI13+AH14-AQ13)))</f>
        <v>6.4840019622421199</v>
      </c>
      <c r="AJ14" s="14">
        <f>AI14*VLOOKUP('Données projet'!$B$10,Paramètres!$A$1:$I$89,3,0)*VLOOKUP('Données projet'!$B$10,Paramètres!$A$1:$I$89,5,0)</f>
        <v>5.8667249754366697</v>
      </c>
      <c r="AK14" s="14">
        <f t="shared" si="35"/>
        <v>2.2004248021950543</v>
      </c>
      <c r="AL14" s="22">
        <f t="shared" si="4"/>
        <v>14.050285862708584</v>
      </c>
      <c r="AM14" s="62">
        <f t="shared" si="5"/>
        <v>307.38361919604188</v>
      </c>
      <c r="AN14" s="62">
        <f ca="1">AVERAGE(OFFSET($AM$3,0,0,'Données projet'!$E$10+1,1))-AVERAGE(OFFSET($H$3,0,0,'Données projet'!$E$10+1,1))</f>
        <v>302.55602998433079</v>
      </c>
      <c r="AO14" s="62">
        <f t="shared" si="36"/>
        <v>172.32171001882188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2.6666666666666665</v>
      </c>
      <c r="BD14" s="13">
        <f>IF('Données projet'!$A$88&gt;35,BD13+BC14-BL13,IF(A14&lt;'Données projet'!$A$88,$BA$205^A14,IF(A14='Données projet'!$A$88,'Données projet'!$B$88,BD13+BC14-BL13)))</f>
        <v>14.956982779612416</v>
      </c>
      <c r="BE14" s="14">
        <f>BD14*VLOOKUP('Données projet'!$B$11,Paramètres!$A$1:$I$89,3,0)*VLOOKUP('Données projet'!$B$11,Paramètres!$A$1:$I$89,5,0)</f>
        <v>11.666446568097685</v>
      </c>
      <c r="BF14" s="14">
        <f t="shared" si="37"/>
        <v>4.0392339557111736</v>
      </c>
      <c r="BG14" s="22">
        <f t="shared" si="7"/>
        <v>27.354060245633761</v>
      </c>
      <c r="BH14" s="62">
        <f t="shared" si="8"/>
        <v>320.68739357896709</v>
      </c>
      <c r="BI14" s="62">
        <f ca="1">AVERAGE(OFFSET($BH$3,0,0,'Données projet'!$E$11+1,1))-AVERAGE(OFFSET($H$3,0,0,'Données projet'!$E$11+1,1))</f>
        <v>216.95993967070063</v>
      </c>
      <c r="BJ14" s="62">
        <f t="shared" si="38"/>
        <v>208.79744153433245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2.8</v>
      </c>
      <c r="BY14" s="13">
        <f>IF('Données projet'!$A$114&gt;35,BY13+BX14-CG13,IF(A14&lt;'Données projet'!$A$114,$BV$205^A14,IF(A14='Données projet'!$A$114,'Données projet'!$B$114,BY13+BX14-CG13)))</f>
        <v>6.4840019622421199</v>
      </c>
      <c r="BZ14" s="14">
        <f>BY14*VLOOKUP('Données projet'!$B$12,Paramètres!$A$1:$I$89,3,0)*VLOOKUP('Données projet'!$B$12,Paramètres!$A$1:$I$89,5,0)</f>
        <v>6.2713266978805784</v>
      </c>
      <c r="CA14" s="14">
        <f t="shared" si="39"/>
        <v>2.3339892595960716</v>
      </c>
      <c r="CB14" s="22">
        <f t="shared" si="10"/>
        <v>14.987591959271832</v>
      </c>
      <c r="CC14" s="62">
        <f t="shared" si="11"/>
        <v>308.32092529260512</v>
      </c>
      <c r="CD14" s="62">
        <f ca="1">AVERAGE(OFFSET($CC$3,0,0,'Données projet'!$E$12+1,1))-AVERAGE(OFFSET($H$3,0,0,'Données projet'!$E$12+1,1))</f>
        <v>329.13617179625538</v>
      </c>
      <c r="CE14" s="62">
        <f t="shared" si="40"/>
        <v>186.45728006007261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6.2222222222222223</v>
      </c>
      <c r="N15" s="14">
        <f>IF('Données projet'!$A$36&gt;35,N14+M15-V14,IF(A15&lt;'Données projet'!$A$36,$K$205^A15,IF(A15='Données projet'!$A$36,'Données projet'!$B$36,N14+M15-V14)))</f>
        <v>23.235142934254824</v>
      </c>
      <c r="O15" s="14">
        <f>N15*VLOOKUP('Données projet'!$B$9,Paramètres!$A$1:$I$89,3,0)*VLOOKUP('Données projet'!$B$9,Paramètres!$A$1:$I$89,5,0)</f>
        <v>14.498729190975009</v>
      </c>
      <c r="P15" s="14">
        <f t="shared" si="33"/>
        <v>4.8944421329010357</v>
      </c>
      <c r="Q15" s="22">
        <f t="shared" si="2"/>
        <v>33.776440055750776</v>
      </c>
      <c r="R15" s="62">
        <f t="shared" si="0"/>
        <v>327.10977338908407</v>
      </c>
      <c r="S15" s="62">
        <f ca="1">AVERAGE(OFFSET($R$3,0,0,'Données projet'!$E$9+1,1))-AVERAGE(OFFSET($H$3,0,0,'Données projet'!$E$9+1,1))</f>
        <v>175.05987582828078</v>
      </c>
      <c r="T15" s="62">
        <f t="shared" si="34"/>
        <v>268.54782308462387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</v>
      </c>
      <c r="AI15" s="14">
        <f>IF('Données projet'!$A$62&gt;35,AI14+AH15-AQ14,IF(A15&lt;'Données projet'!$A$62,$AF$205^A15,IF(A15='Données projet'!$A$62,'Données projet'!$B$62,AI14+AH15-AQ14)))</f>
        <v>7.685056401906202</v>
      </c>
      <c r="AJ15" s="14">
        <f>AI15*VLOOKUP('Données projet'!$B$10,Paramètres!$A$1:$I$89,3,0)*VLOOKUP('Données projet'!$B$10,Paramètres!$A$1:$I$89,5,0)</f>
        <v>6.9534390324447317</v>
      </c>
      <c r="AK15" s="14">
        <f t="shared" si="35"/>
        <v>2.55693493325087</v>
      </c>
      <c r="AL15" s="22">
        <f t="shared" si="4"/>
        <v>16.563901323586503</v>
      </c>
      <c r="AM15" s="62">
        <f t="shared" si="5"/>
        <v>309.89723465691981</v>
      </c>
      <c r="AN15" s="62">
        <f ca="1">AVERAGE(OFFSET($AM$3,0,0,'Données projet'!$E$10+1,1))-AVERAGE(OFFSET($H$3,0,0,'Données projet'!$E$10+1,1))</f>
        <v>302.55602998433079</v>
      </c>
      <c r="AO15" s="62">
        <f t="shared" si="36"/>
        <v>172.32171001882188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2.6666666666666665</v>
      </c>
      <c r="BD15" s="13">
        <f>IF('Données projet'!$A$88&gt;35,BD14+BC15-BL14,IF(A15&lt;'Données projet'!$A$88,$BA$205^A15,IF(A15='Données projet'!$A$88,'Données projet'!$B$88,BD14+BC15-BL14)))</f>
        <v>19.127049995800721</v>
      </c>
      <c r="BE15" s="14">
        <f>BD15*VLOOKUP('Données projet'!$B$11,Paramètres!$A$1:$I$89,3,0)*VLOOKUP('Données projet'!$B$11,Paramètres!$A$1:$I$89,5,0)</f>
        <v>14.919098996724562</v>
      </c>
      <c r="BF15" s="14">
        <f t="shared" si="37"/>
        <v>5.019622097301081</v>
      </c>
      <c r="BG15" s="22">
        <f t="shared" si="7"/>
        <v>34.726605905427995</v>
      </c>
      <c r="BH15" s="62">
        <f t="shared" si="8"/>
        <v>328.05993923876133</v>
      </c>
      <c r="BI15" s="62">
        <f ca="1">AVERAGE(OFFSET($BH$3,0,0,'Données projet'!$E$11+1,1))-AVERAGE(OFFSET($H$3,0,0,'Données projet'!$E$11+1,1))</f>
        <v>216.95993967070063</v>
      </c>
      <c r="BJ15" s="62">
        <f t="shared" si="38"/>
        <v>208.79744153433245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2.8</v>
      </c>
      <c r="BY15" s="13">
        <f>IF('Données projet'!$A$114&gt;35,BY14+BX15-CG14,IF(A15&lt;'Données projet'!$A$114,$BV$205^A15,IF(A15='Données projet'!$A$114,'Données projet'!$B$114,BY14+BX15-CG14)))</f>
        <v>7.685056401906202</v>
      </c>
      <c r="BZ15" s="14">
        <f>BY15*VLOOKUP('Données projet'!$B$12,Paramètres!$A$1:$I$89,3,0)*VLOOKUP('Données projet'!$B$12,Paramètres!$A$1:$I$89,5,0)</f>
        <v>7.432986551923678</v>
      </c>
      <c r="CA15" s="14">
        <f t="shared" si="39"/>
        <v>2.7121393404310989</v>
      </c>
      <c r="CB15" s="22">
        <f t="shared" si="10"/>
        <v>17.669427595851236</v>
      </c>
      <c r="CC15" s="62">
        <f t="shared" si="11"/>
        <v>311.00276092918455</v>
      </c>
      <c r="CD15" s="62">
        <f ca="1">AVERAGE(OFFSET($CC$3,0,0,'Données projet'!$E$12+1,1))-AVERAGE(OFFSET($H$3,0,0,'Données projet'!$E$12+1,1))</f>
        <v>329.13617179625538</v>
      </c>
      <c r="CE15" s="62">
        <f t="shared" si="40"/>
        <v>186.45728006007261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6.2222222222222223</v>
      </c>
      <c r="N16" s="14">
        <f>IF('Données projet'!$A$36&gt;35,N15+M16-V15,IF(A16&lt;'Données projet'!$A$36,$K$205^A16,IF(A16='Données projet'!$A$36,'Données projet'!$B$36,N15+M16-V15)))</f>
        <v>30.19887706404656</v>
      </c>
      <c r="O16" s="14">
        <f>N16*VLOOKUP('Données projet'!$B$9,Paramètres!$A$1:$I$89,3,0)*VLOOKUP('Données projet'!$B$9,Paramètres!$A$1:$I$89,5,0)</f>
        <v>18.844099287965054</v>
      </c>
      <c r="P16" s="14">
        <f t="shared" si="33"/>
        <v>6.1701686386769925</v>
      </c>
      <c r="Q16" s="22">
        <f t="shared" si="2"/>
        <v>43.566516638901568</v>
      </c>
      <c r="R16" s="62">
        <f t="shared" si="0"/>
        <v>336.8998499722349</v>
      </c>
      <c r="S16" s="62">
        <f ca="1">AVERAGE(OFFSET($R$3,0,0,'Données projet'!$E$9+1,1))-AVERAGE(OFFSET($H$3,0,0,'Données projet'!$E$9+1,1))</f>
        <v>175.05987582828078</v>
      </c>
      <c r="T16" s="62">
        <f t="shared" si="34"/>
        <v>268.54782308462387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</v>
      </c>
      <c r="AI16" s="14">
        <f>IF('Données projet'!$A$62&gt;35,AI15+AH16-AQ15,IF(A16&lt;'Données projet'!$A$62,$AF$205^A16,IF(A16='Données projet'!$A$62,'Données projet'!$B$62,AI15+AH16-AQ15)))</f>
        <v>9.1085863706396779</v>
      </c>
      <c r="AJ16" s="14">
        <f>AI16*VLOOKUP('Données projet'!$B$10,Paramètres!$A$1:$I$89,3,0)*VLOOKUP('Données projet'!$B$10,Paramètres!$A$1:$I$89,5,0)</f>
        <v>8.2414489481547797</v>
      </c>
      <c r="AK16" s="14">
        <f t="shared" si="35"/>
        <v>2.971206399035617</v>
      </c>
      <c r="AL16" s="22">
        <f t="shared" si="4"/>
        <v>19.528708063023274</v>
      </c>
      <c r="AM16" s="62">
        <f t="shared" si="5"/>
        <v>312.86204139635657</v>
      </c>
      <c r="AN16" s="62">
        <f ca="1">AVERAGE(OFFSET($AM$3,0,0,'Données projet'!$E$10+1,1))-AVERAGE(OFFSET($H$3,0,0,'Données projet'!$E$10+1,1))</f>
        <v>302.55602998433079</v>
      </c>
      <c r="AO16" s="62">
        <f t="shared" si="36"/>
        <v>172.32171001882188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2.6666666666666665</v>
      </c>
      <c r="BD16" s="13">
        <f>IF('Données projet'!$A$88&gt;35,BD15+BC16-BL15,IF(A16&lt;'Données projet'!$A$88,$BA$205^A16,IF(A16='Données projet'!$A$88,'Données projet'!$B$88,BD15+BC16-BL15)))</f>
        <v>24.459748796430759</v>
      </c>
      <c r="BE16" s="14">
        <f>BD16*VLOOKUP('Données projet'!$B$11,Paramètres!$A$1:$I$89,3,0)*VLOOKUP('Données projet'!$B$11,Paramètres!$A$1:$I$89,5,0)</f>
        <v>19.078604061215994</v>
      </c>
      <c r="BF16" s="14">
        <f t="shared" si="37"/>
        <v>6.2379664748280286</v>
      </c>
      <c r="BG16" s="22">
        <f t="shared" si="7"/>
        <v>44.093027016943331</v>
      </c>
      <c r="BH16" s="62">
        <f t="shared" si="8"/>
        <v>337.42636035027664</v>
      </c>
      <c r="BI16" s="62">
        <f ca="1">AVERAGE(OFFSET($BH$3,0,0,'Données projet'!$E$11+1,1))-AVERAGE(OFFSET($H$3,0,0,'Données projet'!$E$11+1,1))</f>
        <v>216.95993967070063</v>
      </c>
      <c r="BJ16" s="62">
        <f t="shared" si="38"/>
        <v>208.79744153433245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2.8</v>
      </c>
      <c r="BY16" s="13">
        <f>IF('Données projet'!$A$114&gt;35,BY15+BX16-CG15,IF(A16&lt;'Données projet'!$A$114,$BV$205^A16,IF(A16='Données projet'!$A$114,'Données projet'!$B$114,BY15+BX16-CG15)))</f>
        <v>9.1085863706396779</v>
      </c>
      <c r="BZ16" s="14">
        <f>BY16*VLOOKUP('Données projet'!$B$12,Paramètres!$A$1:$I$89,3,0)*VLOOKUP('Données projet'!$B$12,Paramètres!$A$1:$I$89,5,0)</f>
        <v>8.8098247376826961</v>
      </c>
      <c r="CA16" s="14">
        <f t="shared" si="39"/>
        <v>3.1515568341505751</v>
      </c>
      <c r="CB16" s="22">
        <f t="shared" si="10"/>
        <v>20.832739570942948</v>
      </c>
      <c r="CC16" s="62">
        <f t="shared" si="11"/>
        <v>314.16607290427623</v>
      </c>
      <c r="CD16" s="62">
        <f ca="1">AVERAGE(OFFSET($CC$3,0,0,'Données projet'!$E$12+1,1))-AVERAGE(OFFSET($H$3,0,0,'Données projet'!$E$12+1,1))</f>
        <v>329.13617179625538</v>
      </c>
      <c r="CE16" s="62">
        <f t="shared" si="40"/>
        <v>186.45728006007261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6.2222222222222223</v>
      </c>
      <c r="N17" s="14">
        <f>IF('Données projet'!$A$36&gt;35,N16+M17-V16,IF(A17&lt;'Données projet'!$A$36,$K$205^A17,IF(A17='Données projet'!$A$36,'Données projet'!$B$36,N16+M17-V16)))</f>
        <v>39.249690802844427</v>
      </c>
      <c r="O17" s="14">
        <f>N17*VLOOKUP('Données projet'!$B$9,Paramètres!$A$1:$I$89,3,0)*VLOOKUP('Données projet'!$B$9,Paramètres!$A$1:$I$89,5,0)</f>
        <v>24.491807060974921</v>
      </c>
      <c r="P17" s="14">
        <f t="shared" si="33"/>
        <v>7.7784106944068903</v>
      </c>
      <c r="Q17" s="22">
        <f t="shared" si="2"/>
        <v>56.203962590623313</v>
      </c>
      <c r="R17" s="62">
        <f t="shared" si="0"/>
        <v>349.53729592395661</v>
      </c>
      <c r="S17" s="62">
        <f ca="1">AVERAGE(OFFSET($R$3,0,0,'Données projet'!$E$9+1,1))-AVERAGE(OFFSET($H$3,0,0,'Données projet'!$E$9+1,1))</f>
        <v>175.05987582828078</v>
      </c>
      <c r="T17" s="62">
        <f t="shared" si="34"/>
        <v>268.54782308462387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</v>
      </c>
      <c r="AI17" s="14">
        <f>IF('Données projet'!$A$62&gt;35,AI16+AH17-AQ16,IF(A17&lt;'Données projet'!$A$62,$AF$205^A17,IF(A17='Données projet'!$A$62,'Données projet'!$B$62,AI16+AH17-AQ16)))</f>
        <v>10.795801791490293</v>
      </c>
      <c r="AJ17" s="14">
        <f>AI17*VLOOKUP('Données projet'!$B$10,Paramètres!$A$1:$I$89,3,0)*VLOOKUP('Données projet'!$B$10,Paramètres!$A$1:$I$89,5,0)</f>
        <v>9.7680414609404167</v>
      </c>
      <c r="AK17" s="14">
        <f t="shared" si="35"/>
        <v>3.4525976202477158</v>
      </c>
      <c r="AL17" s="22">
        <f t="shared" si="4"/>
        <v>23.025946399735997</v>
      </c>
      <c r="AM17" s="62">
        <f t="shared" si="5"/>
        <v>316.35927973306929</v>
      </c>
      <c r="AN17" s="62">
        <f ca="1">AVERAGE(OFFSET($AM$3,0,0,'Données projet'!$E$10+1,1))-AVERAGE(OFFSET($H$3,0,0,'Données projet'!$E$10+1,1))</f>
        <v>302.55602998433079</v>
      </c>
      <c r="AO17" s="62">
        <f t="shared" si="36"/>
        <v>172.32171001882188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2.6666666666666665</v>
      </c>
      <c r="BD17" s="13">
        <f>IF('Données projet'!$A$88&gt;35,BD16+BC17-BL16,IF(A17&lt;'Données projet'!$A$88,$BA$205^A17,IF(A17='Données projet'!$A$88,'Données projet'!$B$88,BD16+BC17-BL16)))</f>
        <v>31.279225563578599</v>
      </c>
      <c r="BE17" s="14">
        <f>BD17*VLOOKUP('Données projet'!$B$11,Paramètres!$A$1:$I$89,3,0)*VLOOKUP('Données projet'!$B$11,Paramètres!$A$1:$I$89,5,0)</f>
        <v>24.397795939591308</v>
      </c>
      <c r="BF17" s="14">
        <f t="shared" si="37"/>
        <v>7.75202295846145</v>
      </c>
      <c r="BG17" s="22">
        <f t="shared" si="7"/>
        <v>55.994267914108548</v>
      </c>
      <c r="BH17" s="62">
        <f t="shared" si="8"/>
        <v>349.32760124744186</v>
      </c>
      <c r="BI17" s="62">
        <f ca="1">AVERAGE(OFFSET($BH$3,0,0,'Données projet'!$E$11+1,1))-AVERAGE(OFFSET($H$3,0,0,'Données projet'!$E$11+1,1))</f>
        <v>216.95993967070063</v>
      </c>
      <c r="BJ17" s="62">
        <f t="shared" si="38"/>
        <v>208.79744153433245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2.8</v>
      </c>
      <c r="BY17" s="13">
        <f>IF('Données projet'!$A$114&gt;35,BY16+BX17-CG16,IF(A17&lt;'Données projet'!$A$114,$BV$205^A17,IF(A17='Données projet'!$A$114,'Données projet'!$B$114,BY16+BX17-CG16)))</f>
        <v>10.795801791490293</v>
      </c>
      <c r="BZ17" s="14">
        <f>BY17*VLOOKUP('Données projet'!$B$12,Paramètres!$A$1:$I$89,3,0)*VLOOKUP('Données projet'!$B$12,Paramètres!$A$1:$I$89,5,0)</f>
        <v>10.441699492729411</v>
      </c>
      <c r="CA17" s="14">
        <f t="shared" si="39"/>
        <v>3.6621682119409238</v>
      </c>
      <c r="CB17" s="22">
        <f t="shared" si="10"/>
        <v>24.564236252300834</v>
      </c>
      <c r="CC17" s="62">
        <f t="shared" si="11"/>
        <v>317.89756958563413</v>
      </c>
      <c r="CD17" s="62">
        <f ca="1">AVERAGE(OFFSET($CC$3,0,0,'Données projet'!$E$12+1,1))-AVERAGE(OFFSET($H$3,0,0,'Données projet'!$E$12+1,1))</f>
        <v>329.13617179625538</v>
      </c>
      <c r="CE17" s="62">
        <f t="shared" si="40"/>
        <v>186.45728006007261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6.2222222222222223</v>
      </c>
      <c r="N18" s="14">
        <f>IF('Données projet'!$A$36&gt;35,N17+M18-V17,IF(A18&lt;'Données projet'!$A$36,$K$205^A18,IF(A18='Données projet'!$A$36,'Données projet'!$B$36,N17+M18-V17)))</f>
        <v>51.013096442350388</v>
      </c>
      <c r="O18" s="14">
        <f>N18*VLOOKUP('Données projet'!$B$9,Paramètres!$A$1:$I$89,3,0)*VLOOKUP('Données projet'!$B$9,Paramètres!$A$1:$I$89,5,0)</f>
        <v>31.832172180026642</v>
      </c>
      <c r="P18" s="14">
        <f t="shared" si="33"/>
        <v>9.8058378099430179</v>
      </c>
      <c r="Q18" s="22">
        <f t="shared" si="2"/>
        <v>72.519534065863823</v>
      </c>
      <c r="R18" s="62">
        <f t="shared" si="0"/>
        <v>365.85286739919712</v>
      </c>
      <c r="S18" s="62">
        <f ca="1">AVERAGE(OFFSET($R$3,0,0,'Données projet'!$E$9+1,1))-AVERAGE(OFFSET($H$3,0,0,'Données projet'!$E$9+1,1))</f>
        <v>175.05987582828078</v>
      </c>
      <c r="T18" s="62">
        <f t="shared" si="34"/>
        <v>268.54782308462387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</v>
      </c>
      <c r="AI18" s="14">
        <f>IF('Données projet'!$A$62&gt;35,AI17+AH18-AQ17,IF(A18&lt;'Données projet'!$A$62,$AF$205^A18,IF(A18='Données projet'!$A$62,'Données projet'!$B$62,AI17+AH18-AQ17)))</f>
        <v>12.795546046181913</v>
      </c>
      <c r="AJ18" s="14">
        <f>AI18*VLOOKUP('Données projet'!$B$10,Paramètres!$A$1:$I$89,3,0)*VLOOKUP('Données projet'!$B$10,Paramètres!$A$1:$I$89,5,0)</f>
        <v>11.577410062585395</v>
      </c>
      <c r="AK18" s="14">
        <f t="shared" si="35"/>
        <v>4.0119832574435987</v>
      </c>
      <c r="AL18" s="22">
        <f t="shared" si="4"/>
        <v>27.151526699050493</v>
      </c>
      <c r="AM18" s="62">
        <f t="shared" si="5"/>
        <v>320.48486003238384</v>
      </c>
      <c r="AN18" s="62">
        <f ca="1">AVERAGE(OFFSET($AM$3,0,0,'Données projet'!$E$10+1,1))-AVERAGE(OFFSET($H$3,0,0,'Données projet'!$E$10+1,1))</f>
        <v>302.55602998433079</v>
      </c>
      <c r="AO18" s="62">
        <f t="shared" si="36"/>
        <v>172.32171001882188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>
        <f>VLOOKUP(A18,'Données projet'!$A$87:$I$107,2,0)</f>
        <v>40</v>
      </c>
      <c r="BB18" s="13">
        <f>VLOOKUP(A18,'Données projet'!$A$87:$I$107,9,0)</f>
        <v>2.6666666666666665</v>
      </c>
      <c r="BC18" s="13">
        <f t="array" ref="BC18">INDEX(BB:BB,MIN(IF(ISNUMBER(BB18:BB214),ROW(BB18:BB214),"")))</f>
        <v>2.6666666666666665</v>
      </c>
      <c r="BD18" s="13">
        <f>IF('Données projet'!$A$88&gt;35,BD17+BC18-BL17,IF(A18&lt;'Données projet'!$A$88,$BA$205^A18,IF(A18='Données projet'!$A$88,'Données projet'!$B$88,BD17+BC18-BL17)))</f>
        <v>40</v>
      </c>
      <c r="BE18" s="14">
        <f>BD18*VLOOKUP('Données projet'!$B$11,Paramètres!$A$1:$I$89,3,0)*VLOOKUP('Données projet'!$B$11,Paramètres!$A$1:$I$89,5,0)</f>
        <v>31.200000000000003</v>
      </c>
      <c r="BF18" s="14">
        <f t="shared" si="37"/>
        <v>9.6335657126419925</v>
      </c>
      <c r="BG18" s="22">
        <f t="shared" si="7"/>
        <v>71.118460282851473</v>
      </c>
      <c r="BH18" s="62">
        <f t="shared" si="8"/>
        <v>364.45179361618477</v>
      </c>
      <c r="BI18" s="62">
        <f ca="1">AVERAGE(OFFSET($BH$3,0,0,'Données projet'!$E$11+1,1))-AVERAGE(OFFSET($H$3,0,0,'Données projet'!$E$11+1,1))</f>
        <v>216.95993967070063</v>
      </c>
      <c r="BJ18" s="62">
        <f t="shared" si="38"/>
        <v>208.79744153433245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3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2.8</v>
      </c>
      <c r="BY18" s="13">
        <f>IF('Données projet'!$A$114&gt;35,BY17+BX18-CG17,IF(A18&lt;'Données projet'!$A$114,$BV$205^A18,IF(A18='Données projet'!$A$114,'Données projet'!$B$114,BY17+BX18-CG17)))</f>
        <v>12.795546046181913</v>
      </c>
      <c r="BZ18" s="14">
        <f>BY18*VLOOKUP('Données projet'!$B$12,Paramètres!$A$1:$I$89,3,0)*VLOOKUP('Données projet'!$B$12,Paramètres!$A$1:$I$89,5,0)</f>
        <v>12.375852135867147</v>
      </c>
      <c r="CA18" s="14">
        <f t="shared" si="39"/>
        <v>4.2555082196908298</v>
      </c>
      <c r="CB18" s="22">
        <f t="shared" si="10"/>
        <v>28.966285952596809</v>
      </c>
      <c r="CC18" s="62">
        <f t="shared" si="11"/>
        <v>322.29961928593013</v>
      </c>
      <c r="CD18" s="62">
        <f ca="1">AVERAGE(OFFSET($CC$3,0,0,'Données projet'!$E$12+1,1))-AVERAGE(OFFSET($H$3,0,0,'Données projet'!$E$12+1,1))</f>
        <v>329.13617179625538</v>
      </c>
      <c r="CE18" s="62">
        <f t="shared" si="40"/>
        <v>186.45728006007261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6.2222222222222223</v>
      </c>
      <c r="N19" s="14">
        <f>IF('Données projet'!$A$36&gt;35,N18+M19-V18,IF(A19&lt;'Données projet'!$A$36,$K$205^A19,IF(A19='Données projet'!$A$36,'Données projet'!$B$36,N18+M19-V18)))</f>
        <v>66.302076663695672</v>
      </c>
      <c r="O19" s="14">
        <f>N19*VLOOKUP('Données projet'!$B$9,Paramètres!$A$1:$I$89,3,0)*VLOOKUP('Données projet'!$B$9,Paramètres!$A$1:$I$89,5,0)</f>
        <v>41.372495838146101</v>
      </c>
      <c r="P19" s="14">
        <f t="shared" si="33"/>
        <v>12.361709728704412</v>
      </c>
      <c r="Q19" s="22">
        <f t="shared" si="2"/>
        <v>93.587074695597963</v>
      </c>
      <c r="R19" s="62">
        <f t="shared" si="0"/>
        <v>386.92040802893126</v>
      </c>
      <c r="S19" s="62">
        <f ca="1">AVERAGE(OFFSET($R$3,0,0,'Données projet'!$E$9+1,1))-AVERAGE(OFFSET($H$3,0,0,'Données projet'!$E$9+1,1))</f>
        <v>175.05987582828078</v>
      </c>
      <c r="T19" s="62">
        <f t="shared" si="34"/>
        <v>268.54782308462387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</v>
      </c>
      <c r="AI19" s="14">
        <f>IF('Données projet'!$A$62&gt;35,AI18+AH19-AQ18,IF(A19&lt;'Données projet'!$A$62,$AF$205^A19,IF(A19='Données projet'!$A$62,'Données projet'!$B$62,AI18+AH19-AQ18)))</f>
        <v>15.165709947455436</v>
      </c>
      <c r="AJ19" s="14">
        <f>AI19*VLOOKUP('Données projet'!$B$10,Paramètres!$A$1:$I$89,3,0)*VLOOKUP('Données projet'!$B$10,Paramètres!$A$1:$I$89,5,0)</f>
        <v>13.721934360457679</v>
      </c>
      <c r="AK19" s="14">
        <f t="shared" si="35"/>
        <v>4.6619998703622194</v>
      </c>
      <c r="AL19" s="22">
        <f t="shared" si="4"/>
        <v>32.018685452011319</v>
      </c>
      <c r="AM19" s="62">
        <f t="shared" si="5"/>
        <v>325.35201878534463</v>
      </c>
      <c r="AN19" s="62">
        <f ca="1">AVERAGE(OFFSET($AM$3,0,0,'Données projet'!$E$10+1,1))-AVERAGE(OFFSET($H$3,0,0,'Données projet'!$E$10+1,1))</f>
        <v>302.55602998433079</v>
      </c>
      <c r="AO19" s="62">
        <f t="shared" si="36"/>
        <v>172.32171001882188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9.6</v>
      </c>
      <c r="BD19" s="13">
        <f>IF('Données projet'!$A$88&gt;35,BD18+BC19-BL18,IF(A19&lt;'Données projet'!$A$88,$BA$205^A19,IF(A19='Données projet'!$A$88,'Données projet'!$B$88,BD18+BC19-BL18)))</f>
        <v>46.6</v>
      </c>
      <c r="BE19" s="14">
        <f>BD19*VLOOKUP('Données projet'!$B$11,Paramètres!$A$1:$I$89,3,0)*VLOOKUP('Données projet'!$B$11,Paramètres!$A$1:$I$89,5,0)</f>
        <v>36.347999999999999</v>
      </c>
      <c r="BF19" s="14">
        <f t="shared" si="37"/>
        <v>11.025356771848859</v>
      </c>
      <c r="BG19" s="22">
        <f t="shared" si="7"/>
        <v>82.508596377636763</v>
      </c>
      <c r="BH19" s="62">
        <f t="shared" si="8"/>
        <v>375.84192971097008</v>
      </c>
      <c r="BI19" s="62">
        <f ca="1">AVERAGE(OFFSET($BH$3,0,0,'Données projet'!$E$11+1,1))-AVERAGE(OFFSET($H$3,0,0,'Données projet'!$E$11+1,1))</f>
        <v>216.95993967070063</v>
      </c>
      <c r="BJ19" s="62">
        <f t="shared" si="38"/>
        <v>208.79744153433245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2.8</v>
      </c>
      <c r="BY19" s="13">
        <f>IF('Données projet'!$A$114&gt;35,BY18+BX19-CG18,IF(A19&lt;'Données projet'!$A$114,$BV$205^A19,IF(A19='Données projet'!$A$114,'Données projet'!$B$114,BY18+BX19-CG18)))</f>
        <v>15.165709947455436</v>
      </c>
      <c r="BZ19" s="14">
        <f>BY19*VLOOKUP('Données projet'!$B$12,Paramètres!$A$1:$I$89,3,0)*VLOOKUP('Données projet'!$B$12,Paramètres!$A$1:$I$89,5,0)</f>
        <v>14.668274661178899</v>
      </c>
      <c r="CA19" s="14">
        <f t="shared" si="39"/>
        <v>4.944980448688451</v>
      </c>
      <c r="CB19" s="22">
        <f t="shared" si="10"/>
        <v>34.159752649685629</v>
      </c>
      <c r="CC19" s="62">
        <f t="shared" si="11"/>
        <v>327.49308598301894</v>
      </c>
      <c r="CD19" s="62">
        <f ca="1">AVERAGE(OFFSET($CC$3,0,0,'Données projet'!$E$12+1,1))-AVERAGE(OFFSET($H$3,0,0,'Données projet'!$E$12+1,1))</f>
        <v>329.13617179625538</v>
      </c>
      <c r="CE19" s="62">
        <f t="shared" si="40"/>
        <v>186.45728006007261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6.2222222222222223</v>
      </c>
      <c r="N20" s="14">
        <f>IF('Données projet'!$A$36&gt;35,N19+M20-V19,IF(A20&lt;'Données projet'!$A$36,$K$205^A20,IF(A20='Données projet'!$A$36,'Données projet'!$B$36,N19+M20-V19)))</f>
        <v>86.1732707185582</v>
      </c>
      <c r="O20" s="14">
        <f>N20*VLOOKUP('Données projet'!$B$9,Paramètres!$A$1:$I$89,3,0)*VLOOKUP('Données projet'!$B$9,Paramètres!$A$1:$I$89,5,0)</f>
        <v>53.772120928380318</v>
      </c>
      <c r="P20" s="14">
        <f t="shared" si="33"/>
        <v>15.583764526657339</v>
      </c>
      <c r="Q20" s="22">
        <f t="shared" si="2"/>
        <v>120.79483383419057</v>
      </c>
      <c r="R20" s="62">
        <f t="shared" si="0"/>
        <v>414.12816716752388</v>
      </c>
      <c r="S20" s="62">
        <f ca="1">AVERAGE(OFFSET($R$3,0,0,'Données projet'!$E$9+1,1))-AVERAGE(OFFSET($H$3,0,0,'Données projet'!$E$9+1,1))</f>
        <v>175.05987582828078</v>
      </c>
      <c r="T20" s="62">
        <f t="shared" si="34"/>
        <v>268.54782308462387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</v>
      </c>
      <c r="AI20" s="14">
        <f>IF('Données projet'!$A$62&gt;35,AI19+AH20-AQ19,IF(A20&lt;'Données projet'!$A$62,$AF$205^A20,IF(A20='Données projet'!$A$62,'Données projet'!$B$62,AI19+AH20-AQ19)))</f>
        <v>17.974907626468866</v>
      </c>
      <c r="AJ20" s="14">
        <f>AI20*VLOOKUP('Données projet'!$B$10,Paramètres!$A$1:$I$89,3,0)*VLOOKUP('Données projet'!$B$10,Paramètres!$A$1:$I$89,5,0)</f>
        <v>16.263696420429028</v>
      </c>
      <c r="AK20" s="14">
        <f t="shared" si="35"/>
        <v>5.4173313786723556</v>
      </c>
      <c r="AL20" s="22">
        <f t="shared" si="4"/>
        <v>37.761123416768235</v>
      </c>
      <c r="AM20" s="62">
        <f t="shared" si="5"/>
        <v>331.09445675010153</v>
      </c>
      <c r="AN20" s="62">
        <f ca="1">AVERAGE(OFFSET($AM$3,0,0,'Données projet'!$E$10+1,1))-AVERAGE(OFFSET($H$3,0,0,'Données projet'!$E$10+1,1))</f>
        <v>302.55602998433079</v>
      </c>
      <c r="AO20" s="62">
        <f t="shared" si="36"/>
        <v>172.32171001882188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9.6</v>
      </c>
      <c r="BD20" s="13">
        <f>IF('Données projet'!$A$88&gt;35,BD19+BC20-BL19,IF(A20&lt;'Données projet'!$A$88,$BA$205^A20,IF(A20='Données projet'!$A$88,'Données projet'!$B$88,BD19+BC20-BL19)))</f>
        <v>56.2</v>
      </c>
      <c r="BE20" s="14">
        <f>BD20*VLOOKUP('Données projet'!$B$11,Paramètres!$A$1:$I$89,3,0)*VLOOKUP('Données projet'!$B$11,Paramètres!$A$1:$I$89,5,0)</f>
        <v>43.836000000000006</v>
      </c>
      <c r="BF20" s="14">
        <f t="shared" si="37"/>
        <v>13.009897179721728</v>
      </c>
      <c r="BG20" s="22">
        <f t="shared" si="7"/>
        <v>99.006604254682017</v>
      </c>
      <c r="BH20" s="62">
        <f t="shared" si="8"/>
        <v>392.33993758801535</v>
      </c>
      <c r="BI20" s="62">
        <f ca="1">AVERAGE(OFFSET($BH$3,0,0,'Données projet'!$E$11+1,1))-AVERAGE(OFFSET($H$3,0,0,'Données projet'!$E$11+1,1))</f>
        <v>216.95993967070063</v>
      </c>
      <c r="BJ20" s="62">
        <f t="shared" si="38"/>
        <v>208.79744153433245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2.8</v>
      </c>
      <c r="BY20" s="13">
        <f>IF('Données projet'!$A$114&gt;35,BY19+BX20-CG19,IF(A20&lt;'Données projet'!$A$114,$BV$205^A20,IF(A20='Données projet'!$A$114,'Données projet'!$B$114,BY19+BX20-CG19)))</f>
        <v>17.974907626468866</v>
      </c>
      <c r="BZ20" s="14">
        <f>BY20*VLOOKUP('Données projet'!$B$12,Paramètres!$A$1:$I$89,3,0)*VLOOKUP('Données projet'!$B$12,Paramètres!$A$1:$I$89,5,0)</f>
        <v>17.385330656320686</v>
      </c>
      <c r="CA20" s="14">
        <f t="shared" si="39"/>
        <v>5.7461601236638131</v>
      </c>
      <c r="CB20" s="22">
        <f t="shared" si="10"/>
        <v>40.287346441806335</v>
      </c>
      <c r="CC20" s="62">
        <f t="shared" si="11"/>
        <v>333.62067977513965</v>
      </c>
      <c r="CD20" s="62">
        <f ca="1">AVERAGE(OFFSET($CC$3,0,0,'Données projet'!$E$12+1,1))-AVERAGE(OFFSET($H$3,0,0,'Données projet'!$E$12+1,1))</f>
        <v>329.13617179625538</v>
      </c>
      <c r="CE20" s="62">
        <f t="shared" si="40"/>
        <v>186.45728006007261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112</v>
      </c>
      <c r="L21" s="13">
        <f>VLOOKUP(A21,'Données projet'!$A$35:$I$55,9,0)</f>
        <v>6.2222222222222223</v>
      </c>
      <c r="M21" s="13">
        <f t="array" ref="M21">INDEX(L:L,MIN(IF(ISNUMBER(L21:L217),ROW(L21:L217),"")))</f>
        <v>6.2222222222222223</v>
      </c>
      <c r="N21" s="14">
        <f>IF('Données projet'!$A$36&gt;35,N20+M21-V20,IF(A21&lt;'Données projet'!$A$36,$K$205^A21,IF(A21='Données projet'!$A$36,'Données projet'!$B$36,N20+M21-V20)))</f>
        <v>112</v>
      </c>
      <c r="O21" s="14">
        <f>N21*VLOOKUP('Données projet'!$B$9,Paramètres!$A$1:$I$89,3,0)*VLOOKUP('Données projet'!$B$9,Paramètres!$A$1:$I$89,5,0)</f>
        <v>69.888000000000005</v>
      </c>
      <c r="P21" s="14">
        <f t="shared" si="33"/>
        <v>19.645641432461961</v>
      </c>
      <c r="Q21" s="22">
        <f t="shared" si="2"/>
        <v>155.93775882820458</v>
      </c>
      <c r="R21" s="62">
        <f t="shared" si="0"/>
        <v>449.27109216153792</v>
      </c>
      <c r="S21" s="62">
        <f ca="1">AVERAGE(OFFSET($R$3,0,0,'Données projet'!$E$9+1,1))-AVERAGE(OFFSET($H$3,0,0,'Données projet'!$E$9+1,1))</f>
        <v>175.05987582828078</v>
      </c>
      <c r="T21" s="62">
        <f t="shared" si="34"/>
        <v>268.54782308462387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20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0.3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4.2390777219390872</v>
      </c>
      <c r="AC21" s="24">
        <f t="shared" si="3"/>
        <v>4.2390777219390872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</v>
      </c>
      <c r="AI21" s="14">
        <f>IF('Données projet'!$A$62&gt;35,AI20+AH21-AQ20,IF(A21&lt;'Données projet'!$A$62,$AF$205^A21,IF(A21='Données projet'!$A$62,'Données projet'!$B$62,AI20+AH21-AQ20)))</f>
        <v>21.304462850702166</v>
      </c>
      <c r="AJ21" s="14">
        <f>AI21*VLOOKUP('Données projet'!$B$10,Paramètres!$A$1:$I$89,3,0)*VLOOKUP('Données projet'!$B$10,Paramètres!$A$1:$I$89,5,0)</f>
        <v>19.276277987315318</v>
      </c>
      <c r="AK21" s="14">
        <f t="shared" si="35"/>
        <v>6.2950407727205615</v>
      </c>
      <c r="AL21" s="22">
        <f t="shared" si="4"/>
        <v>44.536713507062494</v>
      </c>
      <c r="AM21" s="62">
        <f t="shared" si="5"/>
        <v>337.87004684039579</v>
      </c>
      <c r="AN21" s="62">
        <f ca="1">AVERAGE(OFFSET($AM$3,0,0,'Données projet'!$E$10+1,1))-AVERAGE(OFFSET($H$3,0,0,'Données projet'!$E$10+1,1))</f>
        <v>302.55602998433079</v>
      </c>
      <c r="AO21" s="62">
        <f t="shared" si="36"/>
        <v>172.32171001882188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9.6</v>
      </c>
      <c r="BD21" s="13">
        <f>IF('Données projet'!$A$88&gt;35,BD20+BC21-BL20,IF(A21&lt;'Données projet'!$A$88,$BA$205^A21,IF(A21='Données projet'!$A$88,'Données projet'!$B$88,BD20+BC21-BL20)))</f>
        <v>65.8</v>
      </c>
      <c r="BE21" s="14">
        <f>BD21*VLOOKUP('Données projet'!$B$11,Paramètres!$A$1:$I$89,3,0)*VLOOKUP('Données projet'!$B$11,Paramètres!$A$1:$I$89,5,0)</f>
        <v>51.323999999999998</v>
      </c>
      <c r="BF21" s="14">
        <f t="shared" si="37"/>
        <v>14.95516659950003</v>
      </c>
      <c r="BG21" s="22">
        <f t="shared" si="7"/>
        <v>115.43621516079588</v>
      </c>
      <c r="BH21" s="62">
        <f t="shared" si="8"/>
        <v>408.7695484941292</v>
      </c>
      <c r="BI21" s="62">
        <f ca="1">AVERAGE(OFFSET($BH$3,0,0,'Données projet'!$E$11+1,1))-AVERAGE(OFFSET($H$3,0,0,'Données projet'!$E$11+1,1))</f>
        <v>216.95993967070063</v>
      </c>
      <c r="BJ21" s="62">
        <f t="shared" si="38"/>
        <v>208.79744153433245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2.8</v>
      </c>
      <c r="BY21" s="13">
        <f>IF('Données projet'!$A$114&gt;35,BY20+BX21-CG20,IF(A21&lt;'Données projet'!$A$114,$BV$205^A21,IF(A21='Données projet'!$A$114,'Données projet'!$B$114,BY20+BX21-CG20)))</f>
        <v>21.304462850702166</v>
      </c>
      <c r="BZ21" s="14">
        <f>BY21*VLOOKUP('Données projet'!$B$12,Paramètres!$A$1:$I$89,3,0)*VLOOKUP('Données projet'!$B$12,Paramètres!$A$1:$I$89,5,0)</f>
        <v>20.605676469199135</v>
      </c>
      <c r="CA21" s="14">
        <f t="shared" si="39"/>
        <v>6.6771459481789375</v>
      </c>
      <c r="CB21" s="22">
        <f t="shared" si="10"/>
        <v>47.517582376933468</v>
      </c>
      <c r="CC21" s="62">
        <f t="shared" si="11"/>
        <v>340.8509157102668</v>
      </c>
      <c r="CD21" s="62">
        <f ca="1">AVERAGE(OFFSET($CC$3,0,0,'Données projet'!$E$12+1,1))-AVERAGE(OFFSET($H$3,0,0,'Données projet'!$E$12+1,1))</f>
        <v>329.13617179625538</v>
      </c>
      <c r="CE21" s="62">
        <f t="shared" si="40"/>
        <v>186.45728006007261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18</v>
      </c>
      <c r="N22" s="14">
        <f>IF('Données projet'!$A$36&gt;35,N21+M22-V21,IF(A22&lt;'Données projet'!$A$36,$K$205^A22,IF(A22='Données projet'!$A$36,'Données projet'!$B$36,N21+M22-V21)))</f>
        <v>110</v>
      </c>
      <c r="O22" s="14">
        <f>N22*VLOOKUP('Données projet'!$B$9,Paramètres!$A$1:$I$89,3,0)*VLOOKUP('Données projet'!$B$9,Paramètres!$A$1:$I$89,5,0)</f>
        <v>68.64</v>
      </c>
      <c r="P22" s="14">
        <f t="shared" si="33"/>
        <v>19.335336956640202</v>
      </c>
      <c r="Q22" s="22">
        <f t="shared" si="2"/>
        <v>153.22371186614836</v>
      </c>
      <c r="R22" s="62">
        <f t="shared" si="0"/>
        <v>446.55704519948165</v>
      </c>
      <c r="S22" s="62">
        <f ca="1">AVERAGE(OFFSET($R$3,0,0,'Données projet'!$E$9+1,1))-AVERAGE(OFFSET($H$3,0,0,'Données projet'!$E$9+1,1))</f>
        <v>175.05987582828078</v>
      </c>
      <c r="T22" s="62">
        <f t="shared" si="34"/>
        <v>268.54782308462387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2.9974806031599508</v>
      </c>
      <c r="AC22" s="24">
        <f t="shared" si="3"/>
        <v>2.9974806031599508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</v>
      </c>
      <c r="AI22" s="14">
        <f>IF('Données projet'!$A$62&gt;35,AI21+AH22-AQ21,IF(A22&lt;'Données projet'!$A$62,$AF$205^A22,IF(A22='Données projet'!$A$62,'Données projet'!$B$62,AI21+AH22-AQ21)))</f>
        <v>25.250763274498809</v>
      </c>
      <c r="AJ22" s="14">
        <f>AI22*VLOOKUP('Données projet'!$B$10,Paramètres!$A$1:$I$89,3,0)*VLOOKUP('Données projet'!$B$10,Paramètres!$A$1:$I$89,5,0)</f>
        <v>22.846890610766522</v>
      </c>
      <c r="AK22" s="14">
        <f t="shared" si="35"/>
        <v>7.3149555676481315</v>
      </c>
      <c r="AL22" s="22">
        <f t="shared" si="4"/>
        <v>52.531882094072188</v>
      </c>
      <c r="AM22" s="62">
        <f t="shared" si="5"/>
        <v>345.86521542740547</v>
      </c>
      <c r="AN22" s="62">
        <f ca="1">AVERAGE(OFFSET($AM$3,0,0,'Données projet'!$E$10+1,1))-AVERAGE(OFFSET($H$3,0,0,'Données projet'!$E$10+1,1))</f>
        <v>302.55602998433079</v>
      </c>
      <c r="AO22" s="62">
        <f t="shared" si="36"/>
        <v>172.32171001882188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9.6</v>
      </c>
      <c r="BD22" s="13">
        <f>IF('Données projet'!$A$88&gt;35,BD21+BC22-BL21,IF(A22&lt;'Données projet'!$A$88,$BA$205^A22,IF(A22='Données projet'!$A$88,'Données projet'!$B$88,BD21+BC22-BL21)))</f>
        <v>75.399999999999991</v>
      </c>
      <c r="BE22" s="14">
        <f>BD22*VLOOKUP('Données projet'!$B$11,Paramètres!$A$1:$I$89,3,0)*VLOOKUP('Données projet'!$B$11,Paramètres!$A$1:$I$89,5,0)</f>
        <v>58.811999999999998</v>
      </c>
      <c r="BF22" s="14">
        <f t="shared" si="37"/>
        <v>16.86755663452599</v>
      </c>
      <c r="BG22" s="22">
        <f t="shared" si="7"/>
        <v>131.8085611384661</v>
      </c>
      <c r="BH22" s="62">
        <f t="shared" si="8"/>
        <v>425.14189447179945</v>
      </c>
      <c r="BI22" s="62">
        <f ca="1">AVERAGE(OFFSET($BH$3,0,0,'Données projet'!$E$11+1,1))-AVERAGE(OFFSET($H$3,0,0,'Données projet'!$E$11+1,1))</f>
        <v>216.95993967070063</v>
      </c>
      <c r="BJ22" s="62">
        <f t="shared" si="38"/>
        <v>208.79744153433245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2.8</v>
      </c>
      <c r="BY22" s="13">
        <f>IF('Données projet'!$A$114&gt;35,BY21+BX22-CG21,IF(A22&lt;'Données projet'!$A$114,$BV$205^A22,IF(A22='Données projet'!$A$114,'Données projet'!$B$114,BY21+BX22-CG21)))</f>
        <v>25.250763274498809</v>
      </c>
      <c r="BZ22" s="14">
        <f>BY22*VLOOKUP('Données projet'!$B$12,Paramètres!$A$1:$I$89,3,0)*VLOOKUP('Données projet'!$B$12,Paramètres!$A$1:$I$89,5,0)</f>
        <v>24.42253823909525</v>
      </c>
      <c r="CA22" s="14">
        <f t="shared" si="39"/>
        <v>7.7589689555770613</v>
      </c>
      <c r="CB22" s="22">
        <f t="shared" si="10"/>
        <v>56.049458364054281</v>
      </c>
      <c r="CC22" s="62">
        <f t="shared" si="11"/>
        <v>349.38279169738757</v>
      </c>
      <c r="CD22" s="62">
        <f ca="1">AVERAGE(OFFSET($CC$3,0,0,'Données projet'!$E$12+1,1))-AVERAGE(OFFSET($H$3,0,0,'Données projet'!$E$12+1,1))</f>
        <v>329.13617179625538</v>
      </c>
      <c r="CE22" s="62">
        <f t="shared" si="40"/>
        <v>186.45728006007261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18</v>
      </c>
      <c r="N23" s="14">
        <f>IF('Données projet'!$A$36&gt;35,N22+M23-V22,IF(A23&lt;'Données projet'!$A$36,$K$205^A23,IF(A23='Données projet'!$A$36,'Données projet'!$B$36,N22+M23-V22)))</f>
        <v>128</v>
      </c>
      <c r="O23" s="14">
        <f>N23*VLOOKUP('Données projet'!$B$9,Paramètres!$A$1:$I$89,3,0)*VLOOKUP('Données projet'!$B$9,Paramètres!$A$1:$I$89,5,0)</f>
        <v>79.872</v>
      </c>
      <c r="P23" s="14">
        <f t="shared" si="33"/>
        <v>22.105884547145418</v>
      </c>
      <c r="Q23" s="22">
        <f t="shared" si="2"/>
        <v>177.61148225294494</v>
      </c>
      <c r="R23" s="62">
        <f t="shared" si="0"/>
        <v>470.94481558627825</v>
      </c>
      <c r="S23" s="62">
        <f ca="1">AVERAGE(OFFSET($R$3,0,0,'Données projet'!$E$9+1,1))-AVERAGE(OFFSET($H$3,0,0,'Données projet'!$E$9+1,1))</f>
        <v>175.05987582828078</v>
      </c>
      <c r="T23" s="62">
        <f t="shared" si="34"/>
        <v>268.54782308462387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2.119538860969544</v>
      </c>
      <c r="AC23" s="24">
        <f t="shared" si="3"/>
        <v>2.119538860969544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</v>
      </c>
      <c r="AI23" s="14">
        <f>IF('Données projet'!$A$62&gt;35,AI22+AH23-AQ22,IF(A23&lt;'Données projet'!$A$62,$AF$205^A23,IF(A23='Données projet'!$A$62,'Données projet'!$B$62,AI22+AH23-AQ22)))</f>
        <v>29.92805077569761</v>
      </c>
      <c r="AJ23" s="14">
        <f>AI23*VLOOKUP('Données projet'!$B$10,Paramètres!$A$1:$I$89,3,0)*VLOOKUP('Données projet'!$B$10,Paramètres!$A$1:$I$89,5,0)</f>
        <v>27.078900341851195</v>
      </c>
      <c r="AK23" s="14">
        <f t="shared" si="35"/>
        <v>8.5001157083119736</v>
      </c>
      <c r="AL23" s="22">
        <f t="shared" si="4"/>
        <v>61.966786287367512</v>
      </c>
      <c r="AM23" s="62">
        <f t="shared" si="5"/>
        <v>355.3001196207008</v>
      </c>
      <c r="AN23" s="62">
        <f ca="1">AVERAGE(OFFSET($AM$3,0,0,'Données projet'!$E$10+1,1))-AVERAGE(OFFSET($H$3,0,0,'Données projet'!$E$10+1,1))</f>
        <v>302.55602998433079</v>
      </c>
      <c r="AO23" s="62">
        <f t="shared" si="36"/>
        <v>172.32171001882188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85</v>
      </c>
      <c r="BB23" s="13">
        <f>VLOOKUP(A23,'Données projet'!$A$87:$I$107,9,0)</f>
        <v>9.6</v>
      </c>
      <c r="BC23" s="13">
        <f t="array" ref="BC23">INDEX(BB:BB,MIN(IF(ISNUMBER(BB23:BB219),ROW(BB23:BB219),"")))</f>
        <v>9.6</v>
      </c>
      <c r="BD23" s="13">
        <f>IF('Données projet'!$A$88&gt;35,BD22+BC23-BL22,IF(A23&lt;'Données projet'!$A$88,$BA$205^A23,IF(A23='Données projet'!$A$88,'Données projet'!$B$88,BD22+BC23-BL22)))</f>
        <v>84.999999999999986</v>
      </c>
      <c r="BE23" s="14">
        <f>BD23*VLOOKUP('Données projet'!$B$11,Paramètres!$A$1:$I$89,3,0)*VLOOKUP('Données projet'!$B$11,Paramètres!$A$1:$I$89,5,0)</f>
        <v>66.3</v>
      </c>
      <c r="BF23" s="14">
        <f t="shared" si="37"/>
        <v>18.751733344032118</v>
      </c>
      <c r="BG23" s="22">
        <f t="shared" si="7"/>
        <v>148.13176890752257</v>
      </c>
      <c r="BH23" s="62">
        <f t="shared" si="8"/>
        <v>441.46510224085591</v>
      </c>
      <c r="BI23" s="62">
        <f ca="1">AVERAGE(OFFSET($BH$3,0,0,'Données projet'!$E$11+1,1))-AVERAGE(OFFSET($H$3,0,0,'Données projet'!$E$11+1,1))</f>
        <v>216.95993967070063</v>
      </c>
      <c r="BJ23" s="62">
        <f t="shared" si="38"/>
        <v>208.79744153433245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25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2.8</v>
      </c>
      <c r="BY23" s="13">
        <f>IF('Données projet'!$A$114&gt;35,BY22+BX23-CG22,IF(A23&lt;'Données projet'!$A$114,$BV$205^A23,IF(A23='Données projet'!$A$114,'Données projet'!$B$114,BY22+BX23-CG22)))</f>
        <v>29.92805077569761</v>
      </c>
      <c r="BZ23" s="14">
        <f>BY23*VLOOKUP('Données projet'!$B$12,Paramètres!$A$1:$I$89,3,0)*VLOOKUP('Données projet'!$B$12,Paramètres!$A$1:$I$89,5,0)</f>
        <v>28.946410710254728</v>
      </c>
      <c r="CA23" s="14">
        <f t="shared" si="39"/>
        <v>9.0160676014618808</v>
      </c>
      <c r="CB23" s="22">
        <f t="shared" si="10"/>
        <v>66.117983059573092</v>
      </c>
      <c r="CC23" s="62">
        <f t="shared" si="11"/>
        <v>359.45131639290639</v>
      </c>
      <c r="CD23" s="62">
        <f ca="1">AVERAGE(OFFSET($CC$3,0,0,'Données projet'!$E$12+1,1))-AVERAGE(OFFSET($H$3,0,0,'Données projet'!$E$12+1,1))</f>
        <v>329.13617179625538</v>
      </c>
      <c r="CE23" s="62">
        <f t="shared" si="40"/>
        <v>186.45728006007261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146</v>
      </c>
      <c r="L24" s="13">
        <f>VLOOKUP(A24,'Données projet'!$A$35:$I$55,9,0)</f>
        <v>18</v>
      </c>
      <c r="M24" s="13">
        <f t="array" ref="M24">INDEX(L:L,MIN(IF(ISNUMBER(L24:L220),ROW(L24:L220),"")))</f>
        <v>18</v>
      </c>
      <c r="N24" s="14">
        <f>IF('Données projet'!$A$36&gt;35,N23+M24-V23,IF(A24&lt;'Données projet'!$A$36,$K$205^A24,IF(A24='Données projet'!$A$36,'Données projet'!$B$36,N23+M24-V23)))</f>
        <v>146</v>
      </c>
      <c r="O24" s="14">
        <f>N24*VLOOKUP('Données projet'!$B$9,Paramètres!$A$1:$I$89,3,0)*VLOOKUP('Données projet'!$B$9,Paramètres!$A$1:$I$89,5,0)</f>
        <v>91.103999999999999</v>
      </c>
      <c r="P24" s="14">
        <f t="shared" si="33"/>
        <v>24.831293984707884</v>
      </c>
      <c r="Q24" s="22">
        <f t="shared" si="2"/>
        <v>201.92063702336623</v>
      </c>
      <c r="R24" s="62">
        <f t="shared" si="0"/>
        <v>495.25397035669954</v>
      </c>
      <c r="S24" s="62">
        <f ca="1">AVERAGE(OFFSET($R$3,0,0,'Données projet'!$E$9+1,1))-AVERAGE(OFFSET($H$3,0,0,'Données projet'!$E$9+1,1))</f>
        <v>175.05987582828078</v>
      </c>
      <c r="T24" s="62">
        <f t="shared" si="34"/>
        <v>268.54782308462387</v>
      </c>
      <c r="U24" s="16">
        <f>IF(ISNA(VLOOKUP(A24,'Données projet'!$A$35:$I$55,3,0)),0,VLOOKUP(A24,'Données projet'!$A$35:$I$55,3,0))</f>
        <v>2</v>
      </c>
      <c r="V24" s="16">
        <f>IF(ISNA(VLOOKUP(A24,'Données projet'!$A$35:$I$55,4,0)),0,VLOOKUP(A24,'Données projet'!$A$35:$I$55,4,0))</f>
        <v>26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0.4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8.8464750196077269</v>
      </c>
      <c r="AC24" s="24">
        <f t="shared" si="3"/>
        <v>8.8464750196077269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</v>
      </c>
      <c r="AI24" s="14">
        <f>IF('Données projet'!$A$62&gt;35,AI23+AH24-AQ23,IF(A24&lt;'Données projet'!$A$62,$AF$205^A24,IF(A24='Données projet'!$A$62,'Données projet'!$B$62,AI23+AH24-AQ23)))</f>
        <v>35.471728656111772</v>
      </c>
      <c r="AJ24" s="14">
        <f>AI24*VLOOKUP('Données projet'!$B$10,Paramètres!$A$1:$I$89,3,0)*VLOOKUP('Données projet'!$B$10,Paramètres!$A$1:$I$89,5,0)</f>
        <v>32.094820088049929</v>
      </c>
      <c r="AK24" s="14">
        <f t="shared" si="35"/>
        <v>9.8772940432120837</v>
      </c>
      <c r="AL24" s="22">
        <f t="shared" si="4"/>
        <v>73.101432111948</v>
      </c>
      <c r="AM24" s="62">
        <f t="shared" si="5"/>
        <v>366.4347654452813</v>
      </c>
      <c r="AN24" s="62">
        <f ca="1">AVERAGE(OFFSET($AM$3,0,0,'Données projet'!$E$10+1,1))-AVERAGE(OFFSET($H$3,0,0,'Données projet'!$E$10+1,1))</f>
        <v>302.55602998433079</v>
      </c>
      <c r="AO24" s="62">
        <f t="shared" si="36"/>
        <v>172.32171001882188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10.6</v>
      </c>
      <c r="BD24" s="13">
        <f>IF('Données projet'!$A$88&gt;35,BD23+BC24-BL23,IF(A24&lt;'Données projet'!$A$88,$BA$205^A24,IF(A24='Données projet'!$A$88,'Données projet'!$B$88,BD23+BC24-BL23)))</f>
        <v>70.59999999999998</v>
      </c>
      <c r="BE24" s="14">
        <f>BD24*VLOOKUP('Données projet'!$B$11,Paramètres!$A$1:$I$89,3,0)*VLOOKUP('Données projet'!$B$11,Paramètres!$A$1:$I$89,5,0)</f>
        <v>55.067999999999984</v>
      </c>
      <c r="BF24" s="14">
        <f t="shared" si="37"/>
        <v>15.915148294580479</v>
      </c>
      <c r="BG24" s="22">
        <f t="shared" si="7"/>
        <v>123.62898327972762</v>
      </c>
      <c r="BH24" s="62">
        <f t="shared" si="8"/>
        <v>416.96231661306092</v>
      </c>
      <c r="BI24" s="62">
        <f ca="1">AVERAGE(OFFSET($BH$3,0,0,'Données projet'!$E$11+1,1))-AVERAGE(OFFSET($H$3,0,0,'Données projet'!$E$11+1,1))</f>
        <v>216.95993967070063</v>
      </c>
      <c r="BJ24" s="62">
        <f t="shared" si="38"/>
        <v>208.79744153433245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2.8</v>
      </c>
      <c r="BY24" s="13">
        <f>IF('Données projet'!$A$114&gt;35,BY23+BX24-CG23,IF(A24&lt;'Données projet'!$A$114,$BV$205^A24,IF(A24='Données projet'!$A$114,'Données projet'!$B$114,BY23+BX24-CG23)))</f>
        <v>35.471728656111772</v>
      </c>
      <c r="BZ24" s="14">
        <f>BY24*VLOOKUP('Données projet'!$B$12,Paramètres!$A$1:$I$89,3,0)*VLOOKUP('Données projet'!$B$12,Paramètres!$A$1:$I$89,5,0)</f>
        <v>34.308255956191303</v>
      </c>
      <c r="CA24" s="14">
        <f t="shared" si="39"/>
        <v>10.476839830078278</v>
      </c>
      <c r="CB24" s="22">
        <f t="shared" si="10"/>
        <v>78.000708494419527</v>
      </c>
      <c r="CC24" s="62">
        <f t="shared" si="11"/>
        <v>371.33404182775286</v>
      </c>
      <c r="CD24" s="62">
        <f ca="1">AVERAGE(OFFSET($CC$3,0,0,'Données projet'!$E$12+1,1))-AVERAGE(OFFSET($H$3,0,0,'Données projet'!$E$12+1,1))</f>
        <v>329.13617179625538</v>
      </c>
      <c r="CE24" s="62">
        <f t="shared" si="40"/>
        <v>186.45728006007261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</v>
      </c>
      <c r="N25" s="14">
        <f>IF('Données projet'!$A$36&gt;35,N24+M25-V24,IF(A25&lt;'Données projet'!$A$36,$K$205^A25,IF(A25='Données projet'!$A$36,'Données projet'!$B$36,N24+M25-V24)))</f>
        <v>136</v>
      </c>
      <c r="O25" s="14">
        <f>N25*VLOOKUP('Données projet'!$B$9,Paramètres!$A$1:$I$89,3,0)*VLOOKUP('Données projet'!$B$9,Paramètres!$A$1:$I$89,5,0)</f>
        <v>84.864000000000004</v>
      </c>
      <c r="P25" s="14">
        <f t="shared" si="33"/>
        <v>23.322341364766192</v>
      </c>
      <c r="Q25" s="22">
        <f t="shared" si="2"/>
        <v>188.42454454363443</v>
      </c>
      <c r="R25" s="62">
        <f t="shared" si="0"/>
        <v>481.75787787696777</v>
      </c>
      <c r="S25" s="62">
        <f ca="1">AVERAGE(OFFSET($R$3,0,0,'Données projet'!$E$9+1,1))-AVERAGE(OFFSET($H$3,0,0,'Données projet'!$E$9+1,1))</f>
        <v>175.05987582828078</v>
      </c>
      <c r="T25" s="62">
        <f t="shared" si="34"/>
        <v>268.54782308462387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6.2554024759620201</v>
      </c>
      <c r="AC25" s="24">
        <f t="shared" si="3"/>
        <v>6.2554024759620201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</v>
      </c>
      <c r="AI25" s="14">
        <f>IF('Données projet'!$A$62&gt;35,AI24+AH25-AQ24,IF(A25&lt;'Données projet'!$A$62,$AF$205^A25,IF(A25='Données projet'!$A$62,'Données projet'!$B$62,AI24+AH25-AQ24)))</f>
        <v>42.042281446359659</v>
      </c>
      <c r="AJ25" s="14">
        <f>AI25*VLOOKUP('Données projet'!$B$10,Paramètres!$A$1:$I$89,3,0)*VLOOKUP('Données projet'!$B$10,Paramètres!$A$1:$I$89,5,0)</f>
        <v>38.039856252666219</v>
      </c>
      <c r="AK25" s="14">
        <f t="shared" si="35"/>
        <v>11.477601124967212</v>
      </c>
      <c r="AL25" s="22">
        <f t="shared" si="4"/>
        <v>86.242904932711554</v>
      </c>
      <c r="AM25" s="62">
        <f t="shared" si="5"/>
        <v>379.57623826604487</v>
      </c>
      <c r="AN25" s="62">
        <f ca="1">AVERAGE(OFFSET($AM$3,0,0,'Données projet'!$E$10+1,1))-AVERAGE(OFFSET($H$3,0,0,'Données projet'!$E$10+1,1))</f>
        <v>302.55602998433079</v>
      </c>
      <c r="AO25" s="62">
        <f t="shared" si="36"/>
        <v>172.32171001882188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10.6</v>
      </c>
      <c r="BD25" s="13">
        <f>IF('Données projet'!$A$88&gt;35,BD24+BC25-BL24,IF(A25&lt;'Données projet'!$A$88,$BA$205^A25,IF(A25='Données projet'!$A$88,'Données projet'!$B$88,BD24+BC25-BL24)))</f>
        <v>81.199999999999974</v>
      </c>
      <c r="BE25" s="14">
        <f>BD25*VLOOKUP('Données projet'!$B$11,Paramètres!$A$1:$I$89,3,0)*VLOOKUP('Données projet'!$B$11,Paramètres!$A$1:$I$89,5,0)</f>
        <v>63.335999999999984</v>
      </c>
      <c r="BF25" s="14">
        <f t="shared" si="37"/>
        <v>18.009040022946227</v>
      </c>
      <c r="BG25" s="22">
        <f t="shared" si="7"/>
        <v>141.67594470663133</v>
      </c>
      <c r="BH25" s="62">
        <f t="shared" si="8"/>
        <v>435.00927803996467</v>
      </c>
      <c r="BI25" s="62">
        <f ca="1">AVERAGE(OFFSET($BH$3,0,0,'Données projet'!$E$11+1,1))-AVERAGE(OFFSET($H$3,0,0,'Données projet'!$E$11+1,1))</f>
        <v>216.95993967070063</v>
      </c>
      <c r="BJ25" s="62">
        <f t="shared" si="38"/>
        <v>208.79744153433245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2.8</v>
      </c>
      <c r="BY25" s="13">
        <f>IF('Données projet'!$A$114&gt;35,BY24+BX25-CG24,IF(A25&lt;'Données projet'!$A$114,$BV$205^A25,IF(A25='Données projet'!$A$114,'Données projet'!$B$114,BY24+BX25-CG24)))</f>
        <v>42.042281446359659</v>
      </c>
      <c r="BZ25" s="14">
        <f>BY25*VLOOKUP('Données projet'!$B$12,Paramètres!$A$1:$I$89,3,0)*VLOOKUP('Données projet'!$B$12,Paramètres!$A$1:$I$89,5,0)</f>
        <v>40.663294614919067</v>
      </c>
      <c r="CA25" s="14">
        <f t="shared" si="39"/>
        <v>12.174284585811812</v>
      </c>
      <c r="CB25" s="22">
        <f t="shared" si="10"/>
        <v>92.025450441272952</v>
      </c>
      <c r="CC25" s="62">
        <f t="shared" si="11"/>
        <v>385.35878377460625</v>
      </c>
      <c r="CD25" s="62">
        <f ca="1">AVERAGE(OFFSET($CC$3,0,0,'Données projet'!$E$12+1,1))-AVERAGE(OFFSET($H$3,0,0,'Données projet'!$E$12+1,1))</f>
        <v>329.13617179625538</v>
      </c>
      <c r="CE25" s="62">
        <f t="shared" si="40"/>
        <v>186.45728006007261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</v>
      </c>
      <c r="N26" s="14">
        <f>IF('Données projet'!$A$36&gt;35,N25+M26-V25,IF(A26&lt;'Données projet'!$A$36,$K$205^A26,IF(A26='Données projet'!$A$36,'Données projet'!$B$36,N25+M26-V25)))</f>
        <v>152</v>
      </c>
      <c r="O26" s="14">
        <f>N26*VLOOKUP('Données projet'!$B$9,Paramètres!$A$1:$I$89,3,0)*VLOOKUP('Données projet'!$B$9,Paramètres!$A$1:$I$89,5,0)</f>
        <v>94.847999999999999</v>
      </c>
      <c r="P26" s="14">
        <f t="shared" si="33"/>
        <v>25.730851751939202</v>
      </c>
      <c r="Q26" s="22">
        <f t="shared" si="2"/>
        <v>210.0081668012941</v>
      </c>
      <c r="R26" s="62">
        <f t="shared" si="0"/>
        <v>503.34150013462738</v>
      </c>
      <c r="S26" s="62">
        <f ca="1">AVERAGE(OFFSET($R$3,0,0,'Données projet'!$E$9+1,1))-AVERAGE(OFFSET($H$3,0,0,'Données projet'!$E$9+1,1))</f>
        <v>175.05987582828078</v>
      </c>
      <c r="T26" s="62">
        <f t="shared" si="34"/>
        <v>268.54782308462387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4.4232375098038643</v>
      </c>
      <c r="AC26" s="24">
        <f t="shared" si="3"/>
        <v>4.4232375098038643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</v>
      </c>
      <c r="AI26" s="14">
        <f>IF('Données projet'!$A$62&gt;35,AI25+AH26-AQ25,IF(A26&lt;'Données projet'!$A$62,$AF$205^A26,IF(A26='Données projet'!$A$62,'Données projet'!$B$62,AI25+AH26-AQ25)))</f>
        <v>49.82992078990118</v>
      </c>
      <c r="AJ26" s="14">
        <f>AI26*VLOOKUP('Données projet'!$B$10,Paramètres!$A$1:$I$89,3,0)*VLOOKUP('Données projet'!$B$10,Paramètres!$A$1:$I$89,5,0)</f>
        <v>45.086112330702591</v>
      </c>
      <c r="AK26" s="14">
        <f t="shared" si="35"/>
        <v>13.337187999822708</v>
      </c>
      <c r="AL26" s="22">
        <f t="shared" si="4"/>
        <v>101.75391474233156</v>
      </c>
      <c r="AM26" s="62">
        <f t="shared" si="5"/>
        <v>395.08724807566489</v>
      </c>
      <c r="AN26" s="62">
        <f ca="1">AVERAGE(OFFSET($AM$3,0,0,'Données projet'!$E$10+1,1))-AVERAGE(OFFSET($H$3,0,0,'Données projet'!$E$10+1,1))</f>
        <v>302.55602998433079</v>
      </c>
      <c r="AO26" s="62">
        <f t="shared" si="36"/>
        <v>172.32171001882188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10.6</v>
      </c>
      <c r="BD26" s="13">
        <f>IF('Données projet'!$A$88&gt;35,BD25+BC26-BL25,IF(A26&lt;'Données projet'!$A$88,$BA$205^A26,IF(A26='Données projet'!$A$88,'Données projet'!$B$88,BD25+BC26-BL25)))</f>
        <v>91.799999999999969</v>
      </c>
      <c r="BE26" s="14">
        <f>BD26*VLOOKUP('Données projet'!$B$11,Paramètres!$A$1:$I$89,3,0)*VLOOKUP('Données projet'!$B$11,Paramètres!$A$1:$I$89,5,0)</f>
        <v>71.603999999999985</v>
      </c>
      <c r="BF26" s="14">
        <f t="shared" si="37"/>
        <v>20.071260561992585</v>
      </c>
      <c r="BG26" s="22">
        <f t="shared" si="7"/>
        <v>159.66774547880371</v>
      </c>
      <c r="BH26" s="62">
        <f t="shared" si="8"/>
        <v>453.00107881213705</v>
      </c>
      <c r="BI26" s="62">
        <f ca="1">AVERAGE(OFFSET($BH$3,0,0,'Données projet'!$E$11+1,1))-AVERAGE(OFFSET($H$3,0,0,'Données projet'!$E$11+1,1))</f>
        <v>216.95993967070063</v>
      </c>
      <c r="BJ26" s="62">
        <f t="shared" si="38"/>
        <v>208.79744153433245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2.8</v>
      </c>
      <c r="BY26" s="13">
        <f>IF('Données projet'!$A$114&gt;35,BY25+BX26-CG25,IF(A26&lt;'Données projet'!$A$114,$BV$205^A26,IF(A26='Données projet'!$A$114,'Données projet'!$B$114,BY25+BX26-CG25)))</f>
        <v>49.82992078990118</v>
      </c>
      <c r="BZ26" s="14">
        <f>BY26*VLOOKUP('Données projet'!$B$12,Paramètres!$A$1:$I$89,3,0)*VLOOKUP('Données projet'!$B$12,Paramètres!$A$1:$I$89,5,0)</f>
        <v>48.19549938799242</v>
      </c>
      <c r="CA26" s="14">
        <f t="shared" si="39"/>
        <v>14.146747261595545</v>
      </c>
      <c r="CB26" s="22">
        <f t="shared" si="10"/>
        <v>108.57941291469903</v>
      </c>
      <c r="CC26" s="62">
        <f t="shared" si="11"/>
        <v>401.91274624803236</v>
      </c>
      <c r="CD26" s="62">
        <f ca="1">AVERAGE(OFFSET($CC$3,0,0,'Données projet'!$E$12+1,1))-AVERAGE(OFFSET($H$3,0,0,'Données projet'!$E$12+1,1))</f>
        <v>329.13617179625538</v>
      </c>
      <c r="CE26" s="62">
        <f t="shared" si="40"/>
        <v>186.45728006007261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>
        <f>VLOOKUP(A27,'Données projet'!$A$35:$I$55,2,0)</f>
        <v>168</v>
      </c>
      <c r="L27" s="13">
        <f>VLOOKUP(A27,'Données projet'!$A$35:$I$55,9,0)</f>
        <v>16</v>
      </c>
      <c r="M27" s="13">
        <f t="array" ref="M27">INDEX(L:L,MIN(IF(ISNUMBER(L27:L223),ROW(L27:L223),"")))</f>
        <v>16</v>
      </c>
      <c r="N27" s="14">
        <f>IF('Données projet'!$A$36&gt;35,N26+M27-V26,IF(A27&lt;'Données projet'!$A$36,$K$205^A27,IF(A27='Données projet'!$A$36,'Données projet'!$B$36,N26+M27-V26)))</f>
        <v>168</v>
      </c>
      <c r="O27" s="14">
        <f>N27*VLOOKUP('Données projet'!$B$9,Paramètres!$A$1:$I$89,3,0)*VLOOKUP('Données projet'!$B$9,Paramètres!$A$1:$I$89,5,0)</f>
        <v>104.83200000000001</v>
      </c>
      <c r="P27" s="14">
        <f t="shared" si="33"/>
        <v>28.109974371137717</v>
      </c>
      <c r="Q27" s="22">
        <f t="shared" si="2"/>
        <v>231.54060536306486</v>
      </c>
      <c r="R27" s="62">
        <f t="shared" si="0"/>
        <v>524.87393869639823</v>
      </c>
      <c r="S27" s="62">
        <f ca="1">AVERAGE(OFFSET($R$3,0,0,'Données projet'!$E$9+1,1))-AVERAGE(OFFSET($H$3,0,0,'Données projet'!$E$9+1,1))</f>
        <v>175.05987582828078</v>
      </c>
      <c r="T27" s="62">
        <f t="shared" si="34"/>
        <v>268.54782308462387</v>
      </c>
      <c r="U27" s="16">
        <f>IF(ISNA(VLOOKUP(A27,'Données projet'!$A$35:$I$55,3,0)),0,VLOOKUP(A27,'Données projet'!$A$35:$I$55,3,0))</f>
        <v>3</v>
      </c>
      <c r="V27" s="16">
        <f>IF(ISNA(VLOOKUP(A27,'Données projet'!$A$35:$I$55,4,0)),0,VLOOKUP(A27,'Données projet'!$A$35:$I$55,4,0))</f>
        <v>29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0.06</v>
      </c>
      <c r="Y27" s="17">
        <f>IF(ISNA(VLOOKUP(A27,'Données projet'!$A$35:$I$55,7,0)),0%,VLOOKUP(A27,'Données projet'!$A$35:$I$55,7,0))</f>
        <v>0.4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1.4346594926657472</v>
      </c>
      <c r="AB27" s="23">
        <f>EXP(-LN(2)/2)*AB26+(1-EXP(-LN(2)/2))/(LN(2)/2)*V27*Y27*VLOOKUP('Données projet'!$B$9,Paramètres!$A$1:$I$89,3,0)*0.475*44/12</f>
        <v>11.323251500396582</v>
      </c>
      <c r="AC27" s="24">
        <f t="shared" si="3"/>
        <v>12.757910993062328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</v>
      </c>
      <c r="AI27" s="14">
        <f>IF('Données projet'!$A$62&gt;35,AI26+AH27-AQ26,IF(A27&lt;'Données projet'!$A$62,$AF$205^A27,IF(A27='Données projet'!$A$62,'Données projet'!$B$62,AI26+AH27-AQ26)))</f>
        <v>59.060091900479499</v>
      </c>
      <c r="AJ27" s="14">
        <f>AI27*VLOOKUP('Données projet'!$B$10,Paramètres!$A$1:$I$89,3,0)*VLOOKUP('Données projet'!$B$10,Paramètres!$A$1:$I$89,5,0)</f>
        <v>53.437571151553847</v>
      </c>
      <c r="AK27" s="14">
        <f t="shared" si="35"/>
        <v>15.498062862253629</v>
      </c>
      <c r="AL27" s="22">
        <f t="shared" si="4"/>
        <v>120.06289590738133</v>
      </c>
      <c r="AM27" s="62">
        <f t="shared" si="5"/>
        <v>413.39622924071466</v>
      </c>
      <c r="AN27" s="62">
        <f ca="1">AVERAGE(OFFSET($AM$3,0,0,'Données projet'!$E$10+1,1))-AVERAGE(OFFSET($H$3,0,0,'Données projet'!$E$10+1,1))</f>
        <v>302.55602998433079</v>
      </c>
      <c r="AO27" s="62">
        <f t="shared" si="36"/>
        <v>172.32171001882188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10.6</v>
      </c>
      <c r="BD27" s="13">
        <f>IF('Données projet'!$A$88&gt;35,BD26+BC27-BL26,IF(A27&lt;'Données projet'!$A$88,$BA$205^A27,IF(A27='Données projet'!$A$88,'Données projet'!$B$88,BD26+BC27-BL26)))</f>
        <v>102.39999999999996</v>
      </c>
      <c r="BE27" s="14">
        <f>BD27*VLOOKUP('Données projet'!$B$11,Paramètres!$A$1:$I$89,3,0)*VLOOKUP('Données projet'!$B$11,Paramètres!$A$1:$I$89,5,0)</f>
        <v>79.871999999999971</v>
      </c>
      <c r="BF27" s="14">
        <f t="shared" si="37"/>
        <v>22.105884547145401</v>
      </c>
      <c r="BG27" s="22">
        <f t="shared" si="7"/>
        <v>177.61148225294485</v>
      </c>
      <c r="BH27" s="62">
        <f t="shared" si="8"/>
        <v>470.9448155862782</v>
      </c>
      <c r="BI27" s="62">
        <f ca="1">AVERAGE(OFFSET($BH$3,0,0,'Données projet'!$E$11+1,1))-AVERAGE(OFFSET($H$3,0,0,'Données projet'!$E$11+1,1))</f>
        <v>216.95993967070063</v>
      </c>
      <c r="BJ27" s="62">
        <f t="shared" si="38"/>
        <v>208.79744153433245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2.8</v>
      </c>
      <c r="BY27" s="13">
        <f>IF('Données projet'!$A$114&gt;35,BY26+BX27-CG26,IF(A27&lt;'Données projet'!$A$114,$BV$205^A27,IF(A27='Données projet'!$A$114,'Données projet'!$B$114,BY26+BX27-CG26)))</f>
        <v>59.060091900479499</v>
      </c>
      <c r="BZ27" s="14">
        <f>BY27*VLOOKUP('Données projet'!$B$12,Paramètres!$A$1:$I$89,3,0)*VLOOKUP('Données projet'!$B$12,Paramètres!$A$1:$I$89,5,0)</f>
        <v>57.122920886143774</v>
      </c>
      <c r="CA27" s="14">
        <f t="shared" si="39"/>
        <v>16.43878592395464</v>
      </c>
      <c r="CB27" s="22">
        <f t="shared" si="10"/>
        <v>128.11997269425476</v>
      </c>
      <c r="CC27" s="62">
        <f t="shared" si="11"/>
        <v>421.45330602758804</v>
      </c>
      <c r="CD27" s="62">
        <f ca="1">AVERAGE(OFFSET($CC$3,0,0,'Données projet'!$E$12+1,1))-AVERAGE(OFFSET($H$3,0,0,'Données projet'!$E$12+1,1))</f>
        <v>329.13617179625538</v>
      </c>
      <c r="CE27" s="62">
        <f t="shared" si="40"/>
        <v>186.45728006007261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14.166666666666666</v>
      </c>
      <c r="N28" s="14">
        <f>IF('Données projet'!$A$36&gt;35,N27+M28-V27,IF(A28&lt;'Données projet'!$A$36,$K$205^A28,IF(A28='Données projet'!$A$36,'Données projet'!$B$36,N27+M28-V27)))</f>
        <v>153.16666666666666</v>
      </c>
      <c r="O28" s="14">
        <f>N28*VLOOKUP('Données projet'!$B$9,Paramètres!$A$1:$I$89,3,0)*VLOOKUP('Données projet'!$B$9,Paramètres!$A$1:$I$89,5,0)</f>
        <v>95.575999999999993</v>
      </c>
      <c r="P28" s="14">
        <f t="shared" si="33"/>
        <v>25.905281107545633</v>
      </c>
      <c r="Q28" s="22">
        <f t="shared" si="2"/>
        <v>211.57989792897527</v>
      </c>
      <c r="R28" s="62">
        <f t="shared" si="0"/>
        <v>504.91323126230861</v>
      </c>
      <c r="S28" s="62">
        <f ca="1">AVERAGE(OFFSET($R$3,0,0,'Données projet'!$E$9+1,1))-AVERAGE(OFFSET($H$3,0,0,'Données projet'!$E$9+1,1))</f>
        <v>175.05987582828078</v>
      </c>
      <c r="T28" s="62">
        <f t="shared" si="34"/>
        <v>268.54782308462387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1.3954286533933387</v>
      </c>
      <c r="AB28" s="23">
        <f>EXP(-LN(2)/2)*AB27+(1-EXP(-LN(2)/2))/(LN(2)/2)*V28*Y28*VLOOKUP('Données projet'!$B$9,Paramètres!$A$1:$I$89,3,0)*0.475*44/12</f>
        <v>8.0067479210111721</v>
      </c>
      <c r="AC28" s="24">
        <f t="shared" si="3"/>
        <v>9.4021765744045105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70</v>
      </c>
      <c r="AG28" s="13">
        <f>VLOOKUP(A28,'Données projet'!$A$61:$I$81,9,0)</f>
        <v>2.8</v>
      </c>
      <c r="AH28" s="13">
        <f t="array" ref="AH28">INDEX(AG:AG,MIN(IF(ISNUMBER(AG28:AG224),ROW(AG28:AG224),"")))</f>
        <v>2.8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63.335999999999991</v>
      </c>
      <c r="AK28" s="14">
        <f t="shared" si="35"/>
        <v>18.009040022946227</v>
      </c>
      <c r="AL28" s="22">
        <f t="shared" si="4"/>
        <v>141.67594470663133</v>
      </c>
      <c r="AM28" s="62">
        <f t="shared" si="5"/>
        <v>435.00927803996467</v>
      </c>
      <c r="AN28" s="62">
        <f ca="1">AVERAGE(OFFSET($AM$3,0,0,'Données projet'!$E$10+1,1))-AVERAGE(OFFSET($H$3,0,0,'Données projet'!$E$10+1,1))</f>
        <v>302.55602998433079</v>
      </c>
      <c r="AO28" s="62">
        <f t="shared" si="36"/>
        <v>172.32171001882188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113</v>
      </c>
      <c r="BB28" s="13">
        <f>VLOOKUP(A28,'Données projet'!$A$87:$I$107,9,0)</f>
        <v>10.6</v>
      </c>
      <c r="BC28" s="13">
        <f t="array" ref="BC28">INDEX(BB:BB,MIN(IF(ISNUMBER(BB28:BB224),ROW(BB28:BB224),"")))</f>
        <v>10.6</v>
      </c>
      <c r="BD28" s="13">
        <f>IF('Données projet'!$A$88&gt;35,BD27+BC28-BL27,IF(A28&lt;'Données projet'!$A$88,$BA$205^A28,IF(A28='Données projet'!$A$88,'Données projet'!$B$88,BD27+BC28-BL27)))</f>
        <v>112.99999999999996</v>
      </c>
      <c r="BE28" s="14">
        <f>BD28*VLOOKUP('Données projet'!$B$11,Paramètres!$A$1:$I$89,3,0)*VLOOKUP('Données projet'!$B$11,Paramètres!$A$1:$I$89,5,0)</f>
        <v>88.139999999999972</v>
      </c>
      <c r="BF28" s="14">
        <f t="shared" si="37"/>
        <v>24.116094026318823</v>
      </c>
      <c r="BG28" s="22">
        <f t="shared" si="7"/>
        <v>195.51269709583855</v>
      </c>
      <c r="BH28" s="62">
        <f t="shared" si="8"/>
        <v>488.84603042917183</v>
      </c>
      <c r="BI28" s="62">
        <f ca="1">AVERAGE(OFFSET($BH$3,0,0,'Données projet'!$E$11+1,1))-AVERAGE(OFFSET($H$3,0,0,'Données projet'!$E$11+1,1))</f>
        <v>216.95993967070063</v>
      </c>
      <c r="BJ28" s="62">
        <f t="shared" si="38"/>
        <v>208.79744153433245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27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70</v>
      </c>
      <c r="BW28" s="13">
        <f>VLOOKUP(A28,'Données projet'!$A$113:$I$133,9,0)</f>
        <v>2.8</v>
      </c>
      <c r="BX28" s="13">
        <f t="array" ref="BX28">INDEX(BW:BW,MIN(IF(ISNUMBER(BW28:BW224),ROW(BW28:BW224),"")))</f>
        <v>2.8</v>
      </c>
      <c r="BY28" s="13">
        <f>IF('Données projet'!$A$114&gt;35,BY27+BX28-CG27,IF(A28&lt;'Données projet'!$A$114,$BV$205^A28,IF(A28='Données projet'!$A$114,'Données projet'!$B$114,BY27+BX28-CG27)))</f>
        <v>70</v>
      </c>
      <c r="BZ28" s="14">
        <f>BY28*VLOOKUP('Données projet'!$B$12,Paramètres!$A$1:$I$89,3,0)*VLOOKUP('Données projet'!$B$12,Paramètres!$A$1:$I$89,5,0)</f>
        <v>67.703999999999994</v>
      </c>
      <c r="CA28" s="14">
        <f t="shared" si="39"/>
        <v>19.102177882771514</v>
      </c>
      <c r="CB28" s="22">
        <f t="shared" si="10"/>
        <v>151.18742647916039</v>
      </c>
      <c r="CC28" s="62">
        <f t="shared" si="11"/>
        <v>444.52075981249368</v>
      </c>
      <c r="CD28" s="62">
        <f ca="1">AVERAGE(OFFSET($CC$3,0,0,'Données projet'!$E$12+1,1))-AVERAGE(OFFSET($H$3,0,0,'Données projet'!$E$12+1,1))</f>
        <v>329.13617179625538</v>
      </c>
      <c r="CE28" s="62">
        <f t="shared" si="40"/>
        <v>186.45728006007261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14.166666666666666</v>
      </c>
      <c r="N29" s="14">
        <f>IF('Données projet'!$A$36&gt;35,N28+M29-V28,IF(A29&lt;'Données projet'!$A$36,$K$205^A29,IF(A29='Données projet'!$A$36,'Données projet'!$B$36,N28+M29-V28)))</f>
        <v>167.33333333333331</v>
      </c>
      <c r="O29" s="14">
        <f>N29*VLOOKUP('Données projet'!$B$9,Paramètres!$A$1:$I$89,3,0)*VLOOKUP('Données projet'!$B$9,Paramètres!$A$1:$I$89,5,0)</f>
        <v>104.416</v>
      </c>
      <c r="P29" s="14">
        <f t="shared" si="33"/>
        <v>28.01138818767625</v>
      </c>
      <c r="Q29" s="22">
        <f t="shared" si="2"/>
        <v>230.64436776020281</v>
      </c>
      <c r="R29" s="62">
        <f t="shared" si="0"/>
        <v>523.9777010935361</v>
      </c>
      <c r="S29" s="62">
        <f ca="1">AVERAGE(OFFSET($R$3,0,0,'Données projet'!$E$9+1,1))-AVERAGE(OFFSET($H$3,0,0,'Données projet'!$E$9+1,1))</f>
        <v>175.05987582828078</v>
      </c>
      <c r="T29" s="62">
        <f t="shared" si="34"/>
        <v>268.54782308462387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1.3572705834838943</v>
      </c>
      <c r="AB29" s="23">
        <f>EXP(-LN(2)/2)*AB28+(1-EXP(-LN(2)/2))/(LN(2)/2)*V29*Y29*VLOOKUP('Données projet'!$B$9,Paramètres!$A$1:$I$89,3,0)*0.475*44/12</f>
        <v>5.6616257501982918</v>
      </c>
      <c r="AC29" s="24">
        <f t="shared" si="3"/>
        <v>7.0188963336821857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77</v>
      </c>
      <c r="AJ29" s="14">
        <f>AI29*VLOOKUP('Données projet'!$B$10,Paramètres!$A$1:$I$89,3,0)*VLOOKUP('Données projet'!$B$10,Paramètres!$A$1:$I$89,5,0)</f>
        <v>69.669600000000003</v>
      </c>
      <c r="AK29" s="14">
        <f t="shared" si="35"/>
        <v>19.591385027476957</v>
      </c>
      <c r="AL29" s="22">
        <f t="shared" si="4"/>
        <v>155.46288225618903</v>
      </c>
      <c r="AM29" s="62">
        <f t="shared" si="5"/>
        <v>448.79621558952238</v>
      </c>
      <c r="AN29" s="62">
        <f ca="1">AVERAGE(OFFSET($AM$3,0,0,'Données projet'!$E$10+1,1))-AVERAGE(OFFSET($H$3,0,0,'Données projet'!$E$10+1,1))</f>
        <v>302.55602998433079</v>
      </c>
      <c r="AO29" s="62">
        <f t="shared" si="36"/>
        <v>172.32171001882188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11.5</v>
      </c>
      <c r="BD29" s="13">
        <f>IF('Données projet'!$A$88&gt;35,BD28+BC29-BL28,IF(A29&lt;'Données projet'!$A$88,$BA$205^A29,IF(A29='Données projet'!$A$88,'Données projet'!$B$88,BD28+BC29-BL28)))</f>
        <v>97.499999999999957</v>
      </c>
      <c r="BE29" s="14">
        <f>BD29*VLOOKUP('Données projet'!$B$11,Paramètres!$A$1:$I$89,3,0)*VLOOKUP('Données projet'!$B$11,Paramètres!$A$1:$I$89,5,0)</f>
        <v>76.049999999999969</v>
      </c>
      <c r="BF29" s="14">
        <f t="shared" si="37"/>
        <v>21.168560890749262</v>
      </c>
      <c r="BG29" s="22">
        <f t="shared" si="7"/>
        <v>169.32232688472158</v>
      </c>
      <c r="BH29" s="62">
        <f t="shared" si="8"/>
        <v>462.65566021805489</v>
      </c>
      <c r="BI29" s="62">
        <f ca="1">AVERAGE(OFFSET($BH$3,0,0,'Données projet'!$E$11+1,1))-AVERAGE(OFFSET($H$3,0,0,'Données projet'!$E$11+1,1))</f>
        <v>216.95993967070063</v>
      </c>
      <c r="BJ29" s="62">
        <f t="shared" si="38"/>
        <v>208.79744153433245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77</v>
      </c>
      <c r="BZ29" s="14">
        <f>BY29*VLOOKUP('Données projet'!$B$12,Paramètres!$A$1:$I$89,3,0)*VLOOKUP('Données projet'!$B$12,Paramètres!$A$1:$I$89,5,0)</f>
        <v>74.474400000000003</v>
      </c>
      <c r="CA29" s="14">
        <f t="shared" si="39"/>
        <v>20.780570274034375</v>
      </c>
      <c r="CB29" s="22">
        <f t="shared" si="10"/>
        <v>165.90240656060988</v>
      </c>
      <c r="CC29" s="62">
        <f t="shared" si="11"/>
        <v>459.23573989394322</v>
      </c>
      <c r="CD29" s="62">
        <f ca="1">AVERAGE(OFFSET($CC$3,0,0,'Données projet'!$E$12+1,1))-AVERAGE(OFFSET($H$3,0,0,'Données projet'!$E$12+1,1))</f>
        <v>329.13617179625538</v>
      </c>
      <c r="CE29" s="62">
        <f t="shared" si="40"/>
        <v>186.45728006007261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14.166666666666666</v>
      </c>
      <c r="N30" s="14">
        <f>IF('Données projet'!$A$36&gt;35,N29+M30-V29,IF(A30&lt;'Données projet'!$A$36,$K$205^A30,IF(A30='Données projet'!$A$36,'Données projet'!$B$36,N29+M30-V29)))</f>
        <v>181.49999999999997</v>
      </c>
      <c r="O30" s="14">
        <f>N30*VLOOKUP('Données projet'!$B$9,Paramètres!$A$1:$I$89,3,0)*VLOOKUP('Données projet'!$B$9,Paramètres!$A$1:$I$89,5,0)</f>
        <v>113.25599999999997</v>
      </c>
      <c r="P30" s="14">
        <f t="shared" si="33"/>
        <v>30.096816336106439</v>
      </c>
      <c r="Q30" s="22">
        <f t="shared" si="2"/>
        <v>249.67282178538531</v>
      </c>
      <c r="R30" s="62">
        <f t="shared" si="0"/>
        <v>543.00615511871865</v>
      </c>
      <c r="S30" s="62">
        <f ca="1">AVERAGE(OFFSET($R$3,0,0,'Données projet'!$E$9+1,1))-AVERAGE(OFFSET($H$3,0,0,'Données projet'!$E$9+1,1))</f>
        <v>175.05987582828078</v>
      </c>
      <c r="T30" s="62">
        <f t="shared" si="34"/>
        <v>268.54782308462387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1.3201559480027694</v>
      </c>
      <c r="AB30" s="23">
        <f>EXP(-LN(2)/2)*AB29+(1-EXP(-LN(2)/2))/(LN(2)/2)*V30*Y30*VLOOKUP('Données projet'!$B$9,Paramètres!$A$1:$I$89,3,0)*0.475*44/12</f>
        <v>4.0033739605055869</v>
      </c>
      <c r="AC30" s="24">
        <f t="shared" si="3"/>
        <v>5.3235299085083563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84</v>
      </c>
      <c r="AJ30" s="14">
        <f>AI30*VLOOKUP('Données projet'!$B$10,Paramètres!$A$1:$I$89,3,0)*VLOOKUP('Données projet'!$B$10,Paramètres!$A$1:$I$89,5,0)</f>
        <v>76.003200000000007</v>
      </c>
      <c r="AK30" s="14">
        <f t="shared" si="35"/>
        <v>21.157049992000456</v>
      </c>
      <c r="AL30" s="22">
        <f t="shared" si="4"/>
        <v>169.22076873606747</v>
      </c>
      <c r="AM30" s="62">
        <f t="shared" si="5"/>
        <v>462.55410206940076</v>
      </c>
      <c r="AN30" s="62">
        <f ca="1">AVERAGE(OFFSET($AM$3,0,0,'Données projet'!$E$10+1,1))-AVERAGE(OFFSET($H$3,0,0,'Données projet'!$E$10+1,1))</f>
        <v>302.55602998433079</v>
      </c>
      <c r="AO30" s="62">
        <f t="shared" si="36"/>
        <v>172.32171001882188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11.5</v>
      </c>
      <c r="BD30" s="13">
        <f>IF('Données projet'!$A$88&gt;35,BD29+BC30-BL29,IF(A30&lt;'Données projet'!$A$88,$BA$205^A30,IF(A30='Données projet'!$A$88,'Données projet'!$B$88,BD29+BC30-BL29)))</f>
        <v>108.99999999999996</v>
      </c>
      <c r="BE30" s="14">
        <f>BD30*VLOOKUP('Données projet'!$B$11,Paramètres!$A$1:$I$89,3,0)*VLOOKUP('Données projet'!$B$11,Paramètres!$A$1:$I$89,5,0)</f>
        <v>85.019999999999968</v>
      </c>
      <c r="BF30" s="14">
        <f t="shared" si="37"/>
        <v>23.360218970693097</v>
      </c>
      <c r="BG30" s="22">
        <f t="shared" si="7"/>
        <v>188.76221470729038</v>
      </c>
      <c r="BH30" s="62">
        <f t="shared" si="8"/>
        <v>482.09554804062373</v>
      </c>
      <c r="BI30" s="62">
        <f ca="1">AVERAGE(OFFSET($BH$3,0,0,'Données projet'!$E$11+1,1))-AVERAGE(OFFSET($H$3,0,0,'Données projet'!$E$11+1,1))</f>
        <v>216.95993967070063</v>
      </c>
      <c r="BJ30" s="62">
        <f t="shared" si="38"/>
        <v>208.79744153433245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84</v>
      </c>
      <c r="BZ30" s="14">
        <f>BY30*VLOOKUP('Données projet'!$B$12,Paramètres!$A$1:$I$89,3,0)*VLOOKUP('Données projet'!$B$12,Paramètres!$A$1:$I$89,5,0)</f>
        <v>81.244799999999998</v>
      </c>
      <c r="CA30" s="14">
        <f t="shared" si="39"/>
        <v>22.441270156928962</v>
      </c>
      <c r="CB30" s="22">
        <f t="shared" si="10"/>
        <v>180.58657218998462</v>
      </c>
      <c r="CC30" s="62">
        <f t="shared" si="11"/>
        <v>473.91990552331794</v>
      </c>
      <c r="CD30" s="62">
        <f ca="1">AVERAGE(OFFSET($CC$3,0,0,'Données projet'!$E$12+1,1))-AVERAGE(OFFSET($H$3,0,0,'Données projet'!$E$12+1,1))</f>
        <v>329.13617179625538</v>
      </c>
      <c r="CE30" s="62">
        <f t="shared" si="40"/>
        <v>186.45728006007261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14.166666666666666</v>
      </c>
      <c r="N31" s="14">
        <f>IF('Données projet'!$A$36&gt;35,N30+M31-V30,IF(A31&lt;'Données projet'!$A$36,$K$205^A31,IF(A31='Données projet'!$A$36,'Données projet'!$B$36,N30+M31-V30)))</f>
        <v>195.66666666666663</v>
      </c>
      <c r="O31" s="14">
        <f>N31*VLOOKUP('Données projet'!$B$9,Paramètres!$A$1:$I$89,3,0)*VLOOKUP('Données projet'!$B$9,Paramètres!$A$1:$I$89,5,0)</f>
        <v>122.09599999999998</v>
      </c>
      <c r="P31" s="14">
        <f t="shared" si="33"/>
        <v>32.163363121463028</v>
      </c>
      <c r="Q31" s="22">
        <f t="shared" si="2"/>
        <v>268.6683907698814</v>
      </c>
      <c r="R31" s="62">
        <f t="shared" si="0"/>
        <v>562.00172410321466</v>
      </c>
      <c r="S31" s="62">
        <f ca="1">AVERAGE(OFFSET($R$3,0,0,'Données projet'!$E$9+1,1))-AVERAGE(OFFSET($H$3,0,0,'Données projet'!$E$9+1,1))</f>
        <v>175.05987582828078</v>
      </c>
      <c r="T31" s="62">
        <f t="shared" si="34"/>
        <v>268.54782308462387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1.2840562141806495</v>
      </c>
      <c r="AB31" s="23">
        <f>EXP(-LN(2)/2)*AB30+(1-EXP(-LN(2)/2))/(LN(2)/2)*V31*Y31*VLOOKUP('Données projet'!$B$9,Paramètres!$A$1:$I$89,3,0)*0.475*44/12</f>
        <v>2.8308128750991464</v>
      </c>
      <c r="AC31" s="24">
        <f t="shared" si="3"/>
        <v>4.1148690892797957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91</v>
      </c>
      <c r="AJ31" s="14">
        <f>AI31*VLOOKUP('Données projet'!$B$10,Paramètres!$A$1:$I$89,3,0)*VLOOKUP('Données projet'!$B$10,Paramètres!$A$1:$I$89,5,0)</f>
        <v>82.336799999999997</v>
      </c>
      <c r="AK31" s="14">
        <f t="shared" si="35"/>
        <v>22.707582950885364</v>
      </c>
      <c r="AL31" s="22">
        <f t="shared" si="4"/>
        <v>182.95230030612535</v>
      </c>
      <c r="AM31" s="62">
        <f t="shared" si="5"/>
        <v>476.28563363945864</v>
      </c>
      <c r="AN31" s="62">
        <f ca="1">AVERAGE(OFFSET($AM$3,0,0,'Données projet'!$E$10+1,1))-AVERAGE(OFFSET($H$3,0,0,'Données projet'!$E$10+1,1))</f>
        <v>302.55602998433079</v>
      </c>
      <c r="AO31" s="62">
        <f t="shared" si="36"/>
        <v>172.32171001882188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11.5</v>
      </c>
      <c r="BD31" s="13">
        <f>IF('Données projet'!$A$88&gt;35,BD30+BC31-BL30,IF(A31&lt;'Données projet'!$A$88,$BA$205^A31,IF(A31='Données projet'!$A$88,'Données projet'!$B$88,BD30+BC31-BL30)))</f>
        <v>120.49999999999996</v>
      </c>
      <c r="BE31" s="14">
        <f>BD31*VLOOKUP('Données projet'!$B$11,Paramètres!$A$1:$I$89,3,0)*VLOOKUP('Données projet'!$B$11,Paramètres!$A$1:$I$89,5,0)</f>
        <v>93.989999999999966</v>
      </c>
      <c r="BF31" s="14">
        <f t="shared" si="37"/>
        <v>25.525074036970054</v>
      </c>
      <c r="BG31" s="22">
        <f t="shared" si="7"/>
        <v>208.15542061438944</v>
      </c>
      <c r="BH31" s="62">
        <f t="shared" si="8"/>
        <v>501.48875394772278</v>
      </c>
      <c r="BI31" s="62">
        <f ca="1">AVERAGE(OFFSET($BH$3,0,0,'Données projet'!$E$11+1,1))-AVERAGE(OFFSET($H$3,0,0,'Données projet'!$E$11+1,1))</f>
        <v>216.95993967070063</v>
      </c>
      <c r="BJ31" s="62">
        <f t="shared" si="38"/>
        <v>208.79744153433245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91</v>
      </c>
      <c r="BZ31" s="14">
        <f>BY31*VLOOKUP('Données projet'!$B$12,Paramètres!$A$1:$I$89,3,0)*VLOOKUP('Données projet'!$B$12,Paramètres!$A$1:$I$89,5,0)</f>
        <v>88.015200000000007</v>
      </c>
      <c r="CA31" s="14">
        <f t="shared" si="39"/>
        <v>24.085919530575829</v>
      </c>
      <c r="CB31" s="22">
        <f t="shared" si="10"/>
        <v>195.24278318241954</v>
      </c>
      <c r="CC31" s="62">
        <f t="shared" si="11"/>
        <v>488.57611651575286</v>
      </c>
      <c r="CD31" s="62">
        <f ca="1">AVERAGE(OFFSET($CC$3,0,0,'Données projet'!$E$12+1,1))-AVERAGE(OFFSET($H$3,0,0,'Données projet'!$E$12+1,1))</f>
        <v>329.13617179625538</v>
      </c>
      <c r="CE31" s="62">
        <f t="shared" si="40"/>
        <v>186.45728006007261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14.166666666666666</v>
      </c>
      <c r="N32" s="14">
        <f>IF('Données projet'!$A$36&gt;35,N31+M32-V31,IF(A32&lt;'Données projet'!$A$36,$K$205^A32,IF(A32='Données projet'!$A$36,'Données projet'!$B$36,N31+M32-V31)))</f>
        <v>209.83333333333329</v>
      </c>
      <c r="O32" s="14">
        <f>N32*VLOOKUP('Données projet'!$B$9,Paramètres!$A$1:$I$89,3,0)*VLOOKUP('Données projet'!$B$9,Paramètres!$A$1:$I$89,5,0)</f>
        <v>130.93599999999998</v>
      </c>
      <c r="P32" s="14">
        <f t="shared" si="33"/>
        <v>34.21255106176632</v>
      </c>
      <c r="Q32" s="22">
        <f t="shared" si="2"/>
        <v>287.63372643257628</v>
      </c>
      <c r="R32" s="62">
        <f t="shared" si="0"/>
        <v>580.96705976590965</v>
      </c>
      <c r="S32" s="62">
        <f ca="1">AVERAGE(OFFSET($R$3,0,0,'Données projet'!$E$9+1,1))-AVERAGE(OFFSET($H$3,0,0,'Données projet'!$E$9+1,1))</f>
        <v>175.05987582828078</v>
      </c>
      <c r="T32" s="62">
        <f t="shared" si="34"/>
        <v>268.54782308462387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1.2489436294782981</v>
      </c>
      <c r="AB32" s="23">
        <f>EXP(-LN(2)/2)*AB31+(1-EXP(-LN(2)/2))/(LN(2)/2)*V32*Y32*VLOOKUP('Données projet'!$B$9,Paramètres!$A$1:$I$89,3,0)*0.475*44/12</f>
        <v>2.0016869802527939</v>
      </c>
      <c r="AC32" s="24">
        <f t="shared" si="3"/>
        <v>3.250630609731092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98</v>
      </c>
      <c r="AJ32" s="14">
        <f>AI32*VLOOKUP('Données projet'!$B$10,Paramètres!$A$1:$I$89,3,0)*VLOOKUP('Données projet'!$B$10,Paramètres!$A$1:$I$89,5,0)</f>
        <v>88.670400000000001</v>
      </c>
      <c r="AK32" s="14">
        <f t="shared" si="35"/>
        <v>24.244280250395512</v>
      </c>
      <c r="AL32" s="22">
        <f t="shared" si="4"/>
        <v>196.65973476943884</v>
      </c>
      <c r="AM32" s="62">
        <f t="shared" si="5"/>
        <v>489.99306810277216</v>
      </c>
      <c r="AN32" s="62">
        <f ca="1">AVERAGE(OFFSET($AM$3,0,0,'Données projet'!$E$10+1,1))-AVERAGE(OFFSET($H$3,0,0,'Données projet'!$E$10+1,1))</f>
        <v>302.55602998433079</v>
      </c>
      <c r="AO32" s="62">
        <f t="shared" si="36"/>
        <v>172.32171001882188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11.5</v>
      </c>
      <c r="BD32" s="13">
        <f>IF('Données projet'!$A$88&gt;35,BD31+BC32-BL31,IF(A32&lt;'Données projet'!$A$88,$BA$205^A32,IF(A32='Données projet'!$A$88,'Données projet'!$B$88,BD31+BC32-BL31)))</f>
        <v>131.99999999999994</v>
      </c>
      <c r="BE32" s="14">
        <f>BD32*VLOOKUP('Données projet'!$B$11,Paramètres!$A$1:$I$89,3,0)*VLOOKUP('Données projet'!$B$11,Paramètres!$A$1:$I$89,5,0)</f>
        <v>102.95999999999997</v>
      </c>
      <c r="BF32" s="14">
        <f t="shared" si="37"/>
        <v>27.665975080374633</v>
      </c>
      <c r="BG32" s="22">
        <f t="shared" si="7"/>
        <v>227.50690659831903</v>
      </c>
      <c r="BH32" s="62">
        <f t="shared" si="8"/>
        <v>520.84023993165238</v>
      </c>
      <c r="BI32" s="62">
        <f ca="1">AVERAGE(OFFSET($BH$3,0,0,'Données projet'!$E$11+1,1))-AVERAGE(OFFSET($H$3,0,0,'Données projet'!$E$11+1,1))</f>
        <v>216.95993967070063</v>
      </c>
      <c r="BJ32" s="62">
        <f t="shared" si="38"/>
        <v>208.79744153433245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98</v>
      </c>
      <c r="BZ32" s="14">
        <f>BY32*VLOOKUP('Données projet'!$B$12,Paramètres!$A$1:$I$89,3,0)*VLOOKUP('Données projet'!$B$12,Paramètres!$A$1:$I$89,5,0)</f>
        <v>94.785600000000002</v>
      </c>
      <c r="CA32" s="14">
        <f t="shared" si="39"/>
        <v>25.715893428674526</v>
      </c>
      <c r="CB32" s="22">
        <f t="shared" si="10"/>
        <v>209.87343438827483</v>
      </c>
      <c r="CC32" s="62">
        <f t="shared" si="11"/>
        <v>503.20676772160812</v>
      </c>
      <c r="CD32" s="62">
        <f ca="1">AVERAGE(OFFSET($CC$3,0,0,'Données projet'!$E$12+1,1))-AVERAGE(OFFSET($H$3,0,0,'Données projet'!$E$12+1,1))</f>
        <v>329.13617179625538</v>
      </c>
      <c r="CE32" s="62">
        <f t="shared" si="40"/>
        <v>186.45728006007261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224</v>
      </c>
      <c r="L33" s="13">
        <f>VLOOKUP(A33,'Données projet'!$A$35:$I$55,9,0)</f>
        <v>14.166666666666666</v>
      </c>
      <c r="M33" s="13">
        <f t="array" ref="M33">INDEX(L:L,MIN(IF(ISNUMBER(L33:L229),ROW(L33:L229),"")))</f>
        <v>14.166666666666666</v>
      </c>
      <c r="N33" s="14">
        <f>IF('Données projet'!$A$36&gt;35,N32+M33-V32,IF(A33&lt;'Données projet'!$A$36,$K$205^A33,IF(A33='Données projet'!$A$36,'Données projet'!$B$36,N32+M33-V32)))</f>
        <v>223.99999999999994</v>
      </c>
      <c r="O33" s="14">
        <f>N33*VLOOKUP('Données projet'!$B$9,Paramètres!$A$1:$I$89,3,0)*VLOOKUP('Données projet'!$B$9,Paramètres!$A$1:$I$89,5,0)</f>
        <v>139.77599999999995</v>
      </c>
      <c r="P33" s="14">
        <f t="shared" si="33"/>
        <v>36.245685459195258</v>
      </c>
      <c r="Q33" s="22">
        <f t="shared" si="2"/>
        <v>306.57110217476503</v>
      </c>
      <c r="R33" s="62">
        <f t="shared" si="0"/>
        <v>599.90443550809835</v>
      </c>
      <c r="S33" s="62">
        <f ca="1">AVERAGE(OFFSET($R$3,0,0,'Données projet'!$E$9+1,1))-AVERAGE(OFFSET($H$3,0,0,'Données projet'!$E$9+1,1))</f>
        <v>175.05987582828078</v>
      </c>
      <c r="T33" s="62">
        <f t="shared" si="34"/>
        <v>268.54782308462387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53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0.18</v>
      </c>
      <c r="Y33" s="17">
        <f>IF(ISNA(VLOOKUP(A33,'Données projet'!$A$35:$I$55,7,0)),0%,VLOOKUP(A33,'Données projet'!$A$35:$I$55,7,0))</f>
        <v>0.3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9.0806829014184967</v>
      </c>
      <c r="AB33" s="23">
        <f>EXP(-LN(2)/2)*AB32+(1-EXP(-LN(2)/2))/(LN(2)/2)*V33*Y33*VLOOKUP('Données projet'!$B$9,Paramètres!$A$1:$I$89,3,0)*0.475*44/12</f>
        <v>12.648962400688156</v>
      </c>
      <c r="AC33" s="24">
        <f t="shared" si="3"/>
        <v>21.729645302106654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105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105</v>
      </c>
      <c r="AJ33" s="14">
        <f>AI33*VLOOKUP('Données projet'!$B$10,Paramètres!$A$1:$I$89,3,0)*VLOOKUP('Données projet'!$B$10,Paramètres!$A$1:$I$89,5,0)</f>
        <v>95.004000000000005</v>
      </c>
      <c r="AK33" s="14">
        <f t="shared" si="35"/>
        <v>25.768242550600785</v>
      </c>
      <c r="AL33" s="22">
        <f t="shared" si="4"/>
        <v>210.34498910896306</v>
      </c>
      <c r="AM33" s="62">
        <f t="shared" si="5"/>
        <v>503.67832244229635</v>
      </c>
      <c r="AN33" s="62">
        <f ca="1">AVERAGE(OFFSET($AM$3,0,0,'Données projet'!$E$10+1,1))-AVERAGE(OFFSET($H$3,0,0,'Données projet'!$E$10+1,1))</f>
        <v>302.55602998433079</v>
      </c>
      <c r="AO33" s="62">
        <f t="shared" si="36"/>
        <v>172.32171001882188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11.5</v>
      </c>
      <c r="BD33" s="13">
        <f>IF('Données projet'!$A$88&gt;35,BD32+BC33-BL32,IF(A33&lt;'Données projet'!$A$88,$BA$205^A33,IF(A33='Données projet'!$A$88,'Données projet'!$B$88,BD32+BC33-BL32)))</f>
        <v>143.49999999999994</v>
      </c>
      <c r="BE33" s="14">
        <f>BD33*VLOOKUP('Données projet'!$B$11,Paramètres!$A$1:$I$89,3,0)*VLOOKUP('Données projet'!$B$11,Paramètres!$A$1:$I$89,5,0)</f>
        <v>111.92999999999996</v>
      </c>
      <c r="BF33" s="14">
        <f t="shared" si="37"/>
        <v>29.785246291563833</v>
      </c>
      <c r="BG33" s="22">
        <f t="shared" si="7"/>
        <v>246.82072062447358</v>
      </c>
      <c r="BH33" s="62">
        <f t="shared" si="8"/>
        <v>540.15405395780692</v>
      </c>
      <c r="BI33" s="62">
        <f ca="1">AVERAGE(OFFSET($BH$3,0,0,'Données projet'!$E$11+1,1))-AVERAGE(OFFSET($H$3,0,0,'Données projet'!$E$11+1,1))</f>
        <v>216.95993967070063</v>
      </c>
      <c r="BJ33" s="62">
        <f t="shared" si="38"/>
        <v>208.79744153433245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105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105</v>
      </c>
      <c r="BZ33" s="14">
        <f>BY33*VLOOKUP('Données projet'!$B$12,Paramètres!$A$1:$I$89,3,0)*VLOOKUP('Données projet'!$B$12,Paramètres!$A$1:$I$89,5,0)</f>
        <v>101.556</v>
      </c>
      <c r="CA33" s="14">
        <f t="shared" si="39"/>
        <v>27.332359320696909</v>
      </c>
      <c r="CB33" s="22">
        <f t="shared" si="10"/>
        <v>224.48055915021379</v>
      </c>
      <c r="CC33" s="62">
        <f t="shared" si="11"/>
        <v>517.81389248354708</v>
      </c>
      <c r="CD33" s="62">
        <f ca="1">AVERAGE(OFFSET($CC$3,0,0,'Données projet'!$E$12+1,1))-AVERAGE(OFFSET($H$3,0,0,'Données projet'!$E$12+1,1))</f>
        <v>329.13617179625538</v>
      </c>
      <c r="CE33" s="62">
        <f t="shared" si="40"/>
        <v>186.45728006007261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29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12.833333333333334</v>
      </c>
      <c r="N34" s="14">
        <f>IF('Données projet'!$A$36&gt;35,N33+M34-V33,IF(A34&lt;'Données projet'!$A$36,$K$205^A34,IF(A34='Données projet'!$A$36,'Données projet'!$B$36,N33+M34-V33)))</f>
        <v>183.83333333333329</v>
      </c>
      <c r="O34" s="14">
        <f>N34*VLOOKUP('Données projet'!$B$9,Paramètres!$A$1:$I$89,3,0)*VLOOKUP('Données projet'!$B$9,Paramètres!$A$1:$I$89,5,0)</f>
        <v>114.71199999999997</v>
      </c>
      <c r="P34" s="14">
        <f t="shared" si="33"/>
        <v>30.438443898016164</v>
      </c>
      <c r="Q34" s="22">
        <f t="shared" si="2"/>
        <v>252.80368978904474</v>
      </c>
      <c r="R34" s="62">
        <f t="shared" si="0"/>
        <v>546.13702312237808</v>
      </c>
      <c r="S34" s="62">
        <f ca="1">AVERAGE(OFFSET($R$3,0,0,'Données projet'!$E$9+1,1))-AVERAGE(OFFSET($H$3,0,0,'Données projet'!$E$9+1,1))</f>
        <v>175.05987582828078</v>
      </c>
      <c r="T34" s="62">
        <f t="shared" si="34"/>
        <v>268.54782308462387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8.832371149946848</v>
      </c>
      <c r="AB34" s="23">
        <f>EXP(-LN(2)/2)*AB33+(1-EXP(-LN(2)/2))/(LN(2)/2)*V34*Y34*VLOOKUP('Données projet'!$B$9,Paramètres!$A$1:$I$89,3,0)*0.475*44/12</f>
        <v>8.9441670885002669</v>
      </c>
      <c r="AC34" s="24">
        <f t="shared" si="3"/>
        <v>17.776538238447117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76.003200000000007</v>
      </c>
      <c r="AK34" s="14">
        <f t="shared" si="35"/>
        <v>21.157049992000456</v>
      </c>
      <c r="AL34" s="22">
        <f t="shared" si="4"/>
        <v>169.22076873606747</v>
      </c>
      <c r="AM34" s="62">
        <f t="shared" si="5"/>
        <v>462.55410206940076</v>
      </c>
      <c r="AN34" s="62">
        <f ca="1">AVERAGE(OFFSET($AM$3,0,0,'Données projet'!$E$10+1,1))-AVERAGE(OFFSET($H$3,0,0,'Données projet'!$E$10+1,1))</f>
        <v>302.55602998433079</v>
      </c>
      <c r="AO34" s="62">
        <f t="shared" si="36"/>
        <v>172.32171001882188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>
        <f>VLOOKUP(A34,'Données projet'!$A$87:$I$107,2,0)</f>
        <v>155</v>
      </c>
      <c r="BB34" s="13">
        <f>VLOOKUP(A34,'Données projet'!$A$87:$I$107,9,0)</f>
        <v>11.5</v>
      </c>
      <c r="BC34" s="13">
        <f t="array" ref="BC34">INDEX(BB:BB,MIN(IF(ISNUMBER(BB34:BB230),ROW(BB34:BB230),"")))</f>
        <v>11.5</v>
      </c>
      <c r="BD34" s="13">
        <f>IF('Données projet'!$A$88&gt;35,BD33+BC34-BL33,IF(A34&lt;'Données projet'!$A$88,$BA$205^A34,IF(A34='Données projet'!$A$88,'Données projet'!$B$88,BD33+BC34-BL33)))</f>
        <v>154.99999999999994</v>
      </c>
      <c r="BE34" s="14">
        <f>BD34*VLOOKUP('Données projet'!$B$11,Paramètres!$A$1:$I$89,3,0)*VLOOKUP('Données projet'!$B$11,Paramètres!$A$1:$I$89,5,0)</f>
        <v>120.89999999999996</v>
      </c>
      <c r="BF34" s="14">
        <f t="shared" si="37"/>
        <v>31.884818143351602</v>
      </c>
      <c r="BG34" s="22">
        <f t="shared" si="7"/>
        <v>266.10022493300397</v>
      </c>
      <c r="BH34" s="62">
        <f t="shared" si="8"/>
        <v>559.43355826633729</v>
      </c>
      <c r="BI34" s="62">
        <f ca="1">AVERAGE(OFFSET($BH$3,0,0,'Données projet'!$E$11+1,1))-AVERAGE(OFFSET($H$3,0,0,'Données projet'!$E$11+1,1))</f>
        <v>216.95993967070063</v>
      </c>
      <c r="BJ34" s="62">
        <f t="shared" si="38"/>
        <v>208.79744153433245</v>
      </c>
      <c r="BK34" s="16">
        <f>IF(ISNA(VLOOKUP(A34,'Données projet'!$A$87:$I$107,3,0)),0,VLOOKUP(A34,'Données projet'!$A$87:$I$107,3,0))</f>
        <v>4</v>
      </c>
      <c r="BL34" s="16">
        <f>IF(ISNA(VLOOKUP(A34,'Données projet'!$A$87:$I$107,4,0)),0,VLOOKUP(A34,'Données projet'!$A$87:$I$107,4,0))</f>
        <v>36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</v>
      </c>
      <c r="BY34" s="13">
        <f>IF('Données projet'!$A$114&gt;35,BY33+BX34-CG33,IF(A34&lt;'Données projet'!$A$114,$BV$205^A34,IF(A34='Données projet'!$A$114,'Données projet'!$B$114,BY33+BX34-CG33)))</f>
        <v>84</v>
      </c>
      <c r="BZ34" s="14">
        <f>BY34*VLOOKUP('Données projet'!$B$12,Paramètres!$A$1:$I$89,3,0)*VLOOKUP('Données projet'!$B$12,Paramètres!$A$1:$I$89,5,0)</f>
        <v>81.244799999999998</v>
      </c>
      <c r="CA34" s="14">
        <f t="shared" si="39"/>
        <v>22.441270156928962</v>
      </c>
      <c r="CB34" s="22">
        <f t="shared" si="10"/>
        <v>180.58657218998462</v>
      </c>
      <c r="CC34" s="62">
        <f t="shared" si="11"/>
        <v>473.91990552331794</v>
      </c>
      <c r="CD34" s="62">
        <f ca="1">AVERAGE(OFFSET($CC$3,0,0,'Données projet'!$E$12+1,1))-AVERAGE(OFFSET($H$3,0,0,'Données projet'!$E$12+1,1))</f>
        <v>329.13617179625538</v>
      </c>
      <c r="CE34" s="62">
        <f t="shared" si="40"/>
        <v>186.45728006007261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12.833333333333334</v>
      </c>
      <c r="N35" s="14">
        <f>IF('Données projet'!$A$36&gt;35,N34+M35-V34,IF(A35&lt;'Données projet'!$A$36,$K$205^A35,IF(A35='Données projet'!$A$36,'Données projet'!$B$36,N34+M35-V34)))</f>
        <v>196.66666666666663</v>
      </c>
      <c r="O35" s="14">
        <f>N35*VLOOKUP('Données projet'!$B$9,Paramètres!$A$1:$I$89,3,0)*VLOOKUP('Données projet'!$B$9,Paramètres!$A$1:$I$89,5,0)</f>
        <v>122.71999999999997</v>
      </c>
      <c r="P35" s="14">
        <f t="shared" si="33"/>
        <v>32.308564708068729</v>
      </c>
      <c r="Q35" s="22">
        <f t="shared" ref="Q35:Q66" si="53">(O35+P35)*0.475*44/12</f>
        <v>270.00808353321963</v>
      </c>
      <c r="R35" s="62">
        <f t="shared" si="0"/>
        <v>563.34141686655289</v>
      </c>
      <c r="S35" s="62">
        <f ca="1">AVERAGE(OFFSET($R$3,0,0,'Données projet'!$E$9+1,1))-AVERAGE(OFFSET($H$3,0,0,'Données projet'!$E$9+1,1))</f>
        <v>175.05987582828078</v>
      </c>
      <c r="T35" s="62">
        <f t="shared" si="34"/>
        <v>268.54782308462387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8.5908494963773396</v>
      </c>
      <c r="AB35" s="23">
        <f>EXP(-LN(2)/2)*AB34+(1-EXP(-LN(2)/2))/(LN(2)/2)*V35*Y35*VLOOKUP('Données projet'!$B$9,Paramètres!$A$1:$I$89,3,0)*0.475*44/12</f>
        <v>6.3244812003440787</v>
      </c>
      <c r="AC35" s="24">
        <f t="shared" si="3"/>
        <v>14.915330696721419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83.241600000000005</v>
      </c>
      <c r="AK35" s="14">
        <f t="shared" si="35"/>
        <v>22.927930643846508</v>
      </c>
      <c r="AL35" s="22">
        <f t="shared" si="4"/>
        <v>184.91193253803269</v>
      </c>
      <c r="AM35" s="62">
        <f t="shared" si="5"/>
        <v>478.24526587136597</v>
      </c>
      <c r="AN35" s="62">
        <f ca="1">AVERAGE(OFFSET($AM$3,0,0,'Données projet'!$E$10+1,1))-AVERAGE(OFFSET($H$3,0,0,'Données projet'!$E$10+1,1))</f>
        <v>302.55602998433079</v>
      </c>
      <c r="AO35" s="62">
        <f t="shared" si="36"/>
        <v>172.32171001882188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11.5</v>
      </c>
      <c r="BD35" s="13">
        <f>IF('Données projet'!$A$88&gt;35,BD34+BC35-BL34,IF(A35&lt;'Données projet'!$A$88,$BA$205^A35,IF(A35='Données projet'!$A$88,'Données projet'!$B$88,BD34+BC35-BL34)))</f>
        <v>130.49999999999994</v>
      </c>
      <c r="BE35" s="14">
        <f>BD35*VLOOKUP('Données projet'!$B$11,Paramètres!$A$1:$I$89,3,0)*VLOOKUP('Données projet'!$B$11,Paramètres!$A$1:$I$89,5,0)</f>
        <v>101.78999999999996</v>
      </c>
      <c r="BF35" s="14">
        <f t="shared" si="37"/>
        <v>27.38799903683508</v>
      </c>
      <c r="BG35" s="22">
        <f t="shared" si="7"/>
        <v>224.98501498915437</v>
      </c>
      <c r="BH35" s="62">
        <f t="shared" si="8"/>
        <v>518.31834832248774</v>
      </c>
      <c r="BI35" s="62">
        <f ca="1">AVERAGE(OFFSET($BH$3,0,0,'Données projet'!$E$11+1,1))-AVERAGE(OFFSET($H$3,0,0,'Données projet'!$E$11+1,1))</f>
        <v>216.95993967070063</v>
      </c>
      <c r="BJ35" s="62">
        <f t="shared" si="38"/>
        <v>208.79744153433245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</v>
      </c>
      <c r="BY35" s="13">
        <f>IF('Données projet'!$A$114&gt;35,BY34+BX35-CG34,IF(A35&lt;'Données projet'!$A$114,$BV$205^A35,IF(A35='Données projet'!$A$114,'Données projet'!$B$114,BY34+BX35-CG34)))</f>
        <v>92</v>
      </c>
      <c r="BZ35" s="14">
        <f>BY35*VLOOKUP('Données projet'!$B$12,Paramètres!$A$1:$I$89,3,0)*VLOOKUP('Données projet'!$B$12,Paramètres!$A$1:$I$89,5,0)</f>
        <v>88.982399999999998</v>
      </c>
      <c r="CA35" s="14">
        <f t="shared" si="39"/>
        <v>24.31964219550628</v>
      </c>
      <c r="CB35" s="22">
        <f t="shared" si="10"/>
        <v>197.3343901571734</v>
      </c>
      <c r="CC35" s="62">
        <f t="shared" si="11"/>
        <v>490.66772349050672</v>
      </c>
      <c r="CD35" s="62">
        <f ca="1">AVERAGE(OFFSET($CC$3,0,0,'Données projet'!$E$12+1,1))-AVERAGE(OFFSET($H$3,0,0,'Données projet'!$E$12+1,1))</f>
        <v>329.13617179625538</v>
      </c>
      <c r="CE35" s="62">
        <f t="shared" si="40"/>
        <v>186.45728006007261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12.833333333333334</v>
      </c>
      <c r="N36" s="14">
        <f>IF('Données projet'!$A$36&gt;35,N35+M36-V35,IF(A36&lt;'Données projet'!$A$36,$K$205^A36,IF(A36='Données projet'!$A$36,'Données projet'!$B$36,N35+M36-V35)))</f>
        <v>209.49999999999997</v>
      </c>
      <c r="O36" s="14">
        <f>N36*VLOOKUP('Données projet'!$B$9,Paramètres!$A$1:$I$89,3,0)*VLOOKUP('Données projet'!$B$9,Paramètres!$A$1:$I$89,5,0)</f>
        <v>130.72799999999998</v>
      </c>
      <c r="P36" s="14">
        <f t="shared" si="33"/>
        <v>34.164524045585857</v>
      </c>
      <c r="Q36" s="22">
        <f t="shared" si="53"/>
        <v>287.18781271272866</v>
      </c>
      <c r="R36" s="62">
        <f t="shared" si="0"/>
        <v>580.52114604606197</v>
      </c>
      <c r="S36" s="62">
        <f ca="1">AVERAGE(OFFSET($R$3,0,0,'Données projet'!$E$9+1,1))-AVERAGE(OFFSET($H$3,0,0,'Données projet'!$E$9+1,1))</f>
        <v>175.05987582828078</v>
      </c>
      <c r="T36" s="62">
        <f t="shared" si="34"/>
        <v>268.54782308462387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8.3559322651257606</v>
      </c>
      <c r="AB36" s="23">
        <f>EXP(-LN(2)/2)*AB35+(1-EXP(-LN(2)/2))/(LN(2)/2)*V36*Y36*VLOOKUP('Données projet'!$B$9,Paramètres!$A$1:$I$89,3,0)*0.475*44/12</f>
        <v>4.4720835442501343</v>
      </c>
      <c r="AC36" s="24">
        <f t="shared" si="3"/>
        <v>12.828015809375895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90.47999999999999</v>
      </c>
      <c r="AK36" s="14">
        <f t="shared" si="35"/>
        <v>24.680953573367994</v>
      </c>
      <c r="AL36" s="22">
        <f t="shared" si="4"/>
        <v>200.57199414028256</v>
      </c>
      <c r="AM36" s="62">
        <f t="shared" si="5"/>
        <v>493.9053274736159</v>
      </c>
      <c r="AN36" s="62">
        <f ca="1">AVERAGE(OFFSET($AM$3,0,0,'Données projet'!$E$10+1,1))-AVERAGE(OFFSET($H$3,0,0,'Données projet'!$E$10+1,1))</f>
        <v>302.55602998433079</v>
      </c>
      <c r="AO36" s="62">
        <f t="shared" si="36"/>
        <v>172.32171001882188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11.5</v>
      </c>
      <c r="BD36" s="13">
        <f>IF('Données projet'!$A$88&gt;35,BD35+BC36-BL35,IF(A36&lt;'Données projet'!$A$88,$BA$205^A36,IF(A36='Données projet'!$A$88,'Données projet'!$B$88,BD35+BC36-BL35)))</f>
        <v>141.99999999999994</v>
      </c>
      <c r="BE36" s="14">
        <f>BD36*VLOOKUP('Données projet'!$B$11,Paramètres!$A$1:$I$89,3,0)*VLOOKUP('Données projet'!$B$11,Paramètres!$A$1:$I$89,5,0)</f>
        <v>110.75999999999996</v>
      </c>
      <c r="BF36" s="14">
        <f t="shared" si="37"/>
        <v>29.509974682362923</v>
      </c>
      <c r="BG36" s="22">
        <f t="shared" si="7"/>
        <v>244.30353923844871</v>
      </c>
      <c r="BH36" s="62">
        <f t="shared" si="8"/>
        <v>537.63687257178208</v>
      </c>
      <c r="BI36" s="62">
        <f ca="1">AVERAGE(OFFSET($BH$3,0,0,'Données projet'!$E$11+1,1))-AVERAGE(OFFSET($H$3,0,0,'Données projet'!$E$11+1,1))</f>
        <v>216.95993967070063</v>
      </c>
      <c r="BJ36" s="62">
        <f t="shared" si="38"/>
        <v>208.79744153433245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</v>
      </c>
      <c r="BY36" s="13">
        <f>IF('Données projet'!$A$114&gt;35,BY35+BX36-CG35,IF(A36&lt;'Données projet'!$A$114,$BV$205^A36,IF(A36='Données projet'!$A$114,'Données projet'!$B$114,BY35+BX36-CG35)))</f>
        <v>100</v>
      </c>
      <c r="BZ36" s="14">
        <f>BY36*VLOOKUP('Données projet'!$B$12,Paramètres!$A$1:$I$89,3,0)*VLOOKUP('Données projet'!$B$12,Paramètres!$A$1:$I$89,5,0)</f>
        <v>96.72</v>
      </c>
      <c r="CA36" s="14">
        <f t="shared" si="39"/>
        <v>26.179072558792139</v>
      </c>
      <c r="CB36" s="22">
        <f t="shared" si="10"/>
        <v>214.04921803989632</v>
      </c>
      <c r="CC36" s="62">
        <f t="shared" si="11"/>
        <v>507.3825513732296</v>
      </c>
      <c r="CD36" s="62">
        <f ca="1">AVERAGE(OFFSET($CC$3,0,0,'Données projet'!$E$12+1,1))-AVERAGE(OFFSET($H$3,0,0,'Données projet'!$E$12+1,1))</f>
        <v>329.13617179625538</v>
      </c>
      <c r="CE36" s="62">
        <f t="shared" si="40"/>
        <v>186.45728006007261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12.833333333333334</v>
      </c>
      <c r="N37" s="14">
        <f>IF('Données projet'!$A$36&gt;35,N36+M37-V36,IF(A37&lt;'Données projet'!$A$36,$K$205^A37,IF(A37='Données projet'!$A$36,'Données projet'!$B$36,N36+M37-V36)))</f>
        <v>222.33333333333331</v>
      </c>
      <c r="O37" s="14">
        <f>N37*VLOOKUP('Données projet'!$B$9,Paramètres!$A$1:$I$89,3,0)*VLOOKUP('Données projet'!$B$9,Paramètres!$A$1:$I$89,5,0)</f>
        <v>138.73599999999999</v>
      </c>
      <c r="P37" s="14">
        <f t="shared" si="33"/>
        <v>36.007288175538044</v>
      </c>
      <c r="Q37" s="22">
        <f t="shared" si="53"/>
        <v>304.34456023906205</v>
      </c>
      <c r="R37" s="62">
        <f t="shared" si="0"/>
        <v>597.67789357239531</v>
      </c>
      <c r="S37" s="62">
        <f ca="1">AVERAGE(OFFSET($R$3,0,0,'Données projet'!$E$9+1,1))-AVERAGE(OFFSET($H$3,0,0,'Données projet'!$E$9+1,1))</f>
        <v>175.05987582828078</v>
      </c>
      <c r="T37" s="62">
        <f t="shared" si="34"/>
        <v>268.54782308462387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8.1274388579165162</v>
      </c>
      <c r="AB37" s="23">
        <f>EXP(-LN(2)/2)*AB36+(1-EXP(-LN(2)/2))/(LN(2)/2)*V37*Y37*VLOOKUP('Données projet'!$B$9,Paramètres!$A$1:$I$89,3,0)*0.475*44/12</f>
        <v>3.1622406001720398</v>
      </c>
      <c r="AC37" s="24">
        <f t="shared" si="3"/>
        <v>11.289679458088557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97.718399999999988</v>
      </c>
      <c r="AK37" s="14">
        <f t="shared" si="35"/>
        <v>26.417709819192194</v>
      </c>
      <c r="AL37" s="22">
        <f t="shared" si="4"/>
        <v>216.20372460175972</v>
      </c>
      <c r="AM37" s="62">
        <f t="shared" si="5"/>
        <v>509.537057935093</v>
      </c>
      <c r="AN37" s="62">
        <f ca="1">AVERAGE(OFFSET($AM$3,0,0,'Données projet'!$E$10+1,1))-AVERAGE(OFFSET($H$3,0,0,'Données projet'!$E$10+1,1))</f>
        <v>302.55602998433079</v>
      </c>
      <c r="AO37" s="62">
        <f t="shared" si="36"/>
        <v>172.32171001882188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11.5</v>
      </c>
      <c r="BD37" s="13">
        <f>IF('Données projet'!$A$88&gt;35,BD36+BC37-BL36,IF(A37&lt;'Données projet'!$A$88,$BA$205^A37,IF(A37='Données projet'!$A$88,'Données projet'!$B$88,BD36+BC37-BL36)))</f>
        <v>153.49999999999994</v>
      </c>
      <c r="BE37" s="14">
        <f>BD37*VLOOKUP('Données projet'!$B$11,Paramètres!$A$1:$I$89,3,0)*VLOOKUP('Données projet'!$B$11,Paramètres!$A$1:$I$89,5,0)</f>
        <v>119.72999999999996</v>
      </c>
      <c r="BF37" s="14">
        <f t="shared" si="37"/>
        <v>31.612017974790529</v>
      </c>
      <c r="BG37" s="22">
        <f t="shared" si="7"/>
        <v>263.58734797276003</v>
      </c>
      <c r="BH37" s="62">
        <f t="shared" si="8"/>
        <v>556.92068130609334</v>
      </c>
      <c r="BI37" s="62">
        <f ca="1">AVERAGE(OFFSET($BH$3,0,0,'Données projet'!$E$11+1,1))-AVERAGE(OFFSET($H$3,0,0,'Données projet'!$E$11+1,1))</f>
        <v>216.95993967070063</v>
      </c>
      <c r="BJ37" s="62">
        <f t="shared" si="38"/>
        <v>208.79744153433245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</v>
      </c>
      <c r="BY37" s="13">
        <f>IF('Données projet'!$A$114&gt;35,BY36+BX37-CG36,IF(A37&lt;'Données projet'!$A$114,$BV$205^A37,IF(A37='Données projet'!$A$114,'Données projet'!$B$114,BY36+BX37-CG36)))</f>
        <v>108</v>
      </c>
      <c r="BZ37" s="14">
        <f>BY37*VLOOKUP('Données projet'!$B$12,Paramètres!$A$1:$I$89,3,0)*VLOOKUP('Données projet'!$B$12,Paramètres!$A$1:$I$89,5,0)</f>
        <v>104.4576</v>
      </c>
      <c r="CA37" s="14">
        <f t="shared" si="39"/>
        <v>28.021248860498272</v>
      </c>
      <c r="CB37" s="22">
        <f t="shared" si="10"/>
        <v>230.73399509870114</v>
      </c>
      <c r="CC37" s="62">
        <f t="shared" si="11"/>
        <v>524.0673284320344</v>
      </c>
      <c r="CD37" s="62">
        <f ca="1">AVERAGE(OFFSET($CC$3,0,0,'Données projet'!$E$12+1,1))-AVERAGE(OFFSET($H$3,0,0,'Données projet'!$E$12+1,1))</f>
        <v>329.13617179625538</v>
      </c>
      <c r="CE37" s="62">
        <f t="shared" si="40"/>
        <v>186.45728006007261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12.833333333333334</v>
      </c>
      <c r="N38" s="14">
        <f>IF('Données projet'!$A$36&gt;35,N37+M38-V37,IF(A38&lt;'Données projet'!$A$36,$K$205^A38,IF(A38='Données projet'!$A$36,'Données projet'!$B$36,N37+M38-V37)))</f>
        <v>235.16666666666666</v>
      </c>
      <c r="O38" s="14">
        <f>N38*VLOOKUP('Données projet'!$B$9,Paramètres!$A$1:$I$89,3,0)*VLOOKUP('Données projet'!$B$9,Paramètres!$A$1:$I$89,5,0)</f>
        <v>146.744</v>
      </c>
      <c r="P38" s="14">
        <f t="shared" si="33"/>
        <v>37.837705514258651</v>
      </c>
      <c r="Q38" s="22">
        <f t="shared" si="53"/>
        <v>321.47980377066716</v>
      </c>
      <c r="R38" s="62">
        <f t="shared" si="0"/>
        <v>614.81313710400048</v>
      </c>
      <c r="S38" s="62">
        <f ca="1">AVERAGE(OFFSET($R$3,0,0,'Données projet'!$E$9+1,1))-AVERAGE(OFFSET($H$3,0,0,'Données projet'!$E$9+1,1))</f>
        <v>175.05987582828078</v>
      </c>
      <c r="T38" s="62">
        <f t="shared" si="34"/>
        <v>268.54782308462387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7.9051936149433555</v>
      </c>
      <c r="AB38" s="23">
        <f>EXP(-LN(2)/2)*AB37+(1-EXP(-LN(2)/2))/(LN(2)/2)*V38*Y38*VLOOKUP('Données projet'!$B$9,Paramètres!$A$1:$I$89,3,0)*0.475*44/12</f>
        <v>2.2360417721250676</v>
      </c>
      <c r="AC38" s="24">
        <f t="shared" si="3"/>
        <v>10.141235387068424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104.9568</v>
      </c>
      <c r="AK38" s="14">
        <f t="shared" si="35"/>
        <v>28.139541339232373</v>
      </c>
      <c r="AL38" s="22">
        <f t="shared" si="4"/>
        <v>231.8094611658297</v>
      </c>
      <c r="AM38" s="62">
        <f t="shared" si="5"/>
        <v>525.14279449916307</v>
      </c>
      <c r="AN38" s="62">
        <f ca="1">AVERAGE(OFFSET($AM$3,0,0,'Données projet'!$E$10+1,1))-AVERAGE(OFFSET($H$3,0,0,'Données projet'!$E$10+1,1))</f>
        <v>302.55602998433079</v>
      </c>
      <c r="AO38" s="62">
        <f t="shared" si="36"/>
        <v>172.32171001882188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11.5</v>
      </c>
      <c r="BD38" s="13">
        <f>IF('Données projet'!$A$88&gt;35,BD37+BC38-BL37,IF(A38&lt;'Données projet'!$A$88,$BA$205^A38,IF(A38='Données projet'!$A$88,'Données projet'!$B$88,BD37+BC38-BL37)))</f>
        <v>164.99999999999994</v>
      </c>
      <c r="BE38" s="14">
        <f>BD38*VLOOKUP('Données projet'!$B$11,Paramètres!$A$1:$I$89,3,0)*VLOOKUP('Données projet'!$B$11,Paramètres!$A$1:$I$89,5,0)</f>
        <v>128.69999999999996</v>
      </c>
      <c r="BF38" s="14">
        <f t="shared" si="37"/>
        <v>33.695792019186115</v>
      </c>
      <c r="BG38" s="22">
        <f t="shared" si="7"/>
        <v>282.83933776674911</v>
      </c>
      <c r="BH38" s="62">
        <f t="shared" si="8"/>
        <v>576.17267110008243</v>
      </c>
      <c r="BI38" s="62">
        <f ca="1">AVERAGE(OFFSET($BH$3,0,0,'Données projet'!$E$11+1,1))-AVERAGE(OFFSET($H$3,0,0,'Données projet'!$E$11+1,1))</f>
        <v>216.95993967070063</v>
      </c>
      <c r="BJ38" s="62">
        <f t="shared" si="38"/>
        <v>208.79744153433245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116</v>
      </c>
      <c r="BW38" s="13">
        <f>VLOOKUP(A38,'Données projet'!$A$113:$I$133,9,0)</f>
        <v>8</v>
      </c>
      <c r="BX38" s="13">
        <f t="array" ref="BX38">INDEX(BW:BW,MIN(IF(ISNUMBER(BW38:BW234),ROW(BW38:BW234),"")))</f>
        <v>8</v>
      </c>
      <c r="BY38" s="13">
        <f>IF('Données projet'!$A$114&gt;35,BY37+BX38-CG37,IF(A38&lt;'Données projet'!$A$114,$BV$205^A38,IF(A38='Données projet'!$A$114,'Données projet'!$B$114,BY37+BX38-CG37)))</f>
        <v>116</v>
      </c>
      <c r="BZ38" s="14">
        <f>BY38*VLOOKUP('Données projet'!$B$12,Paramètres!$A$1:$I$89,3,0)*VLOOKUP('Données projet'!$B$12,Paramètres!$A$1:$I$89,5,0)</f>
        <v>112.1952</v>
      </c>
      <c r="CA38" s="14">
        <f t="shared" si="39"/>
        <v>29.847594514573263</v>
      </c>
      <c r="CB38" s="22">
        <f t="shared" si="10"/>
        <v>247.39120044621509</v>
      </c>
      <c r="CC38" s="62">
        <f t="shared" si="11"/>
        <v>540.72453377954844</v>
      </c>
      <c r="CD38" s="62">
        <f ca="1">AVERAGE(OFFSET($CC$3,0,0,'Données projet'!$E$12+1,1))-AVERAGE(OFFSET($H$3,0,0,'Données projet'!$E$12+1,1))</f>
        <v>329.13617179625538</v>
      </c>
      <c r="CE38" s="62">
        <f t="shared" si="40"/>
        <v>186.45728006007261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248</v>
      </c>
      <c r="L39" s="13">
        <f>VLOOKUP(A39,'Données projet'!$A$35:$I$55,9,0)</f>
        <v>12.833333333333334</v>
      </c>
      <c r="M39" s="13">
        <f t="array" ref="M39">INDEX(L:L,MIN(IF(ISNUMBER(L39:L235),ROW(L39:L235),"")))</f>
        <v>12.833333333333334</v>
      </c>
      <c r="N39" s="14">
        <f>IF('Données projet'!$A$36&gt;35,N38+M39-V38,IF(A39&lt;'Données projet'!$A$36,$K$205^A39,IF(A39='Données projet'!$A$36,'Données projet'!$B$36,N38+M39-V38)))</f>
        <v>248</v>
      </c>
      <c r="O39" s="14">
        <f>N39*VLOOKUP('Données projet'!$B$9,Paramètres!$A$1:$I$89,3,0)*VLOOKUP('Données projet'!$B$9,Paramètres!$A$1:$I$89,5,0)</f>
        <v>154.75199999999998</v>
      </c>
      <c r="P39" s="14">
        <f t="shared" si="33"/>
        <v>39.656526650076415</v>
      </c>
      <c r="Q39" s="22">
        <f t="shared" si="53"/>
        <v>338.5948505822164</v>
      </c>
      <c r="R39" s="62">
        <f t="shared" si="0"/>
        <v>631.92818391554965</v>
      </c>
      <c r="S39" s="62">
        <f ca="1">AVERAGE(OFFSET($R$3,0,0,'Données projet'!$E$9+1,1))-AVERAGE(OFFSET($H$3,0,0,'Données projet'!$E$9+1,1))</f>
        <v>175.05987582828078</v>
      </c>
      <c r="T39" s="62">
        <f t="shared" si="34"/>
        <v>268.54782308462387</v>
      </c>
      <c r="U39" s="16">
        <f>IF(ISNA(VLOOKUP(A39,'Données projet'!$A$35:$I$55,3,0)),0,VLOOKUP(A39,'Données projet'!$A$35:$I$55,3,0))</f>
        <v>5</v>
      </c>
      <c r="V39" s="16">
        <f>IF(ISNA(VLOOKUP(A39,'Données projet'!$A$35:$I$55,4,0)),0,VLOOKUP(A39,'Données projet'!$A$35:$I$55,4,0))</f>
        <v>62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7.6890256798266652</v>
      </c>
      <c r="AB39" s="23">
        <f>EXP(-LN(2)/2)*AB38+(1-EXP(-LN(2)/2))/(LN(2)/2)*V39*Y39*VLOOKUP('Données projet'!$B$9,Paramètres!$A$1:$I$89,3,0)*0.475*44/12</f>
        <v>1.5811203000860203</v>
      </c>
      <c r="AC39" s="24">
        <f t="shared" si="3"/>
        <v>9.2701459799126855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124.4</v>
      </c>
      <c r="AJ39" s="14">
        <f>AI39*VLOOKUP('Données projet'!$B$10,Paramètres!$A$1:$I$89,3,0)*VLOOKUP('Données projet'!$B$10,Paramètres!$A$1:$I$89,5,0)</f>
        <v>112.55712000000001</v>
      </c>
      <c r="AK39" s="14">
        <f t="shared" si="35"/>
        <v>29.932653834140599</v>
      </c>
      <c r="AL39" s="22">
        <f t="shared" si="4"/>
        <v>248.16968942779488</v>
      </c>
      <c r="AM39" s="62">
        <f t="shared" si="5"/>
        <v>541.50302276112825</v>
      </c>
      <c r="AN39" s="62">
        <f ca="1">AVERAGE(OFFSET($AM$3,0,0,'Données projet'!$E$10+1,1))-AVERAGE(OFFSET($H$3,0,0,'Données projet'!$E$10+1,1))</f>
        <v>302.55602998433079</v>
      </c>
      <c r="AO39" s="62">
        <f t="shared" si="36"/>
        <v>172.32171001882188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11.5</v>
      </c>
      <c r="BD39" s="13">
        <f>IF('Données projet'!$A$88&gt;35,BD38+BC39-BL38,IF(A39&lt;'Données projet'!$A$88,$BA$205^A39,IF(A39='Données projet'!$A$88,'Données projet'!$B$88,BD38+BC39-BL38)))</f>
        <v>176.49999999999994</v>
      </c>
      <c r="BE39" s="14">
        <f>BD39*VLOOKUP('Données projet'!$B$11,Paramètres!$A$1:$I$89,3,0)*VLOOKUP('Données projet'!$B$11,Paramètres!$A$1:$I$89,5,0)</f>
        <v>137.66999999999996</v>
      </c>
      <c r="BF39" s="14">
        <f t="shared" si="37"/>
        <v>35.762714965854656</v>
      </c>
      <c r="BG39" s="22">
        <f t="shared" si="7"/>
        <v>302.06197856553007</v>
      </c>
      <c r="BH39" s="62">
        <f t="shared" si="8"/>
        <v>595.39531189886338</v>
      </c>
      <c r="BI39" s="62">
        <f ca="1">AVERAGE(OFFSET($BH$3,0,0,'Données projet'!$E$11+1,1))-AVERAGE(OFFSET($H$3,0,0,'Données projet'!$E$11+1,1))</f>
        <v>216.95993967070063</v>
      </c>
      <c r="BJ39" s="62">
        <f t="shared" si="38"/>
        <v>208.79744153433245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124.4</v>
      </c>
      <c r="BZ39" s="14">
        <f>BY39*VLOOKUP('Données projet'!$B$12,Paramètres!$A$1:$I$89,3,0)*VLOOKUP('Données projet'!$B$12,Paramètres!$A$1:$I$89,5,0)</f>
        <v>120.31968000000001</v>
      </c>
      <c r="CA39" s="14">
        <f t="shared" si="39"/>
        <v>31.74954785566829</v>
      </c>
      <c r="CB39" s="22">
        <f t="shared" si="10"/>
        <v>264.85390518195555</v>
      </c>
      <c r="CC39" s="62">
        <f t="shared" si="11"/>
        <v>558.18723851528887</v>
      </c>
      <c r="CD39" s="62">
        <f ca="1">AVERAGE(OFFSET($CC$3,0,0,'Données projet'!$E$12+1,1))-AVERAGE(OFFSET($H$3,0,0,'Données projet'!$E$12+1,1))</f>
        <v>329.13617179625538</v>
      </c>
      <c r="CE39" s="62">
        <f t="shared" si="40"/>
        <v>186.45728006007261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11.5</v>
      </c>
      <c r="N40" s="14">
        <f>IF('Données projet'!$A$36&gt;35,N39+M40-V39,IF(A40&lt;'Données projet'!$A$36,$K$205^A40,IF(A40='Données projet'!$A$36,'Données projet'!$B$36,N39+M40-V39)))</f>
        <v>197.5</v>
      </c>
      <c r="O40" s="14">
        <f>N40*VLOOKUP('Données projet'!$B$9,Paramètres!$A$1:$I$89,3,0)*VLOOKUP('Données projet'!$B$9,Paramètres!$A$1:$I$89,5,0)</f>
        <v>123.24</v>
      </c>
      <c r="P40" s="14">
        <f t="shared" si="33"/>
        <v>32.429500380369056</v>
      </c>
      <c r="Q40" s="22">
        <f t="shared" si="53"/>
        <v>271.12437982914275</v>
      </c>
      <c r="R40" s="62">
        <f t="shared" si="0"/>
        <v>564.45771316247601</v>
      </c>
      <c r="S40" s="62">
        <f ca="1">AVERAGE(OFFSET($R$3,0,0,'Données projet'!$E$9+1,1))-AVERAGE(OFFSET($H$3,0,0,'Données projet'!$E$9+1,1))</f>
        <v>175.05987582828078</v>
      </c>
      <c r="T40" s="62">
        <f t="shared" si="34"/>
        <v>268.54782308462387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7.4787688682635176</v>
      </c>
      <c r="AB40" s="23">
        <f>EXP(-LN(2)/2)*AB39+(1-EXP(-LN(2)/2))/(LN(2)/2)*V40*Y40*VLOOKUP('Données projet'!$B$9,Paramètres!$A$1:$I$89,3,0)*0.475*44/12</f>
        <v>1.118020886062534</v>
      </c>
      <c r="AC40" s="24">
        <f t="shared" si="3"/>
        <v>8.5967897543260516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132.80000000000001</v>
      </c>
      <c r="AJ40" s="14">
        <f>AI40*VLOOKUP('Données projet'!$B$10,Paramètres!$A$1:$I$89,3,0)*VLOOKUP('Données projet'!$B$10,Paramètres!$A$1:$I$89,5,0)</f>
        <v>120.15744000000001</v>
      </c>
      <c r="AK40" s="14">
        <f t="shared" si="35"/>
        <v>31.711716786129845</v>
      </c>
      <c r="AL40" s="22">
        <f t="shared" si="4"/>
        <v>264.50544806917611</v>
      </c>
      <c r="AM40" s="62">
        <f t="shared" si="5"/>
        <v>557.83878140250943</v>
      </c>
      <c r="AN40" s="62">
        <f ca="1">AVERAGE(OFFSET($AM$3,0,0,'Données projet'!$E$10+1,1))-AVERAGE(OFFSET($H$3,0,0,'Données projet'!$E$10+1,1))</f>
        <v>302.55602998433079</v>
      </c>
      <c r="AO40" s="62">
        <f t="shared" si="36"/>
        <v>172.32171001882188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>
        <f>VLOOKUP(A40,'Données projet'!$A$87:$I$107,2,0)</f>
        <v>188</v>
      </c>
      <c r="BB40" s="13">
        <f>VLOOKUP(A40,'Données projet'!$A$87:$I$107,9,0)</f>
        <v>11.5</v>
      </c>
      <c r="BC40" s="13">
        <f t="array" ref="BC40">INDEX(BB:BB,MIN(IF(ISNUMBER(BB40:BB236),ROW(BB40:BB236),"")))</f>
        <v>11.5</v>
      </c>
      <c r="BD40" s="13">
        <f>IF('Données projet'!$A$88&gt;35,BD39+BC40-BL39,IF(A40&lt;'Données projet'!$A$88,$BA$205^A40,IF(A40='Données projet'!$A$88,'Données projet'!$B$88,BD39+BC40-BL39)))</f>
        <v>187.99999999999994</v>
      </c>
      <c r="BE40" s="14">
        <f>BD40*VLOOKUP('Données projet'!$B$11,Paramètres!$A$1:$I$89,3,0)*VLOOKUP('Données projet'!$B$11,Paramètres!$A$1:$I$89,5,0)</f>
        <v>146.63999999999996</v>
      </c>
      <c r="BF40" s="14">
        <f t="shared" si="37"/>
        <v>37.814009712703026</v>
      </c>
      <c r="BG40" s="22">
        <f t="shared" si="7"/>
        <v>321.25740024962437</v>
      </c>
      <c r="BH40" s="62">
        <f t="shared" si="8"/>
        <v>614.59073358295768</v>
      </c>
      <c r="BI40" s="62">
        <f ca="1">AVERAGE(OFFSET($BH$3,0,0,'Données projet'!$E$11+1,1))-AVERAGE(OFFSET($H$3,0,0,'Données projet'!$E$11+1,1))</f>
        <v>216.95993967070063</v>
      </c>
      <c r="BJ40" s="62">
        <f t="shared" si="38"/>
        <v>208.79744153433245</v>
      </c>
      <c r="BK40" s="16">
        <f>IF(ISNA(VLOOKUP(A40,'Données projet'!$A$87:$I$107,3,0)),0,VLOOKUP(A40,'Données projet'!$A$87:$I$107,3,0))</f>
        <v>5</v>
      </c>
      <c r="BL40" s="16">
        <f>IF(ISNA(VLOOKUP(A40,'Données projet'!$A$87:$I$107,4,0)),0,VLOOKUP(A40,'Données projet'!$A$87:$I$107,4,0))</f>
        <v>36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132.80000000000001</v>
      </c>
      <c r="BZ40" s="14">
        <f>BY40*VLOOKUP('Données projet'!$B$12,Paramètres!$A$1:$I$89,3,0)*VLOOKUP('Données projet'!$B$12,Paramètres!$A$1:$I$89,5,0)</f>
        <v>128.44416000000001</v>
      </c>
      <c r="CA40" s="14">
        <f t="shared" si="39"/>
        <v>33.636598855068925</v>
      </c>
      <c r="CB40" s="22">
        <f t="shared" si="10"/>
        <v>282.29065500591173</v>
      </c>
      <c r="CC40" s="62">
        <f t="shared" si="11"/>
        <v>575.62398833924499</v>
      </c>
      <c r="CD40" s="62">
        <f ca="1">AVERAGE(OFFSET($CC$3,0,0,'Données projet'!$E$12+1,1))-AVERAGE(OFFSET($H$3,0,0,'Données projet'!$E$12+1,1))</f>
        <v>329.13617179625538</v>
      </c>
      <c r="CE40" s="62">
        <f t="shared" si="40"/>
        <v>186.45728006007261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11.5</v>
      </c>
      <c r="N41" s="14">
        <f>IF('Données projet'!$A$36&gt;35,N40+M41-V40,IF(A41&lt;'Données projet'!$A$36,$K$205^A41,IF(A41='Données projet'!$A$36,'Données projet'!$B$36,N40+M41-V40)))</f>
        <v>209</v>
      </c>
      <c r="O41" s="14">
        <f>N41*VLOOKUP('Données projet'!$B$9,Paramètres!$A$1:$I$89,3,0)*VLOOKUP('Données projet'!$B$9,Paramètres!$A$1:$I$89,5,0)</f>
        <v>130.416</v>
      </c>
      <c r="P41" s="14">
        <f t="shared" si="33"/>
        <v>34.092466837179941</v>
      </c>
      <c r="Q41" s="22">
        <f t="shared" si="53"/>
        <v>286.51891307475506</v>
      </c>
      <c r="R41" s="62">
        <f t="shared" si="0"/>
        <v>579.85224640808838</v>
      </c>
      <c r="S41" s="62">
        <f ca="1">AVERAGE(OFFSET($R$3,0,0,'Données projet'!$E$9+1,1))-AVERAGE(OFFSET($H$3,0,0,'Données projet'!$E$9+1,1))</f>
        <v>175.05987582828078</v>
      </c>
      <c r="T41" s="62">
        <f t="shared" si="34"/>
        <v>268.54782308462387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7.2742615402694897</v>
      </c>
      <c r="AB41" s="23">
        <f>EXP(-LN(2)/2)*AB40+(1-EXP(-LN(2)/2))/(LN(2)/2)*V41*Y41*VLOOKUP('Données projet'!$B$9,Paramètres!$A$1:$I$89,3,0)*0.475*44/12</f>
        <v>0.79056015004301028</v>
      </c>
      <c r="AC41" s="24">
        <f t="shared" si="3"/>
        <v>8.0648216903125007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141.20000000000002</v>
      </c>
      <c r="AJ41" s="14">
        <f>AI41*VLOOKUP('Données projet'!$B$10,Paramètres!$A$1:$I$89,3,0)*VLOOKUP('Données projet'!$B$10,Paramètres!$A$1:$I$89,5,0)</f>
        <v>127.75776</v>
      </c>
      <c r="AK41" s="14">
        <f t="shared" si="35"/>
        <v>33.477720030956604</v>
      </c>
      <c r="AL41" s="22">
        <f t="shared" si="4"/>
        <v>280.81846105391611</v>
      </c>
      <c r="AM41" s="62">
        <f t="shared" si="5"/>
        <v>574.15179438724942</v>
      </c>
      <c r="AN41" s="62">
        <f ca="1">AVERAGE(OFFSET($AM$3,0,0,'Données projet'!$E$10+1,1))-AVERAGE(OFFSET($H$3,0,0,'Données projet'!$E$10+1,1))</f>
        <v>302.55602998433079</v>
      </c>
      <c r="AO41" s="62">
        <f t="shared" si="36"/>
        <v>172.32171001882188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11.142857142857142</v>
      </c>
      <c r="BD41" s="13">
        <f>IF('Données projet'!$A$88&gt;35,BD40+BC41-BL40,IF(A41&lt;'Données projet'!$A$88,$BA$205^A41,IF(A41='Données projet'!$A$88,'Données projet'!$B$88,BD40+BC41-BL40)))</f>
        <v>163.14285714285708</v>
      </c>
      <c r="BE41" s="14">
        <f>BD41*VLOOKUP('Données projet'!$B$11,Paramètres!$A$1:$I$89,3,0)*VLOOKUP('Données projet'!$B$11,Paramètres!$A$1:$I$89,5,0)</f>
        <v>127.25142857142853</v>
      </c>
      <c r="BF41" s="14">
        <f t="shared" si="37"/>
        <v>33.360457439554281</v>
      </c>
      <c r="BG41" s="22">
        <f t="shared" si="7"/>
        <v>279.73236813579501</v>
      </c>
      <c r="BH41" s="62">
        <f t="shared" si="8"/>
        <v>573.06570146912827</v>
      </c>
      <c r="BI41" s="62">
        <f ca="1">AVERAGE(OFFSET($BH$3,0,0,'Données projet'!$E$11+1,1))-AVERAGE(OFFSET($H$3,0,0,'Données projet'!$E$11+1,1))</f>
        <v>216.95993967070063</v>
      </c>
      <c r="BJ41" s="62">
        <f t="shared" si="38"/>
        <v>208.79744153433245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141.20000000000002</v>
      </c>
      <c r="BZ41" s="14">
        <f>BY41*VLOOKUP('Données projet'!$B$12,Paramètres!$A$1:$I$89,3,0)*VLOOKUP('Données projet'!$B$12,Paramètres!$A$1:$I$89,5,0)</f>
        <v>136.56864000000002</v>
      </c>
      <c r="CA41" s="14">
        <f t="shared" si="39"/>
        <v>35.509797430964703</v>
      </c>
      <c r="CB41" s="22">
        <f t="shared" si="10"/>
        <v>299.70327852559689</v>
      </c>
      <c r="CC41" s="62">
        <f t="shared" si="11"/>
        <v>593.0366118589302</v>
      </c>
      <c r="CD41" s="62">
        <f ca="1">AVERAGE(OFFSET($CC$3,0,0,'Données projet'!$E$12+1,1))-AVERAGE(OFFSET($H$3,0,0,'Données projet'!$E$12+1,1))</f>
        <v>329.13617179625538</v>
      </c>
      <c r="CE41" s="62">
        <f t="shared" si="40"/>
        <v>186.45728006007261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11.5</v>
      </c>
      <c r="N42" s="14">
        <f>IF('Données projet'!$A$36&gt;35,N41+M42-V41,IF(A42&lt;'Données projet'!$A$36,$K$205^A42,IF(A42='Données projet'!$A$36,'Données projet'!$B$36,N41+M42-V41)))</f>
        <v>220.5</v>
      </c>
      <c r="O42" s="14">
        <f>N42*VLOOKUP('Données projet'!$B$9,Paramètres!$A$1:$I$89,3,0)*VLOOKUP('Données projet'!$B$9,Paramètres!$A$1:$I$89,5,0)</f>
        <v>137.59199999999998</v>
      </c>
      <c r="P42" s="14">
        <f t="shared" si="33"/>
        <v>35.744810729505772</v>
      </c>
      <c r="Q42" s="22">
        <f t="shared" si="53"/>
        <v>301.89494535388923</v>
      </c>
      <c r="R42" s="62">
        <f t="shared" si="0"/>
        <v>595.22827868722254</v>
      </c>
      <c r="S42" s="62">
        <f ca="1">AVERAGE(OFFSET($R$3,0,0,'Données projet'!$E$9+1,1))-AVERAGE(OFFSET($H$3,0,0,'Données projet'!$E$9+1,1))</f>
        <v>175.05987582828078</v>
      </c>
      <c r="T42" s="62">
        <f t="shared" si="34"/>
        <v>268.54782308462387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7.0753464759140314</v>
      </c>
      <c r="AB42" s="23">
        <f>EXP(-LN(2)/2)*AB41+(1-EXP(-LN(2)/2))/(LN(2)/2)*V42*Y42*VLOOKUP('Données projet'!$B$9,Paramètres!$A$1:$I$89,3,0)*0.475*44/12</f>
        <v>0.55901044303126712</v>
      </c>
      <c r="AC42" s="24">
        <f t="shared" si="3"/>
        <v>7.6343569189452989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149.60000000000002</v>
      </c>
      <c r="AJ42" s="14">
        <f>AI42*VLOOKUP('Données projet'!$B$10,Paramètres!$A$1:$I$89,3,0)*VLOOKUP('Données projet'!$B$10,Paramètres!$A$1:$I$89,5,0)</f>
        <v>135.35808</v>
      </c>
      <c r="AK42" s="14">
        <f t="shared" si="35"/>
        <v>35.231528980112834</v>
      </c>
      <c r="AL42" s="22">
        <f t="shared" si="4"/>
        <v>297.11023564036316</v>
      </c>
      <c r="AM42" s="62">
        <f t="shared" si="5"/>
        <v>590.44356897369653</v>
      </c>
      <c r="AN42" s="62">
        <f ca="1">AVERAGE(OFFSET($AM$3,0,0,'Données projet'!$E$10+1,1))-AVERAGE(OFFSET($H$3,0,0,'Données projet'!$E$10+1,1))</f>
        <v>302.55602998433079</v>
      </c>
      <c r="AO42" s="62">
        <f t="shared" si="36"/>
        <v>172.32171001882188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11.142857142857142</v>
      </c>
      <c r="BD42" s="13">
        <f>IF('Données projet'!$A$88&gt;35,BD41+BC42-BL41,IF(A42&lt;'Données projet'!$A$88,$BA$205^A42,IF(A42='Données projet'!$A$88,'Données projet'!$B$88,BD41+BC42-BL41)))</f>
        <v>174.28571428571422</v>
      </c>
      <c r="BE42" s="14">
        <f>BD42*VLOOKUP('Données projet'!$B$11,Paramètres!$A$1:$I$89,3,0)*VLOOKUP('Données projet'!$B$11,Paramètres!$A$1:$I$89,5,0)</f>
        <v>135.94285714285709</v>
      </c>
      <c r="BF42" s="14">
        <f t="shared" si="37"/>
        <v>35.365986273808367</v>
      </c>
      <c r="BG42" s="22">
        <f t="shared" si="7"/>
        <v>298.36290228402567</v>
      </c>
      <c r="BH42" s="62">
        <f t="shared" si="8"/>
        <v>591.69623561735898</v>
      </c>
      <c r="BI42" s="62">
        <f ca="1">AVERAGE(OFFSET($BH$3,0,0,'Données projet'!$E$11+1,1))-AVERAGE(OFFSET($H$3,0,0,'Données projet'!$E$11+1,1))</f>
        <v>216.95993967070063</v>
      </c>
      <c r="BJ42" s="62">
        <f t="shared" si="38"/>
        <v>208.79744153433245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149.60000000000002</v>
      </c>
      <c r="BZ42" s="14">
        <f>BY42*VLOOKUP('Données projet'!$B$12,Paramètres!$A$1:$I$89,3,0)*VLOOKUP('Données projet'!$B$12,Paramètres!$A$1:$I$89,5,0)</f>
        <v>144.69312000000002</v>
      </c>
      <c r="CA42" s="14">
        <f t="shared" si="39"/>
        <v>37.370061524802772</v>
      </c>
      <c r="CB42" s="22">
        <f t="shared" si="10"/>
        <v>317.09337448903148</v>
      </c>
      <c r="CC42" s="62">
        <f t="shared" si="11"/>
        <v>610.42670782236473</v>
      </c>
      <c r="CD42" s="62">
        <f ca="1">AVERAGE(OFFSET($CC$3,0,0,'Données projet'!$E$12+1,1))-AVERAGE(OFFSET($H$3,0,0,'Données projet'!$E$12+1,1))</f>
        <v>329.13617179625538</v>
      </c>
      <c r="CE42" s="62">
        <f t="shared" si="40"/>
        <v>186.45728006007261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11.5</v>
      </c>
      <c r="N43" s="14">
        <f>IF('Données projet'!$A$36&gt;35,N42+M43-V42,IF(A43&lt;'Données projet'!$A$36,$K$205^A43,IF(A43='Données projet'!$A$36,'Données projet'!$B$36,N42+M43-V42)))</f>
        <v>232</v>
      </c>
      <c r="O43" s="14">
        <f>N43*VLOOKUP('Données projet'!$B$9,Paramètres!$A$1:$I$89,3,0)*VLOOKUP('Données projet'!$B$9,Paramètres!$A$1:$I$89,5,0)</f>
        <v>144.768</v>
      </c>
      <c r="P43" s="14">
        <f t="shared" si="33"/>
        <v>37.387149255707826</v>
      </c>
      <c r="Q43" s="22">
        <f t="shared" si="53"/>
        <v>317.25355162035777</v>
      </c>
      <c r="R43" s="62">
        <f t="shared" si="0"/>
        <v>610.58688495369108</v>
      </c>
      <c r="S43" s="62">
        <f ca="1">AVERAGE(OFFSET($R$3,0,0,'Données projet'!$E$9+1,1))-AVERAGE(OFFSET($H$3,0,0,'Données projet'!$E$9+1,1))</f>
        <v>175.05987582828078</v>
      </c>
      <c r="T43" s="62">
        <f t="shared" si="34"/>
        <v>268.54782308462387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6.8818707544538622</v>
      </c>
      <c r="AB43" s="23">
        <f>EXP(-LN(2)/2)*AB42+(1-EXP(-LN(2)/2))/(LN(2)/2)*V43*Y43*VLOOKUP('Données projet'!$B$9,Paramètres!$A$1:$I$89,3,0)*0.475*44/12</f>
        <v>0.3952800750215052</v>
      </c>
      <c r="AC43" s="24">
        <f t="shared" si="3"/>
        <v>7.2771508294753673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158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158.00000000000003</v>
      </c>
      <c r="AJ43" s="14">
        <f>AI43*VLOOKUP('Données projet'!$B$10,Paramètres!$A$1:$I$89,3,0)*VLOOKUP('Données projet'!$B$10,Paramètres!$A$1:$I$89,5,0)</f>
        <v>142.95840000000004</v>
      </c>
      <c r="AK43" s="14">
        <f t="shared" si="35"/>
        <v>36.973906370811264</v>
      </c>
      <c r="AL43" s="22">
        <f t="shared" si="4"/>
        <v>313.38210026249641</v>
      </c>
      <c r="AM43" s="62">
        <f t="shared" si="5"/>
        <v>606.71543359582972</v>
      </c>
      <c r="AN43" s="62">
        <f ca="1">AVERAGE(OFFSET($AM$3,0,0,'Données projet'!$E$10+1,1))-AVERAGE(OFFSET($H$3,0,0,'Données projet'!$E$10+1,1))</f>
        <v>302.55602998433079</v>
      </c>
      <c r="AO43" s="62">
        <f t="shared" si="36"/>
        <v>172.32171001882188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11.142857142857142</v>
      </c>
      <c r="BD43" s="13">
        <f>IF('Données projet'!$A$88&gt;35,BD42+BC43-BL42,IF(A43&lt;'Données projet'!$A$88,$BA$205^A43,IF(A43='Données projet'!$A$88,'Données projet'!$B$88,BD42+BC43-BL42)))</f>
        <v>185.42857142857136</v>
      </c>
      <c r="BE43" s="14">
        <f>BD43*VLOOKUP('Données projet'!$B$11,Paramètres!$A$1:$I$89,3,0)*VLOOKUP('Données projet'!$B$11,Paramètres!$A$1:$I$89,5,0)</f>
        <v>144.63428571428565</v>
      </c>
      <c r="BF43" s="14">
        <f t="shared" si="37"/>
        <v>37.356634728420524</v>
      </c>
      <c r="BG43" s="22">
        <f t="shared" si="7"/>
        <v>316.96751977104657</v>
      </c>
      <c r="BH43" s="62">
        <f t="shared" si="8"/>
        <v>610.30085310437994</v>
      </c>
      <c r="BI43" s="62">
        <f ca="1">AVERAGE(OFFSET($BH$3,0,0,'Données projet'!$E$11+1,1))-AVERAGE(OFFSET($H$3,0,0,'Données projet'!$E$11+1,1))</f>
        <v>216.95993967070063</v>
      </c>
      <c r="BJ43" s="62">
        <f t="shared" si="38"/>
        <v>208.79744153433245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158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158.00000000000003</v>
      </c>
      <c r="BZ43" s="14">
        <f>BY43*VLOOKUP('Données projet'!$B$12,Paramètres!$A$1:$I$89,3,0)*VLOOKUP('Données projet'!$B$12,Paramètres!$A$1:$I$89,5,0)</f>
        <v>152.81760000000003</v>
      </c>
      <c r="CA43" s="14">
        <f t="shared" si="39"/>
        <v>39.218200171484227</v>
      </c>
      <c r="CB43" s="22">
        <f t="shared" si="10"/>
        <v>334.46235196533502</v>
      </c>
      <c r="CC43" s="62">
        <f t="shared" si="11"/>
        <v>627.79568529866833</v>
      </c>
      <c r="CD43" s="62">
        <f ca="1">AVERAGE(OFFSET($CC$3,0,0,'Données projet'!$E$12+1,1))-AVERAGE(OFFSET($H$3,0,0,'Données projet'!$E$12+1,1))</f>
        <v>329.13617179625538</v>
      </c>
      <c r="CE43" s="62">
        <f t="shared" si="40"/>
        <v>186.45728006007261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42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11.5</v>
      </c>
      <c r="N44" s="14">
        <f>IF('Données projet'!$A$36&gt;35,N43+M44-V43,IF(A44&lt;'Données projet'!$A$36,$K$205^A44,IF(A44='Données projet'!$A$36,'Données projet'!$B$36,N43+M44-V43)))</f>
        <v>243.5</v>
      </c>
      <c r="O44" s="14">
        <f>N44*VLOOKUP('Données projet'!$B$9,Paramètres!$A$1:$I$89,3,0)*VLOOKUP('Données projet'!$B$9,Paramètres!$A$1:$I$89,5,0)</f>
        <v>151.94399999999999</v>
      </c>
      <c r="P44" s="14">
        <f t="shared" si="33"/>
        <v>39.02003496976517</v>
      </c>
      <c r="Q44" s="22">
        <f t="shared" si="53"/>
        <v>332.59569423900763</v>
      </c>
      <c r="R44" s="62">
        <f t="shared" si="0"/>
        <v>625.92902757234094</v>
      </c>
      <c r="S44" s="62">
        <f ca="1">AVERAGE(OFFSET($R$3,0,0,'Données projet'!$E$9+1,1))-AVERAGE(OFFSET($H$3,0,0,'Données projet'!$E$9+1,1))</f>
        <v>175.05987582828078</v>
      </c>
      <c r="T44" s="62">
        <f t="shared" si="34"/>
        <v>268.54782308462387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6.693685636771467</v>
      </c>
      <c r="AB44" s="23">
        <f>EXP(-LN(2)/2)*AB43+(1-EXP(-LN(2)/2))/(LN(2)/2)*V44*Y44*VLOOKUP('Données projet'!$B$9,Paramètres!$A$1:$I$89,3,0)*0.475*44/12</f>
        <v>0.27950522151563356</v>
      </c>
      <c r="AC44" s="24">
        <f t="shared" si="3"/>
        <v>6.9731908582871007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112.55712000000003</v>
      </c>
      <c r="AK44" s="14">
        <f t="shared" si="35"/>
        <v>29.932653834140599</v>
      </c>
      <c r="AL44" s="22">
        <f t="shared" si="4"/>
        <v>248.16968942779496</v>
      </c>
      <c r="AM44" s="62">
        <f t="shared" si="5"/>
        <v>541.50302276112825</v>
      </c>
      <c r="AN44" s="62">
        <f ca="1">AVERAGE(OFFSET($AM$3,0,0,'Données projet'!$E$10+1,1))-AVERAGE(OFFSET($H$3,0,0,'Données projet'!$E$10+1,1))</f>
        <v>302.55602998433079</v>
      </c>
      <c r="AO44" s="62">
        <f t="shared" si="36"/>
        <v>172.32171001882188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11.142857142857142</v>
      </c>
      <c r="BD44" s="13">
        <f>IF('Données projet'!$A$88&gt;35,BD43+BC44-BL43,IF(A44&lt;'Données projet'!$A$88,$BA$205^A44,IF(A44='Données projet'!$A$88,'Données projet'!$B$88,BD43+BC44-BL43)))</f>
        <v>196.5714285714285</v>
      </c>
      <c r="BE44" s="14">
        <f>BD44*VLOOKUP('Données projet'!$B$11,Paramètres!$A$1:$I$89,3,0)*VLOOKUP('Données projet'!$B$11,Paramètres!$A$1:$I$89,5,0)</f>
        <v>153.32571428571424</v>
      </c>
      <c r="BF44" s="14">
        <f t="shared" si="37"/>
        <v>39.333398837614155</v>
      </c>
      <c r="BG44" s="22">
        <f t="shared" si="7"/>
        <v>335.5479553564636</v>
      </c>
      <c r="BH44" s="62">
        <f t="shared" si="8"/>
        <v>628.88128868979697</v>
      </c>
      <c r="BI44" s="62">
        <f ca="1">AVERAGE(OFFSET($BH$3,0,0,'Données projet'!$E$11+1,1))-AVERAGE(OFFSET($H$3,0,0,'Données projet'!$E$11+1,1))</f>
        <v>216.95993967070063</v>
      </c>
      <c r="BJ44" s="62">
        <f t="shared" si="38"/>
        <v>208.79744153433245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124.40000000000003</v>
      </c>
      <c r="BZ44" s="14">
        <f>BY44*VLOOKUP('Données projet'!$B$12,Paramètres!$A$1:$I$89,3,0)*VLOOKUP('Données projet'!$B$12,Paramètres!$A$1:$I$89,5,0)</f>
        <v>120.31968000000002</v>
      </c>
      <c r="CA44" s="14">
        <f t="shared" si="39"/>
        <v>31.74954785566829</v>
      </c>
      <c r="CB44" s="22">
        <f t="shared" si="10"/>
        <v>264.85390518195561</v>
      </c>
      <c r="CC44" s="62">
        <f t="shared" si="11"/>
        <v>558.18723851528898</v>
      </c>
      <c r="CD44" s="62">
        <f ca="1">AVERAGE(OFFSET($CC$3,0,0,'Données projet'!$E$12+1,1))-AVERAGE(OFFSET($H$3,0,0,'Données projet'!$E$12+1,1))</f>
        <v>329.13617179625538</v>
      </c>
      <c r="CE44" s="62">
        <f t="shared" si="40"/>
        <v>186.45728006007261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255</v>
      </c>
      <c r="L45" s="13">
        <f>VLOOKUP(A45,'Données projet'!$A$35:$I$55,9,0)</f>
        <v>11.5</v>
      </c>
      <c r="M45" s="13">
        <f t="array" ref="M45">INDEX(L:L,MIN(IF(ISNUMBER(L45:L241),ROW(L45:L241),"")))</f>
        <v>11.5</v>
      </c>
      <c r="N45" s="14">
        <f>IF('Données projet'!$A$36&gt;35,N44+M45-V44,IF(A45&lt;'Données projet'!$A$36,$K$205^A45,IF(A45='Données projet'!$A$36,'Données projet'!$B$36,N44+M45-V44)))</f>
        <v>255</v>
      </c>
      <c r="O45" s="14">
        <f>N45*VLOOKUP('Données projet'!$B$9,Paramètres!$A$1:$I$89,3,0)*VLOOKUP('Données projet'!$B$9,Paramètres!$A$1:$I$89,5,0)</f>
        <v>159.12</v>
      </c>
      <c r="P45" s="14">
        <f t="shared" si="33"/>
        <v>40.643965284387697</v>
      </c>
      <c r="Q45" s="22">
        <f t="shared" si="53"/>
        <v>347.92223953697521</v>
      </c>
      <c r="R45" s="62">
        <f t="shared" si="0"/>
        <v>641.25557287030847</v>
      </c>
      <c r="S45" s="62">
        <f ca="1">AVERAGE(OFFSET($R$3,0,0,'Données projet'!$E$9+1,1))-AVERAGE(OFFSET($H$3,0,0,'Données projet'!$E$9+1,1))</f>
        <v>175.05987582828078</v>
      </c>
      <c r="T45" s="62">
        <f t="shared" si="34"/>
        <v>268.54782308462387</v>
      </c>
      <c r="U45" s="16">
        <f>IF(ISNA(VLOOKUP(A45,'Données projet'!$A$35:$I$55,3,0)),0,VLOOKUP(A45,'Données projet'!$A$35:$I$55,3,0))</f>
        <v>6</v>
      </c>
      <c r="V45" s="16">
        <f>IF(ISNA(VLOOKUP(A45,'Données projet'!$A$35:$I$55,4,0)),0,VLOOKUP(A45,'Données projet'!$A$35:$I$55,4,0))</f>
        <v>67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6.5106464510283226</v>
      </c>
      <c r="AB45" s="23">
        <f>EXP(-LN(2)/2)*AB44+(1-EXP(-LN(2)/2))/(LN(2)/2)*V45*Y45*VLOOKUP('Données projet'!$B$9,Paramètres!$A$1:$I$89,3,0)*0.475*44/12</f>
        <v>0.1976400375107526</v>
      </c>
      <c r="AC45" s="24">
        <f t="shared" si="3"/>
        <v>6.7082864885390752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120.15744000000002</v>
      </c>
      <c r="AK45" s="14">
        <f t="shared" si="35"/>
        <v>31.711716786129845</v>
      </c>
      <c r="AL45" s="22">
        <f t="shared" si="4"/>
        <v>264.50544806917623</v>
      </c>
      <c r="AM45" s="62">
        <f t="shared" si="5"/>
        <v>557.83878140250954</v>
      </c>
      <c r="AN45" s="62">
        <f ca="1">AVERAGE(OFFSET($AM$3,0,0,'Données projet'!$E$10+1,1))-AVERAGE(OFFSET($H$3,0,0,'Données projet'!$E$10+1,1))</f>
        <v>302.55602998433079</v>
      </c>
      <c r="AO45" s="62">
        <f t="shared" si="36"/>
        <v>172.32171001882188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11.142857142857142</v>
      </c>
      <c r="BD45" s="13">
        <f>IF('Données projet'!$A$88&gt;35,BD44+BC45-BL44,IF(A45&lt;'Données projet'!$A$88,$BA$205^A45,IF(A45='Données projet'!$A$88,'Données projet'!$B$88,BD44+BC45-BL44)))</f>
        <v>207.71428571428564</v>
      </c>
      <c r="BE45" s="14">
        <f>BD45*VLOOKUP('Données projet'!$B$11,Paramètres!$A$1:$I$89,3,0)*VLOOKUP('Données projet'!$B$11,Paramètres!$A$1:$I$89,5,0)</f>
        <v>162.0171428571428</v>
      </c>
      <c r="BF45" s="14">
        <f t="shared" si="37"/>
        <v>41.29715533509664</v>
      </c>
      <c r="BG45" s="22">
        <f t="shared" si="7"/>
        <v>354.10573601815037</v>
      </c>
      <c r="BH45" s="62">
        <f t="shared" si="8"/>
        <v>647.43906935148368</v>
      </c>
      <c r="BI45" s="62">
        <f ca="1">AVERAGE(OFFSET($BH$3,0,0,'Données projet'!$E$11+1,1))-AVERAGE(OFFSET($H$3,0,0,'Données projet'!$E$11+1,1))</f>
        <v>216.95993967070063</v>
      </c>
      <c r="BJ45" s="62">
        <f t="shared" si="38"/>
        <v>208.79744153433245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132.80000000000004</v>
      </c>
      <c r="BZ45" s="14">
        <f>BY45*VLOOKUP('Données projet'!$B$12,Paramètres!$A$1:$I$89,3,0)*VLOOKUP('Données projet'!$B$12,Paramètres!$A$1:$I$89,5,0)</f>
        <v>128.44416000000004</v>
      </c>
      <c r="CA45" s="14">
        <f t="shared" si="39"/>
        <v>33.636598855068954</v>
      </c>
      <c r="CB45" s="22">
        <f t="shared" si="10"/>
        <v>282.29065500591184</v>
      </c>
      <c r="CC45" s="62">
        <f t="shared" si="11"/>
        <v>575.62398833924522</v>
      </c>
      <c r="CD45" s="62">
        <f ca="1">AVERAGE(OFFSET($CC$3,0,0,'Données projet'!$E$12+1,1))-AVERAGE(OFFSET($H$3,0,0,'Données projet'!$E$12+1,1))</f>
        <v>329.13617179625538</v>
      </c>
      <c r="CE45" s="62">
        <f t="shared" si="40"/>
        <v>186.45728006007261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10.666666666666666</v>
      </c>
      <c r="N46" s="14">
        <f>IF('Données projet'!$A$36&gt;35,N45+M46-V45,IF(A46&lt;'Données projet'!$A$36,$K$205^A46,IF(A46='Données projet'!$A$36,'Données projet'!$B$36,N45+M46-V45)))</f>
        <v>198.66666666666669</v>
      </c>
      <c r="O46" s="14">
        <f>N46*VLOOKUP('Données projet'!$B$9,Paramètres!$A$1:$I$89,3,0)*VLOOKUP('Données projet'!$B$9,Paramètres!$A$1:$I$89,5,0)</f>
        <v>123.968</v>
      </c>
      <c r="P46" s="14">
        <f t="shared" si="33"/>
        <v>32.598710622532096</v>
      </c>
      <c r="Q46" s="22">
        <f t="shared" si="53"/>
        <v>272.68702100091008</v>
      </c>
      <c r="R46" s="62">
        <f t="shared" si="0"/>
        <v>566.02035433424339</v>
      </c>
      <c r="S46" s="62">
        <f ca="1">AVERAGE(OFFSET($R$3,0,0,'Données projet'!$E$9+1,1))-AVERAGE(OFFSET($H$3,0,0,'Données projet'!$E$9+1,1))</f>
        <v>175.05987582828078</v>
      </c>
      <c r="T46" s="62">
        <f t="shared" si="34"/>
        <v>268.54782308462387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6.3326124814449365</v>
      </c>
      <c r="AB46" s="23">
        <f>EXP(-LN(2)/2)*AB45+(1-EXP(-LN(2)/2))/(LN(2)/2)*V46*Y46*VLOOKUP('Données projet'!$B$9,Paramètres!$A$1:$I$89,3,0)*0.475*44/12</f>
        <v>0.13975261075781678</v>
      </c>
      <c r="AC46" s="24">
        <f t="shared" si="3"/>
        <v>6.4723650922027529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127.75776000000003</v>
      </c>
      <c r="AK46" s="14">
        <f t="shared" si="35"/>
        <v>33.477720030956604</v>
      </c>
      <c r="AL46" s="22">
        <f t="shared" si="4"/>
        <v>280.81846105391611</v>
      </c>
      <c r="AM46" s="62">
        <f t="shared" si="5"/>
        <v>574.15179438724942</v>
      </c>
      <c r="AN46" s="62">
        <f ca="1">AVERAGE(OFFSET($AM$3,0,0,'Données projet'!$E$10+1,1))-AVERAGE(OFFSET($H$3,0,0,'Données projet'!$E$10+1,1))</f>
        <v>302.55602998433079</v>
      </c>
      <c r="AO46" s="62">
        <f t="shared" si="36"/>
        <v>172.32171001882188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11.142857142857142</v>
      </c>
      <c r="BD46" s="13">
        <f>IF('Données projet'!$A$88&gt;35,BD45+BC46-BL45,IF(A46&lt;'Données projet'!$A$88,$BA$205^A46,IF(A46='Données projet'!$A$88,'Données projet'!$B$88,BD45+BC46-BL45)))</f>
        <v>218.85714285714278</v>
      </c>
      <c r="BE46" s="14">
        <f>BD46*VLOOKUP('Données projet'!$B$11,Paramètres!$A$1:$I$89,3,0)*VLOOKUP('Données projet'!$B$11,Paramètres!$A$1:$I$89,5,0)</f>
        <v>170.70857142857136</v>
      </c>
      <c r="BF46" s="14">
        <f t="shared" si="37"/>
        <v>43.248681576985376</v>
      </c>
      <c r="BG46" s="22">
        <f t="shared" si="7"/>
        <v>372.64221565134466</v>
      </c>
      <c r="BH46" s="62">
        <f t="shared" si="8"/>
        <v>665.97554898467797</v>
      </c>
      <c r="BI46" s="62">
        <f ca="1">AVERAGE(OFFSET($BH$3,0,0,'Données projet'!$E$11+1,1))-AVERAGE(OFFSET($H$3,0,0,'Données projet'!$E$11+1,1))</f>
        <v>216.95993967070063</v>
      </c>
      <c r="BJ46" s="62">
        <f t="shared" si="38"/>
        <v>208.79744153433245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141.20000000000005</v>
      </c>
      <c r="BZ46" s="14">
        <f>BY46*VLOOKUP('Données projet'!$B$12,Paramètres!$A$1:$I$89,3,0)*VLOOKUP('Données projet'!$B$12,Paramètres!$A$1:$I$89,5,0)</f>
        <v>136.56864000000004</v>
      </c>
      <c r="CA46" s="14">
        <f t="shared" si="39"/>
        <v>35.509797430964703</v>
      </c>
      <c r="CB46" s="22">
        <f t="shared" si="10"/>
        <v>299.70327852559694</v>
      </c>
      <c r="CC46" s="62">
        <f t="shared" si="11"/>
        <v>593.0366118589302</v>
      </c>
      <c r="CD46" s="62">
        <f ca="1">AVERAGE(OFFSET($CC$3,0,0,'Données projet'!$E$12+1,1))-AVERAGE(OFFSET($H$3,0,0,'Données projet'!$E$12+1,1))</f>
        <v>329.13617179625538</v>
      </c>
      <c r="CE46" s="62">
        <f t="shared" si="40"/>
        <v>186.45728006007261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10.666666666666666</v>
      </c>
      <c r="N47" s="14">
        <f>IF('Données projet'!$A$36&gt;35,N46+M47-V46,IF(A47&lt;'Données projet'!$A$36,$K$205^A47,IF(A47='Données projet'!$A$36,'Données projet'!$B$36,N46+M47-V46)))</f>
        <v>209.33333333333334</v>
      </c>
      <c r="O47" s="14">
        <f>N47*VLOOKUP('Données projet'!$B$9,Paramètres!$A$1:$I$89,3,0)*VLOOKUP('Données projet'!$B$9,Paramètres!$A$1:$I$89,5,0)</f>
        <v>130.62400000000002</v>
      </c>
      <c r="P47" s="14">
        <f t="shared" si="33"/>
        <v>34.140507202645395</v>
      </c>
      <c r="Q47" s="22">
        <f t="shared" si="53"/>
        <v>286.96485004460743</v>
      </c>
      <c r="R47" s="62">
        <f t="shared" si="0"/>
        <v>580.29818337794075</v>
      </c>
      <c r="S47" s="62">
        <f ca="1">AVERAGE(OFFSET($R$3,0,0,'Données projet'!$E$9+1,1))-AVERAGE(OFFSET($H$3,0,0,'Données projet'!$E$9+1,1))</f>
        <v>175.05987582828078</v>
      </c>
      <c r="T47" s="62">
        <f t="shared" si="34"/>
        <v>268.54782308462387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6.1594468601222081</v>
      </c>
      <c r="AB47" s="23">
        <f>EXP(-LN(2)/2)*AB46+(1-EXP(-LN(2)/2))/(LN(2)/2)*V47*Y47*VLOOKUP('Données projet'!$B$9,Paramètres!$A$1:$I$89,3,0)*0.475*44/12</f>
        <v>9.8820018755376299E-2</v>
      </c>
      <c r="AC47" s="24">
        <f t="shared" si="3"/>
        <v>6.2582668788775848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135.35808000000006</v>
      </c>
      <c r="AK47" s="14">
        <f t="shared" si="35"/>
        <v>35.231528980112834</v>
      </c>
      <c r="AL47" s="22">
        <f t="shared" si="4"/>
        <v>297.11023564036327</v>
      </c>
      <c r="AM47" s="62">
        <f t="shared" si="5"/>
        <v>590.44356897369653</v>
      </c>
      <c r="AN47" s="62">
        <f ca="1">AVERAGE(OFFSET($AM$3,0,0,'Données projet'!$E$10+1,1))-AVERAGE(OFFSET($H$3,0,0,'Données projet'!$E$10+1,1))</f>
        <v>302.55602998433079</v>
      </c>
      <c r="AO47" s="62">
        <f t="shared" si="36"/>
        <v>172.32171001882188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>
        <f>VLOOKUP(A47,'Données projet'!$A$87:$I$107,2,0)</f>
        <v>230</v>
      </c>
      <c r="BB47" s="13">
        <f>VLOOKUP(A47,'Données projet'!$A$87:$I$107,9,0)</f>
        <v>11.142857142857142</v>
      </c>
      <c r="BC47" s="13">
        <f t="array" ref="BC47">INDEX(BB:BB,MIN(IF(ISNUMBER(BB47:BB243),ROW(BB47:BB243),"")))</f>
        <v>11.142857142857142</v>
      </c>
      <c r="BD47" s="13">
        <f>IF('Données projet'!$A$88&gt;35,BD46+BC47-BL46,IF(A47&lt;'Données projet'!$A$88,$BA$205^A47,IF(A47='Données projet'!$A$88,'Données projet'!$B$88,BD46+BC47-BL46)))</f>
        <v>229.99999999999991</v>
      </c>
      <c r="BE47" s="14">
        <f>BD47*VLOOKUP('Données projet'!$B$11,Paramètres!$A$1:$I$89,3,0)*VLOOKUP('Données projet'!$B$11,Paramètres!$A$1:$I$89,5,0)</f>
        <v>179.39999999999995</v>
      </c>
      <c r="BF47" s="14">
        <f t="shared" si="37"/>
        <v>45.188671291872232</v>
      </c>
      <c r="BG47" s="22">
        <f t="shared" si="7"/>
        <v>391.15860250001066</v>
      </c>
      <c r="BH47" s="62">
        <f t="shared" si="8"/>
        <v>684.49193583334397</v>
      </c>
      <c r="BI47" s="62">
        <f ca="1">AVERAGE(OFFSET($BH$3,0,0,'Données projet'!$E$11+1,1))-AVERAGE(OFFSET($H$3,0,0,'Données projet'!$E$11+1,1))</f>
        <v>216.95993967070063</v>
      </c>
      <c r="BJ47" s="62">
        <f t="shared" si="38"/>
        <v>208.79744153433245</v>
      </c>
      <c r="BK47" s="16">
        <f>IF(ISNA(VLOOKUP(A47,'Données projet'!$A$87:$I$107,3,0)),0,VLOOKUP(A47,'Données projet'!$A$87:$I$107,3,0))</f>
        <v>6</v>
      </c>
      <c r="BL47" s="16">
        <f>IF(ISNA(VLOOKUP(A47,'Données projet'!$A$87:$I$107,4,0)),0,VLOOKUP(A47,'Données projet'!$A$87:$I$107,4,0))</f>
        <v>43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149.60000000000005</v>
      </c>
      <c r="BZ47" s="14">
        <f>BY47*VLOOKUP('Données projet'!$B$12,Paramètres!$A$1:$I$89,3,0)*VLOOKUP('Données projet'!$B$12,Paramètres!$A$1:$I$89,5,0)</f>
        <v>144.69312000000005</v>
      </c>
      <c r="CA47" s="14">
        <f t="shared" si="39"/>
        <v>37.370061524802772</v>
      </c>
      <c r="CB47" s="22">
        <f t="shared" si="10"/>
        <v>317.09337448903153</v>
      </c>
      <c r="CC47" s="62">
        <f t="shared" si="11"/>
        <v>610.42670782236485</v>
      </c>
      <c r="CD47" s="62">
        <f ca="1">AVERAGE(OFFSET($CC$3,0,0,'Données projet'!$E$12+1,1))-AVERAGE(OFFSET($H$3,0,0,'Données projet'!$E$12+1,1))</f>
        <v>329.13617179625538</v>
      </c>
      <c r="CE47" s="62">
        <f t="shared" si="40"/>
        <v>186.45728006007261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10.666666666666666</v>
      </c>
      <c r="N48" s="14">
        <f>IF('Données projet'!$A$36&gt;35,N47+M48-V47,IF(A48&lt;'Données projet'!$A$36,$K$205^A48,IF(A48='Données projet'!$A$36,'Données projet'!$B$36,N47+M48-V47)))</f>
        <v>220</v>
      </c>
      <c r="O48" s="14">
        <f>N48*VLOOKUP('Données projet'!$B$9,Paramètres!$A$1:$I$89,3,0)*VLOOKUP('Données projet'!$B$9,Paramètres!$A$1:$I$89,5,0)</f>
        <v>137.28</v>
      </c>
      <c r="P48" s="14">
        <f t="shared" si="33"/>
        <v>35.673181961873446</v>
      </c>
      <c r="Q48" s="22">
        <f t="shared" si="53"/>
        <v>301.22679191692959</v>
      </c>
      <c r="R48" s="62">
        <f t="shared" si="0"/>
        <v>594.5601252502629</v>
      </c>
      <c r="S48" s="62">
        <f ca="1">AVERAGE(OFFSET($R$3,0,0,'Données projet'!$E$9+1,1))-AVERAGE(OFFSET($H$3,0,0,'Données projet'!$E$9+1,1))</f>
        <v>175.05987582828078</v>
      </c>
      <c r="T48" s="62">
        <f t="shared" si="34"/>
        <v>268.54782308462387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5.9910164618209336</v>
      </c>
      <c r="AB48" s="23">
        <f>EXP(-LN(2)/2)*AB47+(1-EXP(-LN(2)/2))/(LN(2)/2)*V48*Y48*VLOOKUP('Données projet'!$B$9,Paramètres!$A$1:$I$89,3,0)*0.475*44/12</f>
        <v>6.987630537890839E-2</v>
      </c>
      <c r="AC48" s="24">
        <f t="shared" si="3"/>
        <v>6.0608927671998423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142.95840000000004</v>
      </c>
      <c r="AK48" s="14">
        <f t="shared" si="35"/>
        <v>36.973906370811264</v>
      </c>
      <c r="AL48" s="22">
        <f t="shared" si="4"/>
        <v>313.38210026249641</v>
      </c>
      <c r="AM48" s="62">
        <f t="shared" si="5"/>
        <v>606.71543359582972</v>
      </c>
      <c r="AN48" s="62">
        <f ca="1">AVERAGE(OFFSET($AM$3,0,0,'Données projet'!$E$10+1,1))-AVERAGE(OFFSET($H$3,0,0,'Données projet'!$E$10+1,1))</f>
        <v>302.55602998433079</v>
      </c>
      <c r="AO48" s="62">
        <f t="shared" si="36"/>
        <v>172.32171001882188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10.375</v>
      </c>
      <c r="BD48" s="13">
        <f>IF('Données projet'!$A$88&gt;35,BD47+BC48-BL47,IF(A48&lt;'Données projet'!$A$88,$BA$205^A48,IF(A48='Données projet'!$A$88,'Données projet'!$B$88,BD47+BC48-BL47)))</f>
        <v>197.37499999999991</v>
      </c>
      <c r="BE48" s="14">
        <f>BD48*VLOOKUP('Données projet'!$B$11,Paramètres!$A$1:$I$89,3,0)*VLOOKUP('Données projet'!$B$11,Paramètres!$A$1:$I$89,5,0)</f>
        <v>153.95249999999993</v>
      </c>
      <c r="BF48" s="14">
        <f t="shared" si="37"/>
        <v>39.475441267837361</v>
      </c>
      <c r="BG48" s="22">
        <f t="shared" si="7"/>
        <v>336.88699770814992</v>
      </c>
      <c r="BH48" s="62">
        <f t="shared" si="8"/>
        <v>630.22033104148318</v>
      </c>
      <c r="BI48" s="62">
        <f ca="1">AVERAGE(OFFSET($BH$3,0,0,'Données projet'!$E$11+1,1))-AVERAGE(OFFSET($H$3,0,0,'Données projet'!$E$11+1,1))</f>
        <v>216.95993967070063</v>
      </c>
      <c r="BJ48" s="62">
        <f t="shared" si="38"/>
        <v>208.79744153433245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158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158.00000000000006</v>
      </c>
      <c r="BZ48" s="14">
        <f>BY48*VLOOKUP('Données projet'!$B$12,Paramètres!$A$1:$I$89,3,0)*VLOOKUP('Données projet'!$B$12,Paramètres!$A$1:$I$89,5,0)</f>
        <v>152.81760000000006</v>
      </c>
      <c r="CA48" s="14">
        <f t="shared" si="39"/>
        <v>39.218200171484227</v>
      </c>
      <c r="CB48" s="22">
        <f t="shared" si="10"/>
        <v>334.46235196533513</v>
      </c>
      <c r="CC48" s="62">
        <f t="shared" si="11"/>
        <v>627.79568529866845</v>
      </c>
      <c r="CD48" s="62">
        <f ca="1">AVERAGE(OFFSET($CC$3,0,0,'Données projet'!$E$12+1,1))-AVERAGE(OFFSET($H$3,0,0,'Données projet'!$E$12+1,1))</f>
        <v>329.13617179625538</v>
      </c>
      <c r="CE48" s="62">
        <f t="shared" si="40"/>
        <v>186.45728006007261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10.666666666666666</v>
      </c>
      <c r="N49" s="14">
        <f>IF('Données projet'!$A$36&gt;35,N48+M49-V48,IF(A49&lt;'Données projet'!$A$36,$K$205^A49,IF(A49='Données projet'!$A$36,'Données projet'!$B$36,N48+M49-V48)))</f>
        <v>230.66666666666666</v>
      </c>
      <c r="O49" s="14">
        <f>N49*VLOOKUP('Données projet'!$B$9,Paramètres!$A$1:$I$89,3,0)*VLOOKUP('Données projet'!$B$9,Paramètres!$A$1:$I$89,5,0)</f>
        <v>143.93599999999998</v>
      </c>
      <c r="P49" s="14">
        <f t="shared" si="33"/>
        <v>37.197227655019397</v>
      </c>
      <c r="Q49" s="22">
        <f t="shared" si="53"/>
        <v>315.47370483249205</v>
      </c>
      <c r="R49" s="62">
        <f t="shared" si="0"/>
        <v>608.80703816582536</v>
      </c>
      <c r="S49" s="62">
        <f ca="1">AVERAGE(OFFSET($R$3,0,0,'Données projet'!$E$9+1,1))-AVERAGE(OFFSET($H$3,0,0,'Données projet'!$E$9+1,1))</f>
        <v>175.05987582828078</v>
      </c>
      <c r="T49" s="62">
        <f t="shared" si="34"/>
        <v>268.54782308462387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5.8271918016185769</v>
      </c>
      <c r="AB49" s="23">
        <f>EXP(-LN(2)/2)*AB48+(1-EXP(-LN(2)/2))/(LN(2)/2)*V49*Y49*VLOOKUP('Données projet'!$B$9,Paramètres!$A$1:$I$89,3,0)*0.475*44/12</f>
        <v>4.9410009377688149E-2</v>
      </c>
      <c r="AC49" s="24">
        <f t="shared" si="3"/>
        <v>5.8766018109962648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166.20000000000005</v>
      </c>
      <c r="AJ49" s="14">
        <f>AI49*VLOOKUP('Données projet'!$B$10,Paramètres!$A$1:$I$89,3,0)*VLOOKUP('Données projet'!$B$10,Paramètres!$A$1:$I$89,5,0)</f>
        <v>150.37776000000002</v>
      </c>
      <c r="AK49" s="14">
        <f t="shared" si="35"/>
        <v>38.664420365454049</v>
      </c>
      <c r="AL49" s="22">
        <f t="shared" si="4"/>
        <v>329.24846413649914</v>
      </c>
      <c r="AM49" s="62">
        <f t="shared" si="5"/>
        <v>622.58179746983251</v>
      </c>
      <c r="AN49" s="62">
        <f ca="1">AVERAGE(OFFSET($AM$3,0,0,'Données projet'!$E$10+1,1))-AVERAGE(OFFSET($H$3,0,0,'Données projet'!$E$10+1,1))</f>
        <v>302.55602998433079</v>
      </c>
      <c r="AO49" s="62">
        <f t="shared" si="36"/>
        <v>172.32171001882188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10.375</v>
      </c>
      <c r="BD49" s="13">
        <f>IF('Données projet'!$A$88&gt;35,BD48+BC49-BL48,IF(A49&lt;'Données projet'!$A$88,$BA$205^A49,IF(A49='Données projet'!$A$88,'Données projet'!$B$88,BD48+BC49-BL48)))</f>
        <v>207.74999999999991</v>
      </c>
      <c r="BE49" s="14">
        <f>BD49*VLOOKUP('Données projet'!$B$11,Paramètres!$A$1:$I$89,3,0)*VLOOKUP('Données projet'!$B$11,Paramètres!$A$1:$I$89,5,0)</f>
        <v>162.04499999999993</v>
      </c>
      <c r="BF49" s="14">
        <f t="shared" si="37"/>
        <v>41.303429372463391</v>
      </c>
      <c r="BG49" s="22">
        <f t="shared" si="7"/>
        <v>354.16518115704025</v>
      </c>
      <c r="BH49" s="62">
        <f t="shared" si="8"/>
        <v>647.49851449037351</v>
      </c>
      <c r="BI49" s="62">
        <f ca="1">AVERAGE(OFFSET($BH$3,0,0,'Données projet'!$E$11+1,1))-AVERAGE(OFFSET($H$3,0,0,'Données projet'!$E$11+1,1))</f>
        <v>216.95993967070063</v>
      </c>
      <c r="BJ49" s="62">
        <f t="shared" si="38"/>
        <v>208.79744153433245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8.1999999999999993</v>
      </c>
      <c r="BY49" s="13">
        <f>IF('Données projet'!$A$114&gt;35,BY48+BX49-CG48,IF(A49&lt;'Données projet'!$A$114,$BV$205^A49,IF(A49='Données projet'!$A$114,'Données projet'!$B$114,BY48+BX49-CG48)))</f>
        <v>166.20000000000005</v>
      </c>
      <c r="BZ49" s="14">
        <f>BY49*VLOOKUP('Données projet'!$B$12,Paramètres!$A$1:$I$89,3,0)*VLOOKUP('Données projet'!$B$12,Paramètres!$A$1:$I$89,5,0)</f>
        <v>160.74864000000005</v>
      </c>
      <c r="CA49" s="14">
        <f t="shared" si="39"/>
        <v>41.011327345272264</v>
      </c>
      <c r="CB49" s="22">
        <f t="shared" si="10"/>
        <v>351.39860979301596</v>
      </c>
      <c r="CC49" s="62">
        <f t="shared" si="11"/>
        <v>644.73194312634928</v>
      </c>
      <c r="CD49" s="62">
        <f ca="1">AVERAGE(OFFSET($CC$3,0,0,'Données projet'!$E$12+1,1))-AVERAGE(OFFSET($H$3,0,0,'Données projet'!$E$12+1,1))</f>
        <v>329.13617179625538</v>
      </c>
      <c r="CE49" s="62">
        <f t="shared" si="40"/>
        <v>186.45728006007261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10.666666666666666</v>
      </c>
      <c r="N50" s="14">
        <f>IF('Données projet'!$A$36&gt;35,N49+M50-V49,IF(A50&lt;'Données projet'!$A$36,$K$205^A50,IF(A50='Données projet'!$A$36,'Données projet'!$B$36,N49+M50-V49)))</f>
        <v>241.33333333333331</v>
      </c>
      <c r="O50" s="14">
        <f>N50*VLOOKUP('Données projet'!$B$9,Paramètres!$A$1:$I$89,3,0)*VLOOKUP('Données projet'!$B$9,Paramètres!$A$1:$I$89,5,0)</f>
        <v>150.59199999999998</v>
      </c>
      <c r="P50" s="14">
        <f t="shared" si="33"/>
        <v>38.713088888505631</v>
      </c>
      <c r="Q50" s="22">
        <f t="shared" si="53"/>
        <v>329.70636314748066</v>
      </c>
      <c r="R50" s="62">
        <f t="shared" si="0"/>
        <v>623.03969648081397</v>
      </c>
      <c r="S50" s="62">
        <f ca="1">AVERAGE(OFFSET($R$3,0,0,'Données projet'!$E$9+1,1))-AVERAGE(OFFSET($H$3,0,0,'Données projet'!$E$9+1,1))</f>
        <v>175.05987582828078</v>
      </c>
      <c r="T50" s="62">
        <f t="shared" si="34"/>
        <v>268.54782308462387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5.6678469353646186</v>
      </c>
      <c r="AB50" s="23">
        <f>EXP(-LN(2)/2)*AB49+(1-EXP(-LN(2)/2))/(LN(2)/2)*V50*Y50*VLOOKUP('Données projet'!$B$9,Paramètres!$A$1:$I$89,3,0)*0.475*44/12</f>
        <v>3.4938152689454195E-2</v>
      </c>
      <c r="AC50" s="24">
        <f t="shared" si="3"/>
        <v>5.7027850880540729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174.40000000000003</v>
      </c>
      <c r="AJ50" s="14">
        <f>AI50*VLOOKUP('Données projet'!$B$10,Paramètres!$A$1:$I$89,3,0)*VLOOKUP('Données projet'!$B$10,Paramètres!$A$1:$I$89,5,0)</f>
        <v>157.79712000000004</v>
      </c>
      <c r="AK50" s="14">
        <f t="shared" si="35"/>
        <v>40.345249481546155</v>
      </c>
      <c r="AL50" s="22">
        <f t="shared" si="4"/>
        <v>345.09796018035962</v>
      </c>
      <c r="AM50" s="62">
        <f t="shared" si="5"/>
        <v>638.43129351369294</v>
      </c>
      <c r="AN50" s="62">
        <f ca="1">AVERAGE(OFFSET($AM$3,0,0,'Données projet'!$E$10+1,1))-AVERAGE(OFFSET($H$3,0,0,'Données projet'!$E$10+1,1))</f>
        <v>302.55602998433079</v>
      </c>
      <c r="AO50" s="62">
        <f t="shared" si="36"/>
        <v>172.32171001882188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10.375</v>
      </c>
      <c r="BD50" s="13">
        <f>IF('Données projet'!$A$88&gt;35,BD49+BC50-BL49,IF(A50&lt;'Données projet'!$A$88,$BA$205^A50,IF(A50='Données projet'!$A$88,'Données projet'!$B$88,BD49+BC50-BL49)))</f>
        <v>218.12499999999991</v>
      </c>
      <c r="BE50" s="14">
        <f>BD50*VLOOKUP('Données projet'!$B$11,Paramètres!$A$1:$I$89,3,0)*VLOOKUP('Données projet'!$B$11,Paramètres!$A$1:$I$89,5,0)</f>
        <v>170.13749999999993</v>
      </c>
      <c r="BF50" s="14">
        <f t="shared" si="37"/>
        <v>43.120817562072375</v>
      </c>
      <c r="BG50" s="22">
        <f t="shared" si="7"/>
        <v>371.42490308727588</v>
      </c>
      <c r="BH50" s="62">
        <f t="shared" si="8"/>
        <v>664.75823642060914</v>
      </c>
      <c r="BI50" s="62">
        <f ca="1">AVERAGE(OFFSET($BH$3,0,0,'Données projet'!$E$11+1,1))-AVERAGE(OFFSET($H$3,0,0,'Données projet'!$E$11+1,1))</f>
        <v>216.95993967070063</v>
      </c>
      <c r="BJ50" s="62">
        <f t="shared" si="38"/>
        <v>208.79744153433245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8.1999999999999993</v>
      </c>
      <c r="BY50" s="13">
        <f>IF('Données projet'!$A$114&gt;35,BY49+BX50-CG49,IF(A50&lt;'Données projet'!$A$114,$BV$205^A50,IF(A50='Données projet'!$A$114,'Données projet'!$B$114,BY49+BX50-CG49)))</f>
        <v>174.40000000000003</v>
      </c>
      <c r="BZ50" s="14">
        <f>BY50*VLOOKUP('Données projet'!$B$12,Paramètres!$A$1:$I$89,3,0)*VLOOKUP('Données projet'!$B$12,Paramètres!$A$1:$I$89,5,0)</f>
        <v>168.67968000000002</v>
      </c>
      <c r="CA50" s="14">
        <f t="shared" si="39"/>
        <v>42.794181774227013</v>
      </c>
      <c r="CB50" s="22">
        <f t="shared" si="10"/>
        <v>368.3169759234454</v>
      </c>
      <c r="CC50" s="62">
        <f t="shared" si="11"/>
        <v>661.65030925677866</v>
      </c>
      <c r="CD50" s="62">
        <f ca="1">AVERAGE(OFFSET($CC$3,0,0,'Données projet'!$E$12+1,1))-AVERAGE(OFFSET($H$3,0,0,'Données projet'!$E$12+1,1))</f>
        <v>329.13617179625538</v>
      </c>
      <c r="CE50" s="62">
        <f t="shared" si="40"/>
        <v>186.45728006007261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>
        <f>VLOOKUP(A51,'Données projet'!$A$35:$I$55,2,0)</f>
        <v>252</v>
      </c>
      <c r="L51" s="13">
        <f>VLOOKUP(A51,'Données projet'!$A$35:$I$55,9,0)</f>
        <v>10.666666666666666</v>
      </c>
      <c r="M51" s="13">
        <f t="array" ref="M51">INDEX(L:L,MIN(IF(ISNUMBER(L51:L247),ROW(L51:L247),"")))</f>
        <v>10.666666666666666</v>
      </c>
      <c r="N51" s="14">
        <f>IF('Données projet'!$A$36&gt;35,N50+M51-V50,IF(A51&lt;'Données projet'!$A$36,$K$205^A51,IF(A51='Données projet'!$A$36,'Données projet'!$B$36,N50+M51-V50)))</f>
        <v>251.99999999999997</v>
      </c>
      <c r="O51" s="14">
        <f>N51*VLOOKUP('Données projet'!$B$9,Paramètres!$A$1:$I$89,3,0)*VLOOKUP('Données projet'!$B$9,Paramètres!$A$1:$I$89,5,0)</f>
        <v>157.24799999999999</v>
      </c>
      <c r="P51" s="14">
        <f t="shared" si="33"/>
        <v>40.22116874434861</v>
      </c>
      <c r="Q51" s="22">
        <f t="shared" si="53"/>
        <v>343.92546889640715</v>
      </c>
      <c r="R51" s="62">
        <f t="shared" si="0"/>
        <v>637.25880222974047</v>
      </c>
      <c r="S51" s="62">
        <f ca="1">AVERAGE(OFFSET($R$3,0,0,'Données projet'!$E$9+1,1))-AVERAGE(OFFSET($H$3,0,0,'Données projet'!$E$9+1,1))</f>
        <v>175.05987582828078</v>
      </c>
      <c r="T51" s="62">
        <f t="shared" si="34"/>
        <v>268.54782308462387</v>
      </c>
      <c r="U51" s="16">
        <f>IF(ISNA(VLOOKUP(A51,'Données projet'!$A$35:$I$55,3,0)),0,VLOOKUP(A51,'Données projet'!$A$35:$I$55,3,0))</f>
        <v>7</v>
      </c>
      <c r="V51" s="16">
        <f>IF(ISNA(VLOOKUP(A51,'Données projet'!$A$35:$I$55,4,0)),0,VLOOKUP(A51,'Données projet'!$A$35:$I$55,4,0))</f>
        <v>65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5.5128593628579567</v>
      </c>
      <c r="AB51" s="23">
        <f>EXP(-LN(2)/2)*AB50+(1-EXP(-LN(2)/2))/(LN(2)/2)*V51*Y51*VLOOKUP('Données projet'!$B$9,Paramètres!$A$1:$I$89,3,0)*0.475*44/12</f>
        <v>2.4705004688844075E-2</v>
      </c>
      <c r="AC51" s="24">
        <f t="shared" si="3"/>
        <v>5.5375643675468007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182.60000000000002</v>
      </c>
      <c r="AJ51" s="14">
        <f>AI51*VLOOKUP('Données projet'!$B$10,Paramètres!$A$1:$I$89,3,0)*VLOOKUP('Données projet'!$B$10,Paramètres!$A$1:$I$89,5,0)</f>
        <v>165.21648000000002</v>
      </c>
      <c r="AK51" s="14">
        <f t="shared" si="35"/>
        <v>42.016901084500397</v>
      </c>
      <c r="AL51" s="22">
        <f t="shared" si="4"/>
        <v>360.93147205550491</v>
      </c>
      <c r="AM51" s="62">
        <f t="shared" si="5"/>
        <v>654.26480538883823</v>
      </c>
      <c r="AN51" s="62">
        <f ca="1">AVERAGE(OFFSET($AM$3,0,0,'Données projet'!$E$10+1,1))-AVERAGE(OFFSET($H$3,0,0,'Données projet'!$E$10+1,1))</f>
        <v>302.55602998433079</v>
      </c>
      <c r="AO51" s="62">
        <f t="shared" si="36"/>
        <v>172.32171001882188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10.375</v>
      </c>
      <c r="BD51" s="13">
        <f>IF('Données projet'!$A$88&gt;35,BD50+BC51-BL50,IF(A51&lt;'Données projet'!$A$88,$BA$205^A51,IF(A51='Données projet'!$A$88,'Données projet'!$B$88,BD50+BC51-BL50)))</f>
        <v>228.49999999999991</v>
      </c>
      <c r="BE51" s="14">
        <f>BD51*VLOOKUP('Données projet'!$B$11,Paramètres!$A$1:$I$89,3,0)*VLOOKUP('Données projet'!$B$11,Paramètres!$A$1:$I$89,5,0)</f>
        <v>178.22999999999993</v>
      </c>
      <c r="BF51" s="14">
        <f t="shared" si="37"/>
        <v>44.928167580487852</v>
      </c>
      <c r="BG51" s="22">
        <f t="shared" si="7"/>
        <v>388.66714186934951</v>
      </c>
      <c r="BH51" s="62">
        <f t="shared" si="8"/>
        <v>682.00047520268276</v>
      </c>
      <c r="BI51" s="62">
        <f ca="1">AVERAGE(OFFSET($BH$3,0,0,'Données projet'!$E$11+1,1))-AVERAGE(OFFSET($H$3,0,0,'Données projet'!$E$11+1,1))</f>
        <v>216.95993967070063</v>
      </c>
      <c r="BJ51" s="62">
        <f t="shared" si="38"/>
        <v>208.79744153433245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8.1999999999999993</v>
      </c>
      <c r="BY51" s="13">
        <f>IF('Données projet'!$A$114&gt;35,BY50+BX51-CG50,IF(A51&lt;'Données projet'!$A$114,$BV$205^A51,IF(A51='Données projet'!$A$114,'Données projet'!$B$114,BY50+BX51-CG50)))</f>
        <v>182.60000000000002</v>
      </c>
      <c r="BZ51" s="14">
        <f>BY51*VLOOKUP('Données projet'!$B$12,Paramètres!$A$1:$I$89,3,0)*VLOOKUP('Données projet'!$B$12,Paramètres!$A$1:$I$89,5,0)</f>
        <v>176.61072000000004</v>
      </c>
      <c r="CA51" s="14">
        <f t="shared" si="39"/>
        <v>44.56730162053563</v>
      </c>
      <c r="CB51" s="22">
        <f t="shared" si="10"/>
        <v>385.21838765576626</v>
      </c>
      <c r="CC51" s="62">
        <f t="shared" si="11"/>
        <v>678.55172098909952</v>
      </c>
      <c r="CD51" s="62">
        <f ca="1">AVERAGE(OFFSET($CC$3,0,0,'Données projet'!$E$12+1,1))-AVERAGE(OFFSET($H$3,0,0,'Données projet'!$E$12+1,1))</f>
        <v>329.13617179625538</v>
      </c>
      <c r="CE51" s="62">
        <f t="shared" si="40"/>
        <v>186.45728006007261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9.75</v>
      </c>
      <c r="N52" s="14">
        <f>IF('Données projet'!$A$36&gt;35,N51+M52-V51,IF(A52&lt;'Données projet'!$A$36,$K$205^A52,IF(A52='Données projet'!$A$36,'Données projet'!$B$36,N51+M52-V51)))</f>
        <v>196.75</v>
      </c>
      <c r="O52" s="14">
        <f>N52*VLOOKUP('Données projet'!$B$9,Paramètres!$A$1:$I$89,3,0)*VLOOKUP('Données projet'!$B$9,Paramètres!$A$1:$I$89,5,0)</f>
        <v>122.77200000000001</v>
      </c>
      <c r="P52" s="14">
        <f t="shared" si="33"/>
        <v>32.320660955470466</v>
      </c>
      <c r="Q52" s="22">
        <f t="shared" si="53"/>
        <v>270.11971783077774</v>
      </c>
      <c r="R52" s="62">
        <f t="shared" si="0"/>
        <v>563.453051164111</v>
      </c>
      <c r="S52" s="62">
        <f ca="1">AVERAGE(OFFSET($R$3,0,0,'Données projet'!$E$9+1,1))-AVERAGE(OFFSET($H$3,0,0,'Données projet'!$E$9+1,1))</f>
        <v>175.05987582828078</v>
      </c>
      <c r="T52" s="62">
        <f t="shared" si="34"/>
        <v>268.54782308462387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5.362109933671932</v>
      </c>
      <c r="AB52" s="23">
        <f>EXP(-LN(2)/2)*AB51+(1-EXP(-LN(2)/2))/(LN(2)/2)*V52*Y52*VLOOKUP('Données projet'!$B$9,Paramètres!$A$1:$I$89,3,0)*0.475*44/12</f>
        <v>1.7469076344727098E-2</v>
      </c>
      <c r="AC52" s="24">
        <f t="shared" si="3"/>
        <v>5.3795790100166592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190.8</v>
      </c>
      <c r="AJ52" s="14">
        <f>AI52*VLOOKUP('Données projet'!$B$10,Paramètres!$A$1:$I$89,3,0)*VLOOKUP('Données projet'!$B$10,Paramètres!$A$1:$I$89,5,0)</f>
        <v>172.63584</v>
      </c>
      <c r="AK52" s="14">
        <f t="shared" si="35"/>
        <v>43.679834395222109</v>
      </c>
      <c r="AL52" s="22">
        <f t="shared" si="4"/>
        <v>376.74979957167847</v>
      </c>
      <c r="AM52" s="62">
        <f t="shared" si="5"/>
        <v>670.08313290501178</v>
      </c>
      <c r="AN52" s="62">
        <f ca="1">AVERAGE(OFFSET($AM$3,0,0,'Données projet'!$E$10+1,1))-AVERAGE(OFFSET($H$3,0,0,'Données projet'!$E$10+1,1))</f>
        <v>302.55602998433079</v>
      </c>
      <c r="AO52" s="62">
        <f t="shared" si="36"/>
        <v>172.32171001882188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10.375</v>
      </c>
      <c r="BD52" s="13">
        <f>IF('Données projet'!$A$88&gt;35,BD51+BC52-BL51,IF(A52&lt;'Données projet'!$A$88,$BA$205^A52,IF(A52='Données projet'!$A$88,'Données projet'!$B$88,BD51+BC52-BL51)))</f>
        <v>238.87499999999991</v>
      </c>
      <c r="BE52" s="14">
        <f>BD52*VLOOKUP('Données projet'!$B$11,Paramètres!$A$1:$I$89,3,0)*VLOOKUP('Données projet'!$B$11,Paramètres!$A$1:$I$89,5,0)</f>
        <v>186.32249999999993</v>
      </c>
      <c r="BF52" s="14">
        <f t="shared" si="37"/>
        <v>46.725987276254116</v>
      </c>
      <c r="BG52" s="22">
        <f t="shared" si="7"/>
        <v>405.8927820061424</v>
      </c>
      <c r="BH52" s="62">
        <f t="shared" si="8"/>
        <v>699.22611533947565</v>
      </c>
      <c r="BI52" s="62">
        <f ca="1">AVERAGE(OFFSET($BH$3,0,0,'Données projet'!$E$11+1,1))-AVERAGE(OFFSET($H$3,0,0,'Données projet'!$E$11+1,1))</f>
        <v>216.95993967070063</v>
      </c>
      <c r="BJ52" s="62">
        <f t="shared" si="38"/>
        <v>208.79744153433245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8.1999999999999993</v>
      </c>
      <c r="BY52" s="13">
        <f>IF('Données projet'!$A$114&gt;35,BY51+BX52-CG51,IF(A52&lt;'Données projet'!$A$114,$BV$205^A52,IF(A52='Données projet'!$A$114,'Données projet'!$B$114,BY51+BX52-CG51)))</f>
        <v>190.8</v>
      </c>
      <c r="BZ52" s="14">
        <f>BY52*VLOOKUP('Données projet'!$B$12,Paramètres!$A$1:$I$89,3,0)*VLOOKUP('Données projet'!$B$12,Paramètres!$A$1:$I$89,5,0)</f>
        <v>184.54176000000001</v>
      </c>
      <c r="CA52" s="14">
        <f t="shared" si="39"/>
        <v>46.33117397953523</v>
      </c>
      <c r="CB52" s="22">
        <f t="shared" si="10"/>
        <v>402.10369334769052</v>
      </c>
      <c r="CC52" s="62">
        <f t="shared" si="11"/>
        <v>695.43702668102378</v>
      </c>
      <c r="CD52" s="62">
        <f ca="1">AVERAGE(OFFSET($CC$3,0,0,'Données projet'!$E$12+1,1))-AVERAGE(OFFSET($H$3,0,0,'Données projet'!$E$12+1,1))</f>
        <v>329.13617179625538</v>
      </c>
      <c r="CE52" s="62">
        <f t="shared" si="40"/>
        <v>186.45728006007261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9.75</v>
      </c>
      <c r="N53" s="14">
        <f>IF('Données projet'!$A$36&gt;35,N52+M53-V52,IF(A53&lt;'Données projet'!$A$36,$K$205^A53,IF(A53='Données projet'!$A$36,'Données projet'!$B$36,N52+M53-V52)))</f>
        <v>206.5</v>
      </c>
      <c r="O53" s="14">
        <f>N53*VLOOKUP('Données projet'!$B$9,Paramètres!$A$1:$I$89,3,0)*VLOOKUP('Données projet'!$B$9,Paramètres!$A$1:$I$89,5,0)</f>
        <v>128.85599999999999</v>
      </c>
      <c r="P53" s="14">
        <f t="shared" si="33"/>
        <v>33.731878688740906</v>
      </c>
      <c r="Q53" s="22">
        <f t="shared" si="53"/>
        <v>283.1738887162237</v>
      </c>
      <c r="R53" s="62">
        <f t="shared" si="0"/>
        <v>576.50722204955696</v>
      </c>
      <c r="S53" s="62">
        <f ca="1">AVERAGE(OFFSET($R$3,0,0,'Données projet'!$E$9+1,1))-AVERAGE(OFFSET($H$3,0,0,'Données projet'!$E$9+1,1))</f>
        <v>175.05987582828078</v>
      </c>
      <c r="T53" s="62">
        <f t="shared" si="34"/>
        <v>268.54782308462387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5.2154827555545671</v>
      </c>
      <c r="AB53" s="23">
        <f>EXP(-LN(2)/2)*AB52+(1-EXP(-LN(2)/2))/(LN(2)/2)*V53*Y53*VLOOKUP('Données projet'!$B$9,Paramètres!$A$1:$I$89,3,0)*0.475*44/12</f>
        <v>1.2352502344422037E-2</v>
      </c>
      <c r="AC53" s="24">
        <f t="shared" si="3"/>
        <v>5.2278352578989891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199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199</v>
      </c>
      <c r="AJ53" s="14">
        <f>AI53*VLOOKUP('Données projet'!$B$10,Paramètres!$A$1:$I$89,3,0)*VLOOKUP('Données projet'!$B$10,Paramètres!$A$1:$I$89,5,0)</f>
        <v>180.05519999999999</v>
      </c>
      <c r="AK53" s="14">
        <f t="shared" si="35"/>
        <v>45.334466930398364</v>
      </c>
      <c r="AL53" s="22">
        <f t="shared" si="4"/>
        <v>392.55366990377706</v>
      </c>
      <c r="AM53" s="62">
        <f t="shared" si="5"/>
        <v>685.88700323711032</v>
      </c>
      <c r="AN53" s="62">
        <f ca="1">AVERAGE(OFFSET($AM$3,0,0,'Données projet'!$E$10+1,1))-AVERAGE(OFFSET($H$3,0,0,'Données projet'!$E$10+1,1))</f>
        <v>302.55602998433079</v>
      </c>
      <c r="AO53" s="62">
        <f t="shared" si="36"/>
        <v>172.32171001882188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10.375</v>
      </c>
      <c r="BD53" s="13">
        <f>IF('Données projet'!$A$88&gt;35,BD52+BC53-BL52,IF(A53&lt;'Données projet'!$A$88,$BA$205^A53,IF(A53='Données projet'!$A$88,'Données projet'!$B$88,BD52+BC53-BL52)))</f>
        <v>249.24999999999991</v>
      </c>
      <c r="BE53" s="14">
        <f>BD53*VLOOKUP('Données projet'!$B$11,Paramètres!$A$1:$I$89,3,0)*VLOOKUP('Données projet'!$B$11,Paramètres!$A$1:$I$89,5,0)</f>
        <v>194.41499999999994</v>
      </c>
      <c r="BF53" s="14">
        <f t="shared" si="37"/>
        <v>48.514737888684927</v>
      </c>
      <c r="BG53" s="22">
        <f t="shared" si="7"/>
        <v>423.10262682279273</v>
      </c>
      <c r="BH53" s="62">
        <f t="shared" si="8"/>
        <v>716.43596015612604</v>
      </c>
      <c r="BI53" s="62">
        <f ca="1">AVERAGE(OFFSET($BH$3,0,0,'Données projet'!$E$11+1,1))-AVERAGE(OFFSET($H$3,0,0,'Données projet'!$E$11+1,1))</f>
        <v>216.95993967070063</v>
      </c>
      <c r="BJ53" s="62">
        <f t="shared" si="38"/>
        <v>208.79744153433245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199</v>
      </c>
      <c r="BW53" s="13">
        <f>VLOOKUP(A53,'Données projet'!$A$113:$I$133,9,0)</f>
        <v>8.1999999999999993</v>
      </c>
      <c r="BX53" s="13">
        <f t="array" ref="BX53">INDEX(BW:BW,MIN(IF(ISNUMBER(BW53:BW249),ROW(BW53:BW249),"")))</f>
        <v>8.1999999999999993</v>
      </c>
      <c r="BY53" s="13">
        <f>IF('Données projet'!$A$114&gt;35,BY52+BX53-CG52,IF(A53&lt;'Données projet'!$A$114,$BV$205^A53,IF(A53='Données projet'!$A$114,'Données projet'!$B$114,BY52+BX53-CG52)))</f>
        <v>199</v>
      </c>
      <c r="BZ53" s="14">
        <f>BY53*VLOOKUP('Données projet'!$B$12,Paramètres!$A$1:$I$89,3,0)*VLOOKUP('Données projet'!$B$12,Paramètres!$A$1:$I$89,5,0)</f>
        <v>192.47280000000001</v>
      </c>
      <c r="CA53" s="14">
        <f t="shared" si="39"/>
        <v>48.086241710923829</v>
      </c>
      <c r="CB53" s="22">
        <f t="shared" si="10"/>
        <v>418.97366431319239</v>
      </c>
      <c r="CC53" s="62">
        <f t="shared" si="11"/>
        <v>712.3069976465257</v>
      </c>
      <c r="CD53" s="62">
        <f ca="1">AVERAGE(OFFSET($CC$3,0,0,'Données projet'!$E$12+1,1))-AVERAGE(OFFSET($H$3,0,0,'Données projet'!$E$12+1,1))</f>
        <v>329.13617179625538</v>
      </c>
      <c r="CE53" s="62">
        <f t="shared" si="40"/>
        <v>186.45728006007261</v>
      </c>
      <c r="CF53" s="16">
        <f>IF(ISNA(VLOOKUP(A53,'Données projet'!$A$113:$I$133,3,0)),0,VLOOKUP(A53,'Données projet'!$A$113:$I$133,3,0))</f>
        <v>3</v>
      </c>
      <c r="CG53" s="16">
        <f>IF(ISNA(VLOOKUP(A53,'Données projet'!$A$113:$I$133,4,0)),0,VLOOKUP(A53,'Données projet'!$A$113:$I$133,4,0))</f>
        <v>42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9.75</v>
      </c>
      <c r="N54" s="14">
        <f>IF('Données projet'!$A$36&gt;35,N53+M54-V53,IF(A54&lt;'Données projet'!$A$36,$K$205^A54,IF(A54='Données projet'!$A$36,'Données projet'!$B$36,N53+M54-V53)))</f>
        <v>216.25</v>
      </c>
      <c r="O54" s="14">
        <f>N54*VLOOKUP('Données projet'!$B$9,Paramètres!$A$1:$I$89,3,0)*VLOOKUP('Données projet'!$B$9,Paramètres!$A$1:$I$89,5,0)</f>
        <v>134.94</v>
      </c>
      <c r="P54" s="14">
        <f t="shared" si="33"/>
        <v>35.135358771568036</v>
      </c>
      <c r="Q54" s="22">
        <f t="shared" si="53"/>
        <v>296.21458319381429</v>
      </c>
      <c r="R54" s="62">
        <f t="shared" si="0"/>
        <v>589.54791652714766</v>
      </c>
      <c r="S54" s="62">
        <f ca="1">AVERAGE(OFFSET($R$3,0,0,'Données projet'!$E$9+1,1))-AVERAGE(OFFSET($H$3,0,0,'Données projet'!$E$9+1,1))</f>
        <v>175.05987582828078</v>
      </c>
      <c r="T54" s="62">
        <f t="shared" si="34"/>
        <v>268.54782308462387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5.0728651053336096</v>
      </c>
      <c r="AB54" s="23">
        <f>EXP(-LN(2)/2)*AB53+(1-EXP(-LN(2)/2))/(LN(2)/2)*V54*Y54*VLOOKUP('Données projet'!$B$9,Paramètres!$A$1:$I$89,3,0)*0.475*44/12</f>
        <v>8.7345381723635488E-3</v>
      </c>
      <c r="AC54" s="24">
        <f t="shared" si="3"/>
        <v>5.0815996435059727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149.29199999999997</v>
      </c>
      <c r="AK54" s="14">
        <f t="shared" si="35"/>
        <v>38.417645803815411</v>
      </c>
      <c r="AL54" s="22">
        <f t="shared" si="4"/>
        <v>326.9276331083118</v>
      </c>
      <c r="AM54" s="62">
        <f t="shared" si="5"/>
        <v>620.26096644164511</v>
      </c>
      <c r="AN54" s="62">
        <f ca="1">AVERAGE(OFFSET($AM$3,0,0,'Données projet'!$E$10+1,1))-AVERAGE(OFFSET($H$3,0,0,'Données projet'!$E$10+1,1))</f>
        <v>302.55602998433079</v>
      </c>
      <c r="AO54" s="62">
        <f t="shared" si="36"/>
        <v>172.32171001882188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10.375</v>
      </c>
      <c r="BD54" s="13">
        <f>IF('Données projet'!$A$88&gt;35,BD53+BC54-BL53,IF(A54&lt;'Données projet'!$A$88,$BA$205^A54,IF(A54='Données projet'!$A$88,'Données projet'!$B$88,BD53+BC54-BL53)))</f>
        <v>259.62499999999989</v>
      </c>
      <c r="BE54" s="14">
        <f>BD54*VLOOKUP('Données projet'!$B$11,Paramètres!$A$1:$I$89,3,0)*VLOOKUP('Données projet'!$B$11,Paramètres!$A$1:$I$89,5,0)</f>
        <v>202.50749999999991</v>
      </c>
      <c r="BF54" s="14">
        <f t="shared" si="37"/>
        <v>50.294840086606349</v>
      </c>
      <c r="BG54" s="22">
        <f t="shared" si="7"/>
        <v>440.29740898417253</v>
      </c>
      <c r="BH54" s="62">
        <f t="shared" si="8"/>
        <v>733.63074231750579</v>
      </c>
      <c r="BI54" s="62">
        <f ca="1">AVERAGE(OFFSET($BH$3,0,0,'Données projet'!$E$11+1,1))-AVERAGE(OFFSET($H$3,0,0,'Données projet'!$E$11+1,1))</f>
        <v>216.95993967070063</v>
      </c>
      <c r="BJ54" s="62">
        <f t="shared" si="38"/>
        <v>208.79744153433245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165</v>
      </c>
      <c r="BZ54" s="14">
        <f>BY54*VLOOKUP('Données projet'!$B$12,Paramètres!$A$1:$I$89,3,0)*VLOOKUP('Données projet'!$B$12,Paramètres!$A$1:$I$89,5,0)</f>
        <v>159.58799999999999</v>
      </c>
      <c r="CA54" s="14">
        <f t="shared" si="39"/>
        <v>40.74957371668588</v>
      </c>
      <c r="CB54" s="22">
        <f t="shared" si="10"/>
        <v>348.92127422322784</v>
      </c>
      <c r="CC54" s="62">
        <f t="shared" si="11"/>
        <v>642.25460755656115</v>
      </c>
      <c r="CD54" s="62">
        <f ca="1">AVERAGE(OFFSET($CC$3,0,0,'Données projet'!$E$12+1,1))-AVERAGE(OFFSET($H$3,0,0,'Données projet'!$E$12+1,1))</f>
        <v>329.13617179625538</v>
      </c>
      <c r="CE54" s="62">
        <f t="shared" si="40"/>
        <v>186.45728006007261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9.75</v>
      </c>
      <c r="N55" s="14">
        <f>IF('Données projet'!$A$36&gt;35,N54+M55-V54,IF(A55&lt;'Données projet'!$A$36,$K$205^A55,IF(A55='Données projet'!$A$36,'Données projet'!$B$36,N54+M55-V54)))</f>
        <v>226</v>
      </c>
      <c r="O55" s="14">
        <f>N55*VLOOKUP('Données projet'!$B$9,Paramètres!$A$1:$I$89,3,0)*VLOOKUP('Données projet'!$B$9,Paramètres!$A$1:$I$89,5,0)</f>
        <v>141.024</v>
      </c>
      <c r="P55" s="14">
        <f t="shared" si="33"/>
        <v>36.531489925882461</v>
      </c>
      <c r="Q55" s="22">
        <f t="shared" si="53"/>
        <v>309.24247828757859</v>
      </c>
      <c r="R55" s="62">
        <f t="shared" si="0"/>
        <v>602.57581162091196</v>
      </c>
      <c r="S55" s="62">
        <f ca="1">AVERAGE(OFFSET($R$3,0,0,'Données projet'!$E$9+1,1))-AVERAGE(OFFSET($H$3,0,0,'Données projet'!$E$9+1,1))</f>
        <v>175.05987582828078</v>
      </c>
      <c r="T55" s="62">
        <f t="shared" si="34"/>
        <v>268.54782308462387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4.9341473422578801</v>
      </c>
      <c r="AB55" s="23">
        <f>EXP(-LN(2)/2)*AB54+(1-EXP(-LN(2)/2))/(LN(2)/2)*V55*Y55*VLOOKUP('Données projet'!$B$9,Paramètres!$A$1:$I$89,3,0)*0.475*44/12</f>
        <v>6.1762511722110187E-3</v>
      </c>
      <c r="AC55" s="24">
        <f t="shared" si="3"/>
        <v>4.9403235934300911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156.53039999999999</v>
      </c>
      <c r="AK55" s="14">
        <f t="shared" si="35"/>
        <v>40.058941713182037</v>
      </c>
      <c r="AL55" s="22">
        <f t="shared" si="4"/>
        <v>342.393103483792</v>
      </c>
      <c r="AM55" s="62">
        <f t="shared" si="5"/>
        <v>635.72643681712532</v>
      </c>
      <c r="AN55" s="62">
        <f ca="1">AVERAGE(OFFSET($AM$3,0,0,'Données projet'!$E$10+1,1))-AVERAGE(OFFSET($H$3,0,0,'Données projet'!$E$10+1,1))</f>
        <v>302.55602998433079</v>
      </c>
      <c r="AO55" s="62">
        <f t="shared" si="36"/>
        <v>172.32171001882188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>
        <f>VLOOKUP(A55,'Données projet'!$A$87:$I$107,2,0)</f>
        <v>270</v>
      </c>
      <c r="BB55" s="13">
        <f>VLOOKUP(A55,'Données projet'!$A$87:$I$107,9,0)</f>
        <v>10.375</v>
      </c>
      <c r="BC55" s="13">
        <f t="array" ref="BC55">INDEX(BB:BB,MIN(IF(ISNUMBER(BB55:BB251),ROW(BB55:BB251),"")))</f>
        <v>10.375</v>
      </c>
      <c r="BD55" s="13">
        <f>IF('Données projet'!$A$88&gt;35,BD54+BC55-BL54,IF(A55&lt;'Données projet'!$A$88,$BA$205^A55,IF(A55='Données projet'!$A$88,'Données projet'!$B$88,BD54+BC55-BL54)))</f>
        <v>269.99999999999989</v>
      </c>
      <c r="BE55" s="14">
        <f>BD55*VLOOKUP('Données projet'!$B$11,Paramètres!$A$1:$I$89,3,0)*VLOOKUP('Données projet'!$B$11,Paramètres!$A$1:$I$89,5,0)</f>
        <v>210.59999999999991</v>
      </c>
      <c r="BF55" s="14">
        <f t="shared" si="37"/>
        <v>52.066679014659961</v>
      </c>
      <c r="BG55" s="22">
        <f t="shared" si="7"/>
        <v>457.47779928386586</v>
      </c>
      <c r="BH55" s="62">
        <f t="shared" si="8"/>
        <v>750.81113261719918</v>
      </c>
      <c r="BI55" s="62">
        <f ca="1">AVERAGE(OFFSET($BH$3,0,0,'Données projet'!$E$11+1,1))-AVERAGE(OFFSET($H$3,0,0,'Données projet'!$E$11+1,1))</f>
        <v>216.95993967070063</v>
      </c>
      <c r="BJ55" s="62">
        <f t="shared" si="38"/>
        <v>208.79744153433245</v>
      </c>
      <c r="BK55" s="16">
        <f>IF(ISNA(VLOOKUP(A55,'Données projet'!$A$87:$I$107,3,0)),0,VLOOKUP(A55,'Données projet'!$A$87:$I$107,3,0))</f>
        <v>7</v>
      </c>
      <c r="BL55" s="16">
        <f>IF(ISNA(VLOOKUP(A55,'Données projet'!$A$87:$I$107,4,0)),0,VLOOKUP(A55,'Données projet'!$A$87:$I$107,4,0))</f>
        <v>48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173</v>
      </c>
      <c r="BZ55" s="14">
        <f>BY55*VLOOKUP('Données projet'!$B$12,Paramètres!$A$1:$I$89,3,0)*VLOOKUP('Données projet'!$B$12,Paramètres!$A$1:$I$89,5,0)</f>
        <v>167.32560000000001</v>
      </c>
      <c r="CA55" s="14">
        <f t="shared" si="39"/>
        <v>42.490495297127609</v>
      </c>
      <c r="CB55" s="22">
        <f t="shared" si="10"/>
        <v>365.42969930916388</v>
      </c>
      <c r="CC55" s="62">
        <f t="shared" si="11"/>
        <v>658.76303264249714</v>
      </c>
      <c r="CD55" s="62">
        <f ca="1">AVERAGE(OFFSET($CC$3,0,0,'Données projet'!$E$12+1,1))-AVERAGE(OFFSET($H$3,0,0,'Données projet'!$E$12+1,1))</f>
        <v>329.13617179625538</v>
      </c>
      <c r="CE55" s="62">
        <f t="shared" si="40"/>
        <v>186.45728006007261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9.75</v>
      </c>
      <c r="N56" s="14">
        <f>IF('Données projet'!$A$36&gt;35,N55+M56-V55,IF(A56&lt;'Données projet'!$A$36,$K$205^A56,IF(A56='Données projet'!$A$36,'Données projet'!$B$36,N55+M56-V55)))</f>
        <v>235.75</v>
      </c>
      <c r="O56" s="14">
        <f>N56*VLOOKUP('Données projet'!$B$9,Paramètres!$A$1:$I$89,3,0)*VLOOKUP('Données projet'!$B$9,Paramètres!$A$1:$I$89,5,0)</f>
        <v>147.108</v>
      </c>
      <c r="P56" s="14">
        <f t="shared" si="33"/>
        <v>37.920625436598897</v>
      </c>
      <c r="Q56" s="22">
        <f t="shared" si="53"/>
        <v>322.25818930207646</v>
      </c>
      <c r="R56" s="62">
        <f t="shared" si="0"/>
        <v>615.59152263540977</v>
      </c>
      <c r="S56" s="62">
        <f ca="1">AVERAGE(OFFSET($R$3,0,0,'Données projet'!$E$9+1,1))-AVERAGE(OFFSET($H$3,0,0,'Données projet'!$E$9+1,1))</f>
        <v>175.05987582828078</v>
      </c>
      <c r="T56" s="62">
        <f t="shared" si="34"/>
        <v>268.54782308462387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4.7992228237083072</v>
      </c>
      <c r="AB56" s="23">
        <f>EXP(-LN(2)/2)*AB55+(1-EXP(-LN(2)/2))/(LN(2)/2)*V56*Y56*VLOOKUP('Données projet'!$B$9,Paramètres!$A$1:$I$89,3,0)*0.475*44/12</f>
        <v>4.3672690861817744E-3</v>
      </c>
      <c r="AC56" s="24">
        <f t="shared" si="3"/>
        <v>4.8035900927944892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163.7688</v>
      </c>
      <c r="AK56" s="14">
        <f t="shared" si="35"/>
        <v>41.691423503509803</v>
      </c>
      <c r="AL56" s="22">
        <f t="shared" si="4"/>
        <v>357.84322260194625</v>
      </c>
      <c r="AM56" s="62">
        <f t="shared" si="5"/>
        <v>651.17655593527957</v>
      </c>
      <c r="AN56" s="62">
        <f ca="1">AVERAGE(OFFSET($AM$3,0,0,'Données projet'!$E$10+1,1))-AVERAGE(OFFSET($H$3,0,0,'Données projet'!$E$10+1,1))</f>
        <v>302.55602998433079</v>
      </c>
      <c r="AO56" s="62">
        <f t="shared" si="36"/>
        <v>172.32171001882188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9.375</v>
      </c>
      <c r="BD56" s="13">
        <f>IF('Données projet'!$A$88&gt;35,BD55+BC56-BL55,IF(A56&lt;'Données projet'!$A$88,$BA$205^A56,IF(A56='Données projet'!$A$88,'Données projet'!$B$88,BD55+BC56-BL55)))</f>
        <v>231.37499999999989</v>
      </c>
      <c r="BE56" s="14">
        <f>BD56*VLOOKUP('Données projet'!$B$11,Paramètres!$A$1:$I$89,3,0)*VLOOKUP('Données projet'!$B$11,Paramètres!$A$1:$I$89,5,0)</f>
        <v>180.47249999999991</v>
      </c>
      <c r="BF56" s="14">
        <f t="shared" si="37"/>
        <v>45.427292666837829</v>
      </c>
      <c r="BG56" s="22">
        <f t="shared" si="7"/>
        <v>393.44213889474241</v>
      </c>
      <c r="BH56" s="62">
        <f t="shared" si="8"/>
        <v>686.77547222807573</v>
      </c>
      <c r="BI56" s="62">
        <f ca="1">AVERAGE(OFFSET($BH$3,0,0,'Données projet'!$E$11+1,1))-AVERAGE(OFFSET($H$3,0,0,'Données projet'!$E$11+1,1))</f>
        <v>216.95993967070063</v>
      </c>
      <c r="BJ56" s="62">
        <f t="shared" si="38"/>
        <v>208.79744153433245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181</v>
      </c>
      <c r="BZ56" s="14">
        <f>BY56*VLOOKUP('Données projet'!$B$12,Paramètres!$A$1:$I$89,3,0)*VLOOKUP('Données projet'!$B$12,Paramètres!$A$1:$I$89,5,0)</f>
        <v>175.06319999999999</v>
      </c>
      <c r="CA56" s="14">
        <f t="shared" si="39"/>
        <v>44.22206774682472</v>
      </c>
      <c r="CB56" s="22">
        <f t="shared" si="10"/>
        <v>381.9218413257197</v>
      </c>
      <c r="CC56" s="62">
        <f t="shared" si="11"/>
        <v>675.25517465905295</v>
      </c>
      <c r="CD56" s="62">
        <f ca="1">AVERAGE(OFFSET($CC$3,0,0,'Données projet'!$E$12+1,1))-AVERAGE(OFFSET($H$3,0,0,'Données projet'!$E$12+1,1))</f>
        <v>329.13617179625538</v>
      </c>
      <c r="CE56" s="62">
        <f t="shared" si="40"/>
        <v>186.45728006007261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9.75</v>
      </c>
      <c r="N57" s="14">
        <f>IF('Données projet'!$A$36&gt;35,N56+M57-V56,IF(A57&lt;'Données projet'!$A$36,$K$205^A57,IF(A57='Données projet'!$A$36,'Données projet'!$B$36,N56+M57-V56)))</f>
        <v>245.5</v>
      </c>
      <c r="O57" s="14">
        <f>N57*VLOOKUP('Données projet'!$B$9,Paramètres!$A$1:$I$89,3,0)*VLOOKUP('Données projet'!$B$9,Paramètres!$A$1:$I$89,5,0)</f>
        <v>153.19199999999998</v>
      </c>
      <c r="P57" s="14">
        <f t="shared" si="33"/>
        <v>39.303087713366921</v>
      </c>
      <c r="Q57" s="22">
        <f t="shared" si="53"/>
        <v>335.2622777674473</v>
      </c>
      <c r="R57" s="62">
        <f t="shared" si="0"/>
        <v>628.59561110078062</v>
      </c>
      <c r="S57" s="62">
        <f ca="1">AVERAGE(OFFSET($R$3,0,0,'Données projet'!$E$9+1,1))-AVERAGE(OFFSET($H$3,0,0,'Données projet'!$E$9+1,1))</f>
        <v>175.05987582828078</v>
      </c>
      <c r="T57" s="62">
        <f t="shared" si="34"/>
        <v>268.54782308462387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4.6679878232138439</v>
      </c>
      <c r="AB57" s="23">
        <f>EXP(-LN(2)/2)*AB56+(1-EXP(-LN(2)/2))/(LN(2)/2)*V57*Y57*VLOOKUP('Données projet'!$B$9,Paramètres!$A$1:$I$89,3,0)*0.475*44/12</f>
        <v>3.0881255861055093E-3</v>
      </c>
      <c r="AC57" s="24">
        <f t="shared" si="3"/>
        <v>4.6710759487999498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171.00719999999998</v>
      </c>
      <c r="AK57" s="14">
        <f t="shared" si="35"/>
        <v>43.315525267338089</v>
      </c>
      <c r="AL57" s="22">
        <f t="shared" si="4"/>
        <v>373.27874650728046</v>
      </c>
      <c r="AM57" s="62">
        <f t="shared" si="5"/>
        <v>666.61207984061377</v>
      </c>
      <c r="AN57" s="62">
        <f ca="1">AVERAGE(OFFSET($AM$3,0,0,'Données projet'!$E$10+1,1))-AVERAGE(OFFSET($H$3,0,0,'Données projet'!$E$10+1,1))</f>
        <v>302.55602998433079</v>
      </c>
      <c r="AO57" s="62">
        <f t="shared" si="36"/>
        <v>172.32171001882188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9.375</v>
      </c>
      <c r="BD57" s="13">
        <f>IF('Données projet'!$A$88&gt;35,BD56+BC57-BL56,IF(A57&lt;'Données projet'!$A$88,$BA$205^A57,IF(A57='Données projet'!$A$88,'Données projet'!$B$88,BD56+BC57-BL56)))</f>
        <v>240.74999999999989</v>
      </c>
      <c r="BE57" s="14">
        <f>BD57*VLOOKUP('Données projet'!$B$11,Paramètres!$A$1:$I$89,3,0)*VLOOKUP('Données projet'!$B$11,Paramètres!$A$1:$I$89,5,0)</f>
        <v>187.78499999999991</v>
      </c>
      <c r="BF57" s="14">
        <f t="shared" si="37"/>
        <v>47.049914090154054</v>
      </c>
      <c r="BG57" s="22">
        <f t="shared" si="7"/>
        <v>409.0041420403515</v>
      </c>
      <c r="BH57" s="62">
        <f t="shared" si="8"/>
        <v>702.33747537368481</v>
      </c>
      <c r="BI57" s="62">
        <f ca="1">AVERAGE(OFFSET($BH$3,0,0,'Données projet'!$E$11+1,1))-AVERAGE(OFFSET($H$3,0,0,'Données projet'!$E$11+1,1))</f>
        <v>216.95993967070063</v>
      </c>
      <c r="BJ57" s="62">
        <f t="shared" si="38"/>
        <v>208.79744153433245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189</v>
      </c>
      <c r="BZ57" s="14">
        <f>BY57*VLOOKUP('Données projet'!$B$12,Paramètres!$A$1:$I$89,3,0)*VLOOKUP('Données projet'!$B$12,Paramètres!$A$1:$I$89,5,0)</f>
        <v>182.80079999999998</v>
      </c>
      <c r="CA57" s="14">
        <f t="shared" si="39"/>
        <v>45.944751507471658</v>
      </c>
      <c r="CB57" s="22">
        <f t="shared" si="10"/>
        <v>398.39850220884642</v>
      </c>
      <c r="CC57" s="62">
        <f t="shared" si="11"/>
        <v>691.73183554217974</v>
      </c>
      <c r="CD57" s="62">
        <f ca="1">AVERAGE(OFFSET($CC$3,0,0,'Données projet'!$E$12+1,1))-AVERAGE(OFFSET($H$3,0,0,'Données projet'!$E$12+1,1))</f>
        <v>329.13617179625538</v>
      </c>
      <c r="CE57" s="62">
        <f t="shared" si="40"/>
        <v>186.45728006007261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9.75</v>
      </c>
      <c r="N58" s="14">
        <f>IF('Données projet'!$A$36&gt;35,N57+M58-V57,IF(A58&lt;'Données projet'!$A$36,$K$205^A58,IF(A58='Données projet'!$A$36,'Données projet'!$B$36,N57+M58-V57)))</f>
        <v>255.25</v>
      </c>
      <c r="O58" s="14">
        <f>N58*VLOOKUP('Données projet'!$B$9,Paramètres!$A$1:$I$89,3,0)*VLOOKUP('Données projet'!$B$9,Paramètres!$A$1:$I$89,5,0)</f>
        <v>159.27600000000001</v>
      </c>
      <c r="P58" s="14">
        <f t="shared" si="33"/>
        <v>40.679172107249002</v>
      </c>
      <c r="Q58" s="22">
        <f t="shared" si="53"/>
        <v>348.25525808679203</v>
      </c>
      <c r="R58" s="62">
        <f t="shared" si="0"/>
        <v>641.58859142012534</v>
      </c>
      <c r="S58" s="62">
        <f ca="1">AVERAGE(OFFSET($R$3,0,0,'Données projet'!$E$9+1,1))-AVERAGE(OFFSET($H$3,0,0,'Données projet'!$E$9+1,1))</f>
        <v>175.05987582828078</v>
      </c>
      <c r="T58" s="62">
        <f t="shared" si="34"/>
        <v>268.54782308462387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4.5403414507092501</v>
      </c>
      <c r="AB58" s="23">
        <f>EXP(-LN(2)/2)*AB57+(1-EXP(-LN(2)/2))/(LN(2)/2)*V58*Y58*VLOOKUP('Données projet'!$B$9,Paramètres!$A$1:$I$89,3,0)*0.475*44/12</f>
        <v>2.1836345430908872E-3</v>
      </c>
      <c r="AC58" s="24">
        <f t="shared" si="3"/>
        <v>4.5425250852523407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178.2456</v>
      </c>
      <c r="AK58" s="14">
        <f t="shared" si="35"/>
        <v>44.931642269910427</v>
      </c>
      <c r="AL58" s="22">
        <f t="shared" si="4"/>
        <v>388.70036362009404</v>
      </c>
      <c r="AM58" s="62">
        <f t="shared" si="5"/>
        <v>682.03369695342735</v>
      </c>
      <c r="AN58" s="62">
        <f ca="1">AVERAGE(OFFSET($AM$3,0,0,'Données projet'!$E$10+1,1))-AVERAGE(OFFSET($H$3,0,0,'Données projet'!$E$10+1,1))</f>
        <v>302.55602998433079</v>
      </c>
      <c r="AO58" s="62">
        <f t="shared" si="36"/>
        <v>172.32171001882188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9.375</v>
      </c>
      <c r="BD58" s="13">
        <f>IF('Données projet'!$A$88&gt;35,BD57+BC58-BL57,IF(A58&lt;'Données projet'!$A$88,$BA$205^A58,IF(A58='Données projet'!$A$88,'Données projet'!$B$88,BD57+BC58-BL57)))</f>
        <v>250.12499999999989</v>
      </c>
      <c r="BE58" s="14">
        <f>BD58*VLOOKUP('Données projet'!$B$11,Paramètres!$A$1:$I$89,3,0)*VLOOKUP('Données projet'!$B$11,Paramètres!$A$1:$I$89,5,0)</f>
        <v>195.09749999999991</v>
      </c>
      <c r="BF58" s="14">
        <f t="shared" si="37"/>
        <v>48.66519532492579</v>
      </c>
      <c r="BG58" s="22">
        <f t="shared" si="7"/>
        <v>424.55336102424553</v>
      </c>
      <c r="BH58" s="62">
        <f t="shared" si="8"/>
        <v>717.88669435757879</v>
      </c>
      <c r="BI58" s="62">
        <f ca="1">AVERAGE(OFFSET($BH$3,0,0,'Données projet'!$E$11+1,1))-AVERAGE(OFFSET($H$3,0,0,'Données projet'!$E$11+1,1))</f>
        <v>216.95993967070063</v>
      </c>
      <c r="BJ58" s="62">
        <f t="shared" si="38"/>
        <v>208.79744153433245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197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197</v>
      </c>
      <c r="BZ58" s="14">
        <f>BY58*VLOOKUP('Données projet'!$B$12,Paramètres!$A$1:$I$89,3,0)*VLOOKUP('Données projet'!$B$12,Paramètres!$A$1:$I$89,5,0)</f>
        <v>190.5384</v>
      </c>
      <c r="CA58" s="14">
        <f t="shared" si="39"/>
        <v>47.658965836673829</v>
      </c>
      <c r="CB58" s="22">
        <f t="shared" si="10"/>
        <v>414.86041216554025</v>
      </c>
      <c r="CC58" s="62">
        <f t="shared" si="11"/>
        <v>708.19374549887357</v>
      </c>
      <c r="CD58" s="62">
        <f ca="1">AVERAGE(OFFSET($CC$3,0,0,'Données projet'!$E$12+1,1))-AVERAGE(OFFSET($H$3,0,0,'Données projet'!$E$12+1,1))</f>
        <v>329.13617179625538</v>
      </c>
      <c r="CE58" s="62">
        <f t="shared" si="40"/>
        <v>186.45728006007261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9.75</v>
      </c>
      <c r="N59" s="14">
        <f>IF('Données projet'!$A$36&gt;35,N58+M59-V58,IF(A59&lt;'Données projet'!$A$36,$K$205^A59,IF(A59='Données projet'!$A$36,'Données projet'!$B$36,N58+M59-V58)))</f>
        <v>265</v>
      </c>
      <c r="O59" s="14">
        <f>N59*VLOOKUP('Données projet'!$B$9,Paramètres!$A$1:$I$89,3,0)*VLOOKUP('Données projet'!$B$9,Paramètres!$A$1:$I$89,5,0)</f>
        <v>165.35999999999999</v>
      </c>
      <c r="P59" s="14">
        <f t="shared" si="33"/>
        <v>42.04915012784209</v>
      </c>
      <c r="Q59" s="22">
        <f t="shared" si="53"/>
        <v>361.2376031393249</v>
      </c>
      <c r="R59" s="62">
        <f t="shared" si="0"/>
        <v>654.57093647265822</v>
      </c>
      <c r="S59" s="62">
        <f ca="1">AVERAGE(OFFSET($R$3,0,0,'Données projet'!$E$9+1,1))-AVERAGE(OFFSET($H$3,0,0,'Données projet'!$E$9+1,1))</f>
        <v>175.05987582828078</v>
      </c>
      <c r="T59" s="62">
        <f t="shared" si="34"/>
        <v>268.54782308462387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4.4161855749734258</v>
      </c>
      <c r="AB59" s="23">
        <f>EXP(-LN(2)/2)*AB58+(1-EXP(-LN(2)/2))/(LN(2)/2)*V59*Y59*VLOOKUP('Données projet'!$B$9,Paramètres!$A$1:$I$89,3,0)*0.475*44/12</f>
        <v>1.5440627930527547E-3</v>
      </c>
      <c r="AC59" s="24">
        <f t="shared" si="3"/>
        <v>4.4177296377664783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204.6</v>
      </c>
      <c r="AJ59" s="14">
        <f>AI59*VLOOKUP('Données projet'!$B$10,Paramètres!$A$1:$I$89,3,0)*VLOOKUP('Données projet'!$B$10,Paramètres!$A$1:$I$89,5,0)</f>
        <v>185.12207999999998</v>
      </c>
      <c r="AK59" s="14">
        <f t="shared" si="35"/>
        <v>46.459887003478677</v>
      </c>
      <c r="AL59" s="22">
        <f t="shared" si="4"/>
        <v>403.33859253105862</v>
      </c>
      <c r="AM59" s="62">
        <f t="shared" si="5"/>
        <v>696.67192586439194</v>
      </c>
      <c r="AN59" s="62">
        <f ca="1">AVERAGE(OFFSET($AM$3,0,0,'Données projet'!$E$10+1,1))-AVERAGE(OFFSET($H$3,0,0,'Données projet'!$E$10+1,1))</f>
        <v>302.55602998433079</v>
      </c>
      <c r="AO59" s="62">
        <f t="shared" si="36"/>
        <v>172.32171001882188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9.375</v>
      </c>
      <c r="BD59" s="13">
        <f>IF('Données projet'!$A$88&gt;35,BD58+BC59-BL58,IF(A59&lt;'Données projet'!$A$88,$BA$205^A59,IF(A59='Données projet'!$A$88,'Données projet'!$B$88,BD58+BC59-BL58)))</f>
        <v>259.49999999999989</v>
      </c>
      <c r="BE59" s="14">
        <f>BD59*VLOOKUP('Données projet'!$B$11,Paramètres!$A$1:$I$89,3,0)*VLOOKUP('Données projet'!$B$11,Paramètres!$A$1:$I$89,5,0)</f>
        <v>202.40999999999991</v>
      </c>
      <c r="BF59" s="14">
        <f t="shared" si="37"/>
        <v>50.273442991661817</v>
      </c>
      <c r="BG59" s="22">
        <f t="shared" si="7"/>
        <v>440.09032987714414</v>
      </c>
      <c r="BH59" s="62">
        <f t="shared" si="8"/>
        <v>733.42366321047746</v>
      </c>
      <c r="BI59" s="62">
        <f ca="1">AVERAGE(OFFSET($BH$3,0,0,'Données projet'!$E$11+1,1))-AVERAGE(OFFSET($H$3,0,0,'Données projet'!$E$11+1,1))</f>
        <v>216.95993967070063</v>
      </c>
      <c r="BJ59" s="62">
        <f t="shared" si="38"/>
        <v>208.79744153433245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7.6</v>
      </c>
      <c r="BY59" s="13">
        <f>IF('Données projet'!$A$114&gt;35,BY58+BX59-CG58,IF(A59&lt;'Données projet'!$A$114,$BV$205^A59,IF(A59='Données projet'!$A$114,'Données projet'!$B$114,BY58+BX59-CG58)))</f>
        <v>204.6</v>
      </c>
      <c r="BZ59" s="14">
        <f>BY59*VLOOKUP('Données projet'!$B$12,Paramètres!$A$1:$I$89,3,0)*VLOOKUP('Données projet'!$B$12,Paramètres!$A$1:$I$89,5,0)</f>
        <v>197.88911999999999</v>
      </c>
      <c r="CA59" s="14">
        <f t="shared" si="39"/>
        <v>49.279974103179534</v>
      </c>
      <c r="CB59" s="22">
        <f t="shared" si="10"/>
        <v>430.48617222970438</v>
      </c>
      <c r="CC59" s="62">
        <f t="shared" si="11"/>
        <v>723.81950556303764</v>
      </c>
      <c r="CD59" s="62">
        <f ca="1">AVERAGE(OFFSET($CC$3,0,0,'Données projet'!$E$12+1,1))-AVERAGE(OFFSET($H$3,0,0,'Données projet'!$E$12+1,1))</f>
        <v>329.13617179625538</v>
      </c>
      <c r="CE59" s="62">
        <f t="shared" si="40"/>
        <v>186.45728006007261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9.75</v>
      </c>
      <c r="N60" s="14">
        <f>IF('Données projet'!$A$36&gt;35,N59+M60-V59,IF(A60&lt;'Données projet'!$A$36,$K$205^A60,IF(A60='Données projet'!$A$36,'Données projet'!$B$36,N59+M60-V59)))</f>
        <v>274.75</v>
      </c>
      <c r="O60" s="14">
        <f>N60*VLOOKUP('Données projet'!$B$9,Paramètres!$A$1:$I$89,3,0)*VLOOKUP('Données projet'!$B$9,Paramètres!$A$1:$I$89,5,0)</f>
        <v>171.44399999999999</v>
      </c>
      <c r="P60" s="14">
        <f t="shared" si="33"/>
        <v>43.413272173627242</v>
      </c>
      <c r="Q60" s="22">
        <f t="shared" si="53"/>
        <v>374.20974903573409</v>
      </c>
      <c r="R60" s="62">
        <f t="shared" si="0"/>
        <v>667.54308236906741</v>
      </c>
      <c r="S60" s="62">
        <f ca="1">AVERAGE(OFFSET($R$3,0,0,'Données projet'!$E$9+1,1))-AVERAGE(OFFSET($H$3,0,0,'Données projet'!$E$9+1,1))</f>
        <v>175.05987582828078</v>
      </c>
      <c r="T60" s="62">
        <f t="shared" si="34"/>
        <v>268.54782308462387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4.2954247481886716</v>
      </c>
      <c r="AB60" s="23">
        <f>EXP(-LN(2)/2)*AB59+(1-EXP(-LN(2)/2))/(LN(2)/2)*V60*Y60*VLOOKUP('Données projet'!$B$9,Paramètres!$A$1:$I$89,3,0)*0.475*44/12</f>
        <v>1.0918172715454436E-3</v>
      </c>
      <c r="AC60" s="24">
        <f t="shared" si="3"/>
        <v>4.2965165654602169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212.2</v>
      </c>
      <c r="AJ60" s="14">
        <f>AI60*VLOOKUP('Données projet'!$B$10,Paramètres!$A$1:$I$89,3,0)*VLOOKUP('Données projet'!$B$10,Paramètres!$A$1:$I$89,5,0)</f>
        <v>191.99855999999997</v>
      </c>
      <c r="AK60" s="14">
        <f t="shared" si="35"/>
        <v>47.981536645873334</v>
      </c>
      <c r="AL60" s="22">
        <f t="shared" si="4"/>
        <v>417.96533499156266</v>
      </c>
      <c r="AM60" s="62">
        <f t="shared" si="5"/>
        <v>711.29866832489597</v>
      </c>
      <c r="AN60" s="62">
        <f ca="1">AVERAGE(OFFSET($AM$3,0,0,'Données projet'!$E$10+1,1))-AVERAGE(OFFSET($H$3,0,0,'Données projet'!$E$10+1,1))</f>
        <v>302.55602998433079</v>
      </c>
      <c r="AO60" s="62">
        <f t="shared" si="36"/>
        <v>172.32171001882188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9.375</v>
      </c>
      <c r="BD60" s="13">
        <f>IF('Données projet'!$A$88&gt;35,BD59+BC60-BL59,IF(A60&lt;'Données projet'!$A$88,$BA$205^A60,IF(A60='Données projet'!$A$88,'Données projet'!$B$88,BD59+BC60-BL59)))</f>
        <v>268.87499999999989</v>
      </c>
      <c r="BE60" s="14">
        <f>BD60*VLOOKUP('Données projet'!$B$11,Paramètres!$A$1:$I$89,3,0)*VLOOKUP('Données projet'!$B$11,Paramètres!$A$1:$I$89,5,0)</f>
        <v>209.72249999999991</v>
      </c>
      <c r="BF60" s="14">
        <f t="shared" si="37"/>
        <v>51.874940300502246</v>
      </c>
      <c r="BG60" s="22">
        <f t="shared" si="7"/>
        <v>455.61554185670792</v>
      </c>
      <c r="BH60" s="62">
        <f t="shared" si="8"/>
        <v>748.94887519004124</v>
      </c>
      <c r="BI60" s="62">
        <f ca="1">AVERAGE(OFFSET($BH$3,0,0,'Données projet'!$E$11+1,1))-AVERAGE(OFFSET($H$3,0,0,'Données projet'!$E$11+1,1))</f>
        <v>216.95993967070063</v>
      </c>
      <c r="BJ60" s="62">
        <f t="shared" si="38"/>
        <v>208.79744153433245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7.6</v>
      </c>
      <c r="BY60" s="13">
        <f>IF('Données projet'!$A$114&gt;35,BY59+BX60-CG59,IF(A60&lt;'Données projet'!$A$114,$BV$205^A60,IF(A60='Données projet'!$A$114,'Données projet'!$B$114,BY59+BX60-CG59)))</f>
        <v>212.2</v>
      </c>
      <c r="BZ60" s="14">
        <f>BY60*VLOOKUP('Données projet'!$B$12,Paramètres!$A$1:$I$89,3,0)*VLOOKUP('Données projet'!$B$12,Paramètres!$A$1:$I$89,5,0)</f>
        <v>205.23983999999999</v>
      </c>
      <c r="CA60" s="14">
        <f t="shared" si="39"/>
        <v>50.893986960458122</v>
      </c>
      <c r="CB60" s="22">
        <f t="shared" si="10"/>
        <v>446.0997486227979</v>
      </c>
      <c r="CC60" s="62">
        <f t="shared" si="11"/>
        <v>739.43308195613122</v>
      </c>
      <c r="CD60" s="62">
        <f ca="1">AVERAGE(OFFSET($CC$3,0,0,'Données projet'!$E$12+1,1))-AVERAGE(OFFSET($H$3,0,0,'Données projet'!$E$12+1,1))</f>
        <v>329.13617179625538</v>
      </c>
      <c r="CE60" s="62">
        <f t="shared" si="40"/>
        <v>186.45728006007261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9.75</v>
      </c>
      <c r="N61" s="14">
        <f>IF('Données projet'!$A$36&gt;35,N60+M61-V60,IF(A61&lt;'Données projet'!$A$36,$K$205^A61,IF(A61='Données projet'!$A$36,'Données projet'!$B$36,N60+M61-V60)))</f>
        <v>284.5</v>
      </c>
      <c r="O61" s="14">
        <f>N61*VLOOKUP('Données projet'!$B$9,Paramètres!$A$1:$I$89,3,0)*VLOOKUP('Données projet'!$B$9,Paramètres!$A$1:$I$89,5,0)</f>
        <v>177.52800000000002</v>
      </c>
      <c r="P61" s="14">
        <f t="shared" si="33"/>
        <v>44.771769863863661</v>
      </c>
      <c r="Q61" s="22">
        <f t="shared" si="53"/>
        <v>387.17209917956257</v>
      </c>
      <c r="R61" s="62">
        <f t="shared" si="0"/>
        <v>680.50543251289582</v>
      </c>
      <c r="S61" s="62">
        <f ca="1">AVERAGE(OFFSET($R$3,0,0,'Données projet'!$E$9+1,1))-AVERAGE(OFFSET($H$3,0,0,'Données projet'!$E$9+1,1))</f>
        <v>175.05987582828078</v>
      </c>
      <c r="T61" s="62">
        <f t="shared" si="34"/>
        <v>268.54782308462387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4.1779661325628821</v>
      </c>
      <c r="AB61" s="23">
        <f>EXP(-LN(2)/2)*AB60+(1-EXP(-LN(2)/2))/(LN(2)/2)*V61*Y61*VLOOKUP('Données projet'!$B$9,Paramètres!$A$1:$I$89,3,0)*0.475*44/12</f>
        <v>7.7203139652637733E-4</v>
      </c>
      <c r="AC61" s="24">
        <f t="shared" si="3"/>
        <v>4.1787381639594088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219.79999999999998</v>
      </c>
      <c r="AJ61" s="14">
        <f>AI61*VLOOKUP('Données projet'!$B$10,Paramètres!$A$1:$I$89,3,0)*VLOOKUP('Données projet'!$B$10,Paramètres!$A$1:$I$89,5,0)</f>
        <v>198.87503999999998</v>
      </c>
      <c r="AK61" s="14">
        <f t="shared" si="35"/>
        <v>49.496854461868558</v>
      </c>
      <c r="AL61" s="22">
        <f t="shared" si="4"/>
        <v>432.58104952108766</v>
      </c>
      <c r="AM61" s="62">
        <f t="shared" si="5"/>
        <v>725.91438285442098</v>
      </c>
      <c r="AN61" s="62">
        <f ca="1">AVERAGE(OFFSET($AM$3,0,0,'Données projet'!$E$10+1,1))-AVERAGE(OFFSET($H$3,0,0,'Données projet'!$E$10+1,1))</f>
        <v>302.55602998433079</v>
      </c>
      <c r="AO61" s="62">
        <f t="shared" si="36"/>
        <v>172.32171001882188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9.375</v>
      </c>
      <c r="BD61" s="13">
        <f>IF('Données projet'!$A$88&gt;35,BD60+BC61-BL60,IF(A61&lt;'Données projet'!$A$88,$BA$205^A61,IF(A61='Données projet'!$A$88,'Données projet'!$B$88,BD60+BC61-BL60)))</f>
        <v>278.24999999999989</v>
      </c>
      <c r="BE61" s="14">
        <f>BD61*VLOOKUP('Données projet'!$B$11,Paramètres!$A$1:$I$89,3,0)*VLOOKUP('Données projet'!$B$11,Paramètres!$A$1:$I$89,5,0)</f>
        <v>217.03499999999991</v>
      </c>
      <c r="BF61" s="14">
        <f t="shared" si="37"/>
        <v>53.469949591969474</v>
      </c>
      <c r="BG61" s="22">
        <f t="shared" si="7"/>
        <v>471.12945387267996</v>
      </c>
      <c r="BH61" s="62">
        <f t="shared" si="8"/>
        <v>764.46278720601322</v>
      </c>
      <c r="BI61" s="62">
        <f ca="1">AVERAGE(OFFSET($BH$3,0,0,'Données projet'!$E$11+1,1))-AVERAGE(OFFSET($H$3,0,0,'Données projet'!$E$11+1,1))</f>
        <v>216.95993967070063</v>
      </c>
      <c r="BJ61" s="62">
        <f t="shared" si="38"/>
        <v>208.79744153433245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7.6</v>
      </c>
      <c r="BY61" s="13">
        <f>IF('Données projet'!$A$114&gt;35,BY60+BX61-CG60,IF(A61&lt;'Données projet'!$A$114,$BV$205^A61,IF(A61='Données projet'!$A$114,'Données projet'!$B$114,BY60+BX61-CG60)))</f>
        <v>219.79999999999998</v>
      </c>
      <c r="BZ61" s="14">
        <f>BY61*VLOOKUP('Données projet'!$B$12,Paramètres!$A$1:$I$89,3,0)*VLOOKUP('Données projet'!$B$12,Paramètres!$A$1:$I$89,5,0)</f>
        <v>212.59055999999998</v>
      </c>
      <c r="CA61" s="14">
        <f t="shared" si="39"/>
        <v>52.501283653296404</v>
      </c>
      <c r="CB61" s="22">
        <f t="shared" si="10"/>
        <v>461.70162769615786</v>
      </c>
      <c r="CC61" s="62">
        <f t="shared" si="11"/>
        <v>755.03496102949111</v>
      </c>
      <c r="CD61" s="62">
        <f ca="1">AVERAGE(OFFSET($CC$3,0,0,'Données projet'!$E$12+1,1))-AVERAGE(OFFSET($H$3,0,0,'Données projet'!$E$12+1,1))</f>
        <v>329.13617179625538</v>
      </c>
      <c r="CE61" s="62">
        <f t="shared" si="40"/>
        <v>186.45728006007261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9.75</v>
      </c>
      <c r="N62" s="14">
        <f>IF('Données projet'!$A$36&gt;35,N61+M62-V61,IF(A62&lt;'Données projet'!$A$36,$K$205^A62,IF(A62='Données projet'!$A$36,'Données projet'!$B$36,N61+M62-V61)))</f>
        <v>294.25</v>
      </c>
      <c r="O62" s="14">
        <f>N62*VLOOKUP('Données projet'!$B$9,Paramètres!$A$1:$I$89,3,0)*VLOOKUP('Données projet'!$B$9,Paramètres!$A$1:$I$89,5,0)</f>
        <v>183.61199999999999</v>
      </c>
      <c r="P62" s="14">
        <f t="shared" si="33"/>
        <v>46.124858041839339</v>
      </c>
      <c r="Q62" s="22">
        <f t="shared" si="53"/>
        <v>400.12502775620351</v>
      </c>
      <c r="R62" s="62">
        <f t="shared" si="0"/>
        <v>693.45836108953677</v>
      </c>
      <c r="S62" s="62">
        <f ca="1">AVERAGE(OFFSET($R$3,0,0,'Données projet'!$E$9+1,1))-AVERAGE(OFFSET($H$3,0,0,'Données projet'!$E$9+1,1))</f>
        <v>175.05987582828078</v>
      </c>
      <c r="T62" s="62">
        <f t="shared" si="34"/>
        <v>268.54782308462387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4.0637194289582599</v>
      </c>
      <c r="AB62" s="23">
        <f>EXP(-LN(2)/2)*AB61+(1-EXP(-LN(2)/2))/(LN(2)/2)*V62*Y62*VLOOKUP('Données projet'!$B$9,Paramètres!$A$1:$I$89,3,0)*0.475*44/12</f>
        <v>5.459086357727218E-4</v>
      </c>
      <c r="AC62" s="24">
        <f t="shared" si="3"/>
        <v>4.0642653375940325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227.39999999999998</v>
      </c>
      <c r="AJ62" s="14">
        <f>AI62*VLOOKUP('Données projet'!$B$10,Paramètres!$A$1:$I$89,3,0)*VLOOKUP('Données projet'!$B$10,Paramètres!$A$1:$I$89,5,0)</f>
        <v>205.75151999999994</v>
      </c>
      <c r="AK62" s="14">
        <f t="shared" si="35"/>
        <v>51.006084477955554</v>
      </c>
      <c r="AL62" s="22">
        <f t="shared" si="4"/>
        <v>447.18616113243911</v>
      </c>
      <c r="AM62" s="62">
        <f t="shared" si="5"/>
        <v>740.51949446577237</v>
      </c>
      <c r="AN62" s="62">
        <f ca="1">AVERAGE(OFFSET($AM$3,0,0,'Données projet'!$E$10+1,1))-AVERAGE(OFFSET($H$3,0,0,'Données projet'!$E$10+1,1))</f>
        <v>302.55602998433079</v>
      </c>
      <c r="AO62" s="62">
        <f t="shared" si="36"/>
        <v>172.32171001882188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9.375</v>
      </c>
      <c r="BD62" s="13">
        <f>IF('Données projet'!$A$88&gt;35,BD61+BC62-BL61,IF(A62&lt;'Données projet'!$A$88,$BA$205^A62,IF(A62='Données projet'!$A$88,'Données projet'!$B$88,BD61+BC62-BL61)))</f>
        <v>287.62499999999989</v>
      </c>
      <c r="BE62" s="14">
        <f>BD62*VLOOKUP('Données projet'!$B$11,Paramètres!$A$1:$I$89,3,0)*VLOOKUP('Données projet'!$B$11,Paramètres!$A$1:$I$89,5,0)</f>
        <v>224.34749999999991</v>
      </c>
      <c r="BF62" s="14">
        <f t="shared" si="37"/>
        <v>55.058714525680429</v>
      </c>
      <c r="BG62" s="22">
        <f t="shared" si="7"/>
        <v>486.63249029889329</v>
      </c>
      <c r="BH62" s="62">
        <f t="shared" si="8"/>
        <v>779.9658236322266</v>
      </c>
      <c r="BI62" s="62">
        <f ca="1">AVERAGE(OFFSET($BH$3,0,0,'Données projet'!$E$11+1,1))-AVERAGE(OFFSET($H$3,0,0,'Données projet'!$E$11+1,1))</f>
        <v>216.95993967070063</v>
      </c>
      <c r="BJ62" s="62">
        <f t="shared" si="38"/>
        <v>208.79744153433245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7.6</v>
      </c>
      <c r="BY62" s="13">
        <f>IF('Données projet'!$A$114&gt;35,BY61+BX62-CG61,IF(A62&lt;'Données projet'!$A$114,$BV$205^A62,IF(A62='Données projet'!$A$114,'Données projet'!$B$114,BY61+BX62-CG61)))</f>
        <v>227.39999999999998</v>
      </c>
      <c r="BZ62" s="14">
        <f>BY62*VLOOKUP('Données projet'!$B$12,Paramètres!$A$1:$I$89,3,0)*VLOOKUP('Données projet'!$B$12,Paramètres!$A$1:$I$89,5,0)</f>
        <v>219.94127999999995</v>
      </c>
      <c r="CA62" s="14">
        <f t="shared" si="39"/>
        <v>54.102123020446285</v>
      </c>
      <c r="CB62" s="22">
        <f t="shared" si="10"/>
        <v>477.29226026061059</v>
      </c>
      <c r="CC62" s="62">
        <f t="shared" si="11"/>
        <v>770.6255935939439</v>
      </c>
      <c r="CD62" s="62">
        <f ca="1">AVERAGE(OFFSET($CC$3,0,0,'Données projet'!$E$12+1,1))-AVERAGE(OFFSET($H$3,0,0,'Données projet'!$E$12+1,1))</f>
        <v>329.13617179625538</v>
      </c>
      <c r="CE62" s="62">
        <f t="shared" si="40"/>
        <v>186.45728006007261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304</v>
      </c>
      <c r="L63" s="13">
        <f>VLOOKUP(A63,'Données projet'!$A$35:$I$55,9,0)</f>
        <v>9.75</v>
      </c>
      <c r="M63" s="13">
        <f t="array" ref="M63">INDEX(L:L,MIN(IF(ISNUMBER(L63:L259),ROW(L63:L259),"")))</f>
        <v>9.75</v>
      </c>
      <c r="N63" s="14">
        <f>IF('Données projet'!$A$36&gt;35,N62+M63-V62,IF(A63&lt;'Données projet'!$A$36,$K$205^A63,IF(A63='Données projet'!$A$36,'Données projet'!$B$36,N62+M63-V62)))</f>
        <v>304</v>
      </c>
      <c r="O63" s="14">
        <f>N63*VLOOKUP('Données projet'!$B$9,Paramètres!$A$1:$I$89,3,0)*VLOOKUP('Données projet'!$B$9,Paramètres!$A$1:$I$89,5,0)</f>
        <v>189.696</v>
      </c>
      <c r="P63" s="14">
        <f t="shared" si="33"/>
        <v>47.472736505152469</v>
      </c>
      <c r="Q63" s="22">
        <f t="shared" si="53"/>
        <v>413.06888274647389</v>
      </c>
      <c r="R63" s="62">
        <f t="shared" si="0"/>
        <v>706.4022160798072</v>
      </c>
      <c r="S63" s="62">
        <f ca="1">AVERAGE(OFFSET($R$3,0,0,'Données projet'!$E$9+1,1))-AVERAGE(OFFSET($H$3,0,0,'Données projet'!$E$9+1,1))</f>
        <v>175.05987582828078</v>
      </c>
      <c r="T63" s="62">
        <f t="shared" si="34"/>
        <v>268.54782308462387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304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3.9525968074716791</v>
      </c>
      <c r="AB63" s="23">
        <f>EXP(-LN(2)/2)*AB62+(1-EXP(-LN(2)/2))/(LN(2)/2)*V63*Y63*VLOOKUP('Données projet'!$B$9,Paramètres!$A$1:$I$89,3,0)*0.475*44/12</f>
        <v>3.8601569826318867E-4</v>
      </c>
      <c r="AC63" s="24">
        <f t="shared" si="3"/>
        <v>3.9529828231699424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234.99999999999997</v>
      </c>
      <c r="AJ63" s="14">
        <f>AI63*VLOOKUP('Données projet'!$B$10,Paramètres!$A$1:$I$89,3,0)*VLOOKUP('Données projet'!$B$10,Paramètres!$A$1:$I$89,5,0)</f>
        <v>212.62799999999999</v>
      </c>
      <c r="AK63" s="14">
        <f t="shared" si="35"/>
        <v>52.509453483719035</v>
      </c>
      <c r="AL63" s="22">
        <f t="shared" si="4"/>
        <v>461.78106481747727</v>
      </c>
      <c r="AM63" s="62">
        <f t="shared" si="5"/>
        <v>755.11439815081053</v>
      </c>
      <c r="AN63" s="62">
        <f ca="1">AVERAGE(OFFSET($AM$3,0,0,'Données projet'!$E$10+1,1))-AVERAGE(OFFSET($H$3,0,0,'Données projet'!$E$10+1,1))</f>
        <v>302.55602998433079</v>
      </c>
      <c r="AO63" s="62">
        <f t="shared" si="36"/>
        <v>172.32171001882188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42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297</v>
      </c>
      <c r="BB63" s="13">
        <f>VLOOKUP(A63,'Données projet'!$A$87:$I$107,9,0)</f>
        <v>9.375</v>
      </c>
      <c r="BC63" s="13">
        <f t="array" ref="BC63">INDEX(BB:BB,MIN(IF(ISNUMBER(BB63:BB259),ROW(BB63:BB259),"")))</f>
        <v>9.375</v>
      </c>
      <c r="BD63" s="13">
        <f>IF('Données projet'!$A$88&gt;35,BD62+BC63-BL62,IF(A63&lt;'Données projet'!$A$88,$BA$205^A63,IF(A63='Données projet'!$A$88,'Données projet'!$B$88,BD62+BC63-BL62)))</f>
        <v>296.99999999999989</v>
      </c>
      <c r="BE63" s="14">
        <f>BD63*VLOOKUP('Données projet'!$B$11,Paramètres!$A$1:$I$89,3,0)*VLOOKUP('Données projet'!$B$11,Paramètres!$A$1:$I$89,5,0)</f>
        <v>231.65999999999991</v>
      </c>
      <c r="BF63" s="14">
        <f t="shared" si="37"/>
        <v>56.641461975682766</v>
      </c>
      <c r="BG63" s="22">
        <f t="shared" si="7"/>
        <v>502.125046274314</v>
      </c>
      <c r="BH63" s="62">
        <f t="shared" si="8"/>
        <v>795.45837960764732</v>
      </c>
      <c r="BI63" s="62">
        <f ca="1">AVERAGE(OFFSET($BH$3,0,0,'Données projet'!$E$11+1,1))-AVERAGE(OFFSET($H$3,0,0,'Données projet'!$E$11+1,1))</f>
        <v>216.95993967070063</v>
      </c>
      <c r="BJ63" s="62">
        <f t="shared" si="38"/>
        <v>208.79744153433245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47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235</v>
      </c>
      <c r="BW63" s="13">
        <f>VLOOKUP(A63,'Données projet'!$A$113:$I$133,9,0)</f>
        <v>7.6</v>
      </c>
      <c r="BX63" s="13">
        <f t="array" ref="BX63">INDEX(BW:BW,MIN(IF(ISNUMBER(BW63:BW259),ROW(BW63:BW259),"")))</f>
        <v>7.6</v>
      </c>
      <c r="BY63" s="13">
        <f>IF('Données projet'!$A$114&gt;35,BY62+BX63-CG62,IF(A63&lt;'Données projet'!$A$114,$BV$205^A63,IF(A63='Données projet'!$A$114,'Données projet'!$B$114,BY62+BX63-CG62)))</f>
        <v>234.99999999999997</v>
      </c>
      <c r="BZ63" s="14">
        <f>BY63*VLOOKUP('Données projet'!$B$12,Paramètres!$A$1:$I$89,3,0)*VLOOKUP('Données projet'!$B$12,Paramètres!$A$1:$I$89,5,0)</f>
        <v>227.292</v>
      </c>
      <c r="CA63" s="14">
        <f t="shared" si="39"/>
        <v>55.6967456174837</v>
      </c>
      <c r="CB63" s="22">
        <f t="shared" si="10"/>
        <v>492.87206528378402</v>
      </c>
      <c r="CC63" s="62">
        <f t="shared" si="11"/>
        <v>786.20539861711734</v>
      </c>
      <c r="CD63" s="62">
        <f ca="1">AVERAGE(OFFSET($CC$3,0,0,'Données projet'!$E$12+1,1))-AVERAGE(OFFSET($H$3,0,0,'Données projet'!$E$12+1,1))</f>
        <v>329.13617179625538</v>
      </c>
      <c r="CE63" s="62">
        <f t="shared" si="40"/>
        <v>186.45728006007261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42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175.05987582828078</v>
      </c>
      <c r="T64" s="62">
        <f t="shared" si="34"/>
        <v>268.54782308462387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3.8445128399133335</v>
      </c>
      <c r="AB64" s="23">
        <f>EXP(-LN(2)/2)*AB63+(1-EXP(-LN(2)/2))/(LN(2)/2)*V64*Y64*VLOOKUP('Données projet'!$B$9,Paramètres!$A$1:$I$89,3,0)*0.475*44/12</f>
        <v>2.729543178863609E-4</v>
      </c>
      <c r="AC64" s="24">
        <f t="shared" si="3"/>
        <v>3.8447857942312198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181.14095999999995</v>
      </c>
      <c r="AK64" s="14">
        <f t="shared" si="35"/>
        <v>45.575935320610945</v>
      </c>
      <c r="AL64" s="22">
        <f t="shared" si="4"/>
        <v>394.86525935006392</v>
      </c>
      <c r="AM64" s="62">
        <f t="shared" si="5"/>
        <v>688.19859268339724</v>
      </c>
      <c r="AN64" s="62">
        <f ca="1">AVERAGE(OFFSET($AM$3,0,0,'Données projet'!$E$10+1,1))-AVERAGE(OFFSET($H$3,0,0,'Données projet'!$E$10+1,1))</f>
        <v>302.55602998433079</v>
      </c>
      <c r="AO64" s="62">
        <f t="shared" si="36"/>
        <v>172.32171001882188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8.6666666666666661</v>
      </c>
      <c r="BD64" s="13">
        <f>IF('Données projet'!$A$88&gt;35,BD63+BC64-BL63,IF(A64&lt;'Données projet'!$A$88,$BA$205^A64,IF(A64='Données projet'!$A$88,'Données projet'!$B$88,BD63+BC64-BL63)))</f>
        <v>258.66666666666657</v>
      </c>
      <c r="BE64" s="14">
        <f>BD64*VLOOKUP('Données projet'!$B$11,Paramètres!$A$1:$I$89,3,0)*VLOOKUP('Données projet'!$B$11,Paramètres!$A$1:$I$89,5,0)</f>
        <v>201.75999999999993</v>
      </c>
      <c r="BF64" s="14">
        <f t="shared" si="37"/>
        <v>50.130765000424169</v>
      </c>
      <c r="BG64" s="22">
        <f t="shared" si="7"/>
        <v>438.70974904240529</v>
      </c>
      <c r="BH64" s="62">
        <f t="shared" si="8"/>
        <v>732.04308237573855</v>
      </c>
      <c r="BI64" s="62">
        <f ca="1">AVERAGE(OFFSET($BH$3,0,0,'Données projet'!$E$11+1,1))-AVERAGE(OFFSET($H$3,0,0,'Données projet'!$E$11+1,1))</f>
        <v>216.95993967070063</v>
      </c>
      <c r="BJ64" s="62">
        <f t="shared" si="38"/>
        <v>208.79744153433245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200.19999999999996</v>
      </c>
      <c r="BZ64" s="14">
        <f>BY64*VLOOKUP('Données projet'!$B$12,Paramètres!$A$1:$I$89,3,0)*VLOOKUP('Données projet'!$B$12,Paramètres!$A$1:$I$89,5,0)</f>
        <v>193.63343999999998</v>
      </c>
      <c r="CA64" s="14">
        <f t="shared" si="39"/>
        <v>48.342367086681229</v>
      </c>
      <c r="CB64" s="22">
        <f t="shared" si="10"/>
        <v>421.44119734263637</v>
      </c>
      <c r="CC64" s="62">
        <f t="shared" si="11"/>
        <v>714.77453067596969</v>
      </c>
      <c r="CD64" s="62">
        <f ca="1">AVERAGE(OFFSET($CC$3,0,0,'Données projet'!$E$12+1,1))-AVERAGE(OFFSET($H$3,0,0,'Données projet'!$E$12+1,1))</f>
        <v>329.13617179625538</v>
      </c>
      <c r="CE64" s="62">
        <f t="shared" si="40"/>
        <v>186.45728006007261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175.05987582828078</v>
      </c>
      <c r="T65" s="62">
        <f t="shared" si="34"/>
        <v>268.54782308462387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3.7393844341317597</v>
      </c>
      <c r="AB65" s="23">
        <f>EXP(-LN(2)/2)*AB64+(1-EXP(-LN(2)/2))/(LN(2)/2)*V65*Y65*VLOOKUP('Données projet'!$B$9,Paramètres!$A$1:$I$89,3,0)*0.475*44/12</f>
        <v>1.9300784913159433E-4</v>
      </c>
      <c r="AC65" s="24">
        <f t="shared" si="3"/>
        <v>3.7395774419808911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187.65551999999994</v>
      </c>
      <c r="AK65" s="14">
        <f t="shared" si="35"/>
        <v>47.021247649900147</v>
      </c>
      <c r="AL65" s="22">
        <f t="shared" si="4"/>
        <v>408.72870365690932</v>
      </c>
      <c r="AM65" s="62">
        <f t="shared" si="5"/>
        <v>702.06203699024263</v>
      </c>
      <c r="AN65" s="62">
        <f ca="1">AVERAGE(OFFSET($AM$3,0,0,'Données projet'!$E$10+1,1))-AVERAGE(OFFSET($H$3,0,0,'Données projet'!$E$10+1,1))</f>
        <v>302.55602998433079</v>
      </c>
      <c r="AO65" s="62">
        <f t="shared" si="36"/>
        <v>172.32171001882188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8.6666666666666661</v>
      </c>
      <c r="BD65" s="13">
        <f>IF('Données projet'!$A$88&gt;35,BD64+BC65-BL64,IF(A65&lt;'Données projet'!$A$88,$BA$205^A65,IF(A65='Données projet'!$A$88,'Données projet'!$B$88,BD64+BC65-BL64)))</f>
        <v>267.33333333333326</v>
      </c>
      <c r="BE65" s="14">
        <f>BD65*VLOOKUP('Données projet'!$B$11,Paramètres!$A$1:$I$89,3,0)*VLOOKUP('Données projet'!$B$11,Paramètres!$A$1:$I$89,5,0)</f>
        <v>208.51999999999995</v>
      </c>
      <c r="BF65" s="14">
        <f t="shared" si="37"/>
        <v>51.612035456318459</v>
      </c>
      <c r="BG65" s="22">
        <f t="shared" si="7"/>
        <v>453.06329508642119</v>
      </c>
      <c r="BH65" s="62">
        <f t="shared" si="8"/>
        <v>746.39662841975451</v>
      </c>
      <c r="BI65" s="62">
        <f ca="1">AVERAGE(OFFSET($BH$3,0,0,'Données projet'!$E$11+1,1))-AVERAGE(OFFSET($H$3,0,0,'Données projet'!$E$11+1,1))</f>
        <v>216.95993967070063</v>
      </c>
      <c r="BJ65" s="62">
        <f t="shared" si="38"/>
        <v>208.79744153433245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207.39999999999995</v>
      </c>
      <c r="BZ65" s="14">
        <f>BY65*VLOOKUP('Données projet'!$B$12,Paramètres!$A$1:$I$89,3,0)*VLOOKUP('Données projet'!$B$12,Paramètres!$A$1:$I$89,5,0)</f>
        <v>200.59727999999996</v>
      </c>
      <c r="CA65" s="14">
        <f t="shared" si="39"/>
        <v>49.875409002022977</v>
      </c>
      <c r="CB65" s="22">
        <f t="shared" si="10"/>
        <v>436.23993334518991</v>
      </c>
      <c r="CC65" s="62">
        <f t="shared" si="11"/>
        <v>729.57326667852317</v>
      </c>
      <c r="CD65" s="62">
        <f ca="1">AVERAGE(OFFSET($CC$3,0,0,'Données projet'!$E$12+1,1))-AVERAGE(OFFSET($H$3,0,0,'Données projet'!$E$12+1,1))</f>
        <v>329.13617179625538</v>
      </c>
      <c r="CE65" s="62">
        <f t="shared" si="40"/>
        <v>186.45728006007261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175.05987582828078</v>
      </c>
      <c r="T66" s="62">
        <f t="shared" si="34"/>
        <v>268.54782308462387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3.6371307701347457</v>
      </c>
      <c r="AB66" s="23">
        <f>EXP(-LN(2)/2)*AB65+(1-EXP(-LN(2)/2))/(LN(2)/2)*V66*Y66*VLOOKUP('Données projet'!$B$9,Paramètres!$A$1:$I$89,3,0)*0.475*44/12</f>
        <v>1.3647715894318045E-4</v>
      </c>
      <c r="AC66" s="24">
        <f t="shared" si="3"/>
        <v>3.6372672472936891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194.17007999999996</v>
      </c>
      <c r="AK66" s="14">
        <f t="shared" si="35"/>
        <v>48.460730182351035</v>
      </c>
      <c r="AL66" s="22">
        <f t="shared" si="4"/>
        <v>422.5819944009279</v>
      </c>
      <c r="AM66" s="62">
        <f t="shared" si="5"/>
        <v>715.91532773426115</v>
      </c>
      <c r="AN66" s="62">
        <f ca="1">AVERAGE(OFFSET($AM$3,0,0,'Données projet'!$E$10+1,1))-AVERAGE(OFFSET($H$3,0,0,'Données projet'!$E$10+1,1))</f>
        <v>302.55602998433079</v>
      </c>
      <c r="AO66" s="62">
        <f t="shared" si="36"/>
        <v>172.32171001882188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8.6666666666666661</v>
      </c>
      <c r="BD66" s="13">
        <f>IF('Données projet'!$A$88&gt;35,BD65+BC66-BL65,IF(A66&lt;'Données projet'!$A$88,$BA$205^A66,IF(A66='Données projet'!$A$88,'Données projet'!$B$88,BD65+BC66-BL65)))</f>
        <v>275.99999999999994</v>
      </c>
      <c r="BE66" s="14">
        <f>BD66*VLOOKUP('Données projet'!$B$11,Paramètres!$A$1:$I$89,3,0)*VLOOKUP('Données projet'!$B$11,Paramètres!$A$1:$I$89,5,0)</f>
        <v>215.27999999999997</v>
      </c>
      <c r="BF66" s="14">
        <f t="shared" si="37"/>
        <v>53.087725740853138</v>
      </c>
      <c r="BG66" s="22">
        <f t="shared" si="7"/>
        <v>467.40712233198587</v>
      </c>
      <c r="BH66" s="62">
        <f t="shared" si="8"/>
        <v>760.74045566531913</v>
      </c>
      <c r="BI66" s="62">
        <f ca="1">AVERAGE(OFFSET($BH$3,0,0,'Données projet'!$E$11+1,1))-AVERAGE(OFFSET($H$3,0,0,'Données projet'!$E$11+1,1))</f>
        <v>216.95993967070063</v>
      </c>
      <c r="BJ66" s="62">
        <f t="shared" si="38"/>
        <v>208.79744153433245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214.59999999999994</v>
      </c>
      <c r="BZ66" s="14">
        <f>BY66*VLOOKUP('Données projet'!$B$12,Paramètres!$A$1:$I$89,3,0)*VLOOKUP('Données projet'!$B$12,Paramètres!$A$1:$I$89,5,0)</f>
        <v>207.56111999999996</v>
      </c>
      <c r="CA66" s="14">
        <f t="shared" si="39"/>
        <v>51.40226725537714</v>
      </c>
      <c r="CB66" s="22">
        <f t="shared" si="10"/>
        <v>451.02789946978169</v>
      </c>
      <c r="CC66" s="62">
        <f t="shared" si="11"/>
        <v>744.36123280311494</v>
      </c>
      <c r="CD66" s="62">
        <f ca="1">AVERAGE(OFFSET($CC$3,0,0,'Données projet'!$E$12+1,1))-AVERAGE(OFFSET($H$3,0,0,'Données projet'!$E$12+1,1))</f>
        <v>329.13617179625538</v>
      </c>
      <c r="CE66" s="62">
        <f t="shared" si="40"/>
        <v>186.45728006007261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175.05987582828078</v>
      </c>
      <c r="T67" s="62">
        <f t="shared" si="34"/>
        <v>268.54782308462387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3.5376732379570166</v>
      </c>
      <c r="AB67" s="23">
        <f>EXP(-LN(2)/2)*AB66+(1-EXP(-LN(2)/2))/(LN(2)/2)*V67*Y67*VLOOKUP('Données projet'!$B$9,Paramètres!$A$1:$I$89,3,0)*0.475*44/12</f>
        <v>9.6503924565797167E-5</v>
      </c>
      <c r="AC67" s="24">
        <f t="shared" si="3"/>
        <v>3.5377697418815823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200.68463999999992</v>
      </c>
      <c r="AK67" s="14">
        <f t="shared" si="35"/>
        <v>49.894600936700193</v>
      </c>
      <c r="AL67" s="22">
        <f t="shared" si="4"/>
        <v>436.42551129808606</v>
      </c>
      <c r="AM67" s="62">
        <f t="shared" si="5"/>
        <v>729.75884463141938</v>
      </c>
      <c r="AN67" s="62">
        <f ca="1">AVERAGE(OFFSET($AM$3,0,0,'Données projet'!$E$10+1,1))-AVERAGE(OFFSET($H$3,0,0,'Données projet'!$E$10+1,1))</f>
        <v>302.55602998433079</v>
      </c>
      <c r="AO67" s="62">
        <f t="shared" si="36"/>
        <v>172.32171001882188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8.6666666666666661</v>
      </c>
      <c r="BD67" s="13">
        <f>IF('Données projet'!$A$88&gt;35,BD66+BC67-BL66,IF(A67&lt;'Données projet'!$A$88,$BA$205^A67,IF(A67='Données projet'!$A$88,'Données projet'!$B$88,BD66+BC67-BL66)))</f>
        <v>284.66666666666663</v>
      </c>
      <c r="BE67" s="14">
        <f>BD67*VLOOKUP('Données projet'!$B$11,Paramètres!$A$1:$I$89,3,0)*VLOOKUP('Données projet'!$B$11,Paramètres!$A$1:$I$89,5,0)</f>
        <v>222.04</v>
      </c>
      <c r="BF67" s="14">
        <f t="shared" si="37"/>
        <v>54.558031180803546</v>
      </c>
      <c r="BG67" s="22">
        <f t="shared" si="7"/>
        <v>481.74157097323285</v>
      </c>
      <c r="BH67" s="62">
        <f t="shared" si="8"/>
        <v>775.07490430656617</v>
      </c>
      <c r="BI67" s="62">
        <f ca="1">AVERAGE(OFFSET($BH$3,0,0,'Données projet'!$E$11+1,1))-AVERAGE(OFFSET($H$3,0,0,'Données projet'!$E$11+1,1))</f>
        <v>216.95993967070063</v>
      </c>
      <c r="BJ67" s="62">
        <f t="shared" si="38"/>
        <v>208.79744153433245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221.79999999999993</v>
      </c>
      <c r="BZ67" s="14">
        <f>BY67*VLOOKUP('Données projet'!$B$12,Paramètres!$A$1:$I$89,3,0)*VLOOKUP('Données projet'!$B$12,Paramètres!$A$1:$I$89,5,0)</f>
        <v>214.52495999999994</v>
      </c>
      <c r="CA67" s="14">
        <f t="shared" si="39"/>
        <v>52.923173099085716</v>
      </c>
      <c r="CB67" s="22">
        <f t="shared" si="10"/>
        <v>465.80549848090754</v>
      </c>
      <c r="CC67" s="62">
        <f t="shared" si="11"/>
        <v>759.1388318142408</v>
      </c>
      <c r="CD67" s="62">
        <f ca="1">AVERAGE(OFFSET($CC$3,0,0,'Données projet'!$E$12+1,1))-AVERAGE(OFFSET($H$3,0,0,'Données projet'!$E$12+1,1))</f>
        <v>329.13617179625538</v>
      </c>
      <c r="CE67" s="62">
        <f t="shared" si="40"/>
        <v>186.45728006007261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175.05987582828078</v>
      </c>
      <c r="T68" s="62">
        <f t="shared" si="34"/>
        <v>268.54782308462387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3.440935377226932</v>
      </c>
      <c r="AB68" s="23">
        <f>EXP(-LN(2)/2)*AB67+(1-EXP(-LN(2)/2))/(LN(2)/2)*V68*Y68*VLOOKUP('Données projet'!$B$9,Paramètres!$A$1:$I$89,3,0)*0.475*44/12</f>
        <v>6.8238579471590225E-5</v>
      </c>
      <c r="AC68" s="24">
        <f t="shared" ref="AC68:AC131" si="57">SUM(Z68:AB68)</f>
        <v>3.4410036158064035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207.19919999999991</v>
      </c>
      <c r="AK68" s="14">
        <f t="shared" si="35"/>
        <v>51.3230629736655</v>
      </c>
      <c r="AL68" s="22">
        <f t="shared" ref="AL68:AL131" si="58">(AJ68+AK68)*0.475*44/12</f>
        <v>450.25960801246725</v>
      </c>
      <c r="AM68" s="62">
        <f t="shared" ref="AM68:AM131" si="59">AL68+(AD68+AE68)*44/12</f>
        <v>743.59294134580057</v>
      </c>
      <c r="AN68" s="62">
        <f ca="1">AVERAGE(OFFSET($AM$3,0,0,'Données projet'!$E$10+1,1))-AVERAGE(OFFSET($H$3,0,0,'Données projet'!$E$10+1,1))</f>
        <v>302.55602998433079</v>
      </c>
      <c r="AO68" s="62">
        <f t="shared" si="36"/>
        <v>172.32171001882188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8.6666666666666661</v>
      </c>
      <c r="BD68" s="13">
        <f>IF('Données projet'!$A$88&gt;35,BD67+BC68-BL67,IF(A68&lt;'Données projet'!$A$88,$BA$205^A68,IF(A68='Données projet'!$A$88,'Données projet'!$B$88,BD67+BC68-BL67)))</f>
        <v>293.33333333333331</v>
      </c>
      <c r="BE68" s="14">
        <f>BD68*VLOOKUP('Données projet'!$B$11,Paramètres!$A$1:$I$89,3,0)*VLOOKUP('Données projet'!$B$11,Paramètres!$A$1:$I$89,5,0)</f>
        <v>228.79999999999998</v>
      </c>
      <c r="BF68" s="14">
        <f t="shared" si="37"/>
        <v>56.023134533701196</v>
      </c>
      <c r="BG68" s="22">
        <f t="shared" ref="BG68:BG131" si="61">(BE68+BF68)*0.475*44/12</f>
        <v>496.06695931286293</v>
      </c>
      <c r="BH68" s="62">
        <f t="shared" ref="BH68:BH131" si="62">BG68+(AY68+AZ68)*44/12</f>
        <v>789.40029264619625</v>
      </c>
      <c r="BI68" s="62">
        <f ca="1">AVERAGE(OFFSET($BH$3,0,0,'Données projet'!$E$11+1,1))-AVERAGE(OFFSET($H$3,0,0,'Données projet'!$E$11+1,1))</f>
        <v>216.95993967070063</v>
      </c>
      <c r="BJ68" s="62">
        <f t="shared" si="38"/>
        <v>208.79744153433245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229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228.99999999999991</v>
      </c>
      <c r="BZ68" s="14">
        <f>BY68*VLOOKUP('Données projet'!$B$12,Paramètres!$A$1:$I$89,3,0)*VLOOKUP('Données projet'!$B$12,Paramètres!$A$1:$I$89,5,0)</f>
        <v>221.48879999999991</v>
      </c>
      <c r="CA68" s="14">
        <f t="shared" si="39"/>
        <v>54.43834191952984</v>
      </c>
      <c r="CB68" s="22">
        <f t="shared" ref="CB68:CB131" si="64">(BZ68+CA68)*0.475*44/12</f>
        <v>480.57310550984766</v>
      </c>
      <c r="CC68" s="62">
        <f t="shared" ref="CC68:CC131" si="65">CB68+(BT68+BU68)*44/12</f>
        <v>773.90643884318092</v>
      </c>
      <c r="CD68" s="62">
        <f ca="1">AVERAGE(OFFSET($CC$3,0,0,'Données projet'!$E$12+1,1))-AVERAGE(OFFSET($H$3,0,0,'Données projet'!$E$12+1,1))</f>
        <v>329.13617179625538</v>
      </c>
      <c r="CE68" s="62">
        <f t="shared" si="40"/>
        <v>186.45728006007261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175.05987582828078</v>
      </c>
      <c r="T69" s="62">
        <f t="shared" ref="T69:T132" si="88">$T$3</f>
        <v>268.54782308462387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3.3468428183857344</v>
      </c>
      <c r="AB69" s="23">
        <f>EXP(-LN(2)/2)*AB68+(1-EXP(-LN(2)/2))/(LN(2)/2)*V69*Y69*VLOOKUP('Données projet'!$B$9,Paramètres!$A$1:$I$89,3,0)*0.475*44/12</f>
        <v>4.8251962282898583E-5</v>
      </c>
      <c r="AC69" s="24">
        <f t="shared" si="57"/>
        <v>3.3468910703480175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235.79999999999993</v>
      </c>
      <c r="AJ69" s="14">
        <f>AI69*VLOOKUP('Données projet'!$B$10,Paramètres!$A$1:$I$89,3,0)*VLOOKUP('Données projet'!$B$10,Paramètres!$A$1:$I$89,5,0)</f>
        <v>213.35183999999992</v>
      </c>
      <c r="AK69" s="14">
        <f t="shared" ref="AK69:AK132" si="89">EXP(-1.0587+0.8836*LN(AJ69)+0.284)</f>
        <v>52.667370665417188</v>
      </c>
      <c r="AL69" s="22">
        <f t="shared" si="58"/>
        <v>463.31679190893482</v>
      </c>
      <c r="AM69" s="62">
        <f t="shared" si="59"/>
        <v>756.65012524226813</v>
      </c>
      <c r="AN69" s="62">
        <f ca="1">AVERAGE(OFFSET($AM$3,0,0,'Données projet'!$E$10+1,1))-AVERAGE(OFFSET($H$3,0,0,'Données projet'!$E$10+1,1))</f>
        <v>302.55602998433079</v>
      </c>
      <c r="AO69" s="62">
        <f t="shared" ref="AO69:AO132" si="90">$AO$3</f>
        <v>172.32171001882188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8.6666666666666661</v>
      </c>
      <c r="BD69" s="13">
        <f>IF('Données projet'!$A$88&gt;35,BD68+BC69-BL68,IF(A69&lt;'Données projet'!$A$88,$BA$205^A69,IF(A69='Données projet'!$A$88,'Données projet'!$B$88,BD68+BC69-BL68)))</f>
        <v>302</v>
      </c>
      <c r="BE69" s="14">
        <f>BD69*VLOOKUP('Données projet'!$B$11,Paramètres!$A$1:$I$89,3,0)*VLOOKUP('Données projet'!$B$11,Paramètres!$A$1:$I$89,5,0)</f>
        <v>235.56</v>
      </c>
      <c r="BF69" s="14">
        <f t="shared" ref="BF69:BF132" si="91">EXP(-1.0587+0.8836*LN(BE69)+0.284)</f>
        <v>57.483207143847721</v>
      </c>
      <c r="BG69" s="22">
        <f t="shared" si="61"/>
        <v>510.38358577553481</v>
      </c>
      <c r="BH69" s="62">
        <f t="shared" si="62"/>
        <v>803.71691910886807</v>
      </c>
      <c r="BI69" s="62">
        <f ca="1">AVERAGE(OFFSET($BH$3,0,0,'Données projet'!$E$11+1,1))-AVERAGE(OFFSET($H$3,0,0,'Données projet'!$E$11+1,1))</f>
        <v>216.95993967070063</v>
      </c>
      <c r="BJ69" s="62">
        <f t="shared" ref="BJ69:BJ132" si="92">$BJ$3</f>
        <v>208.79744153433245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235.79999999999993</v>
      </c>
      <c r="BZ69" s="14">
        <f>BY69*VLOOKUP('Données projet'!$B$12,Paramètres!$A$1:$I$89,3,0)*VLOOKUP('Données projet'!$B$12,Paramètres!$A$1:$I$89,5,0)</f>
        <v>228.06575999999993</v>
      </c>
      <c r="CA69" s="14">
        <f t="shared" ref="CA69:CA132" si="93">EXP(-1.0587+0.8836*LN(BZ69)+0.284)</f>
        <v>55.864248276798108</v>
      </c>
      <c r="CB69" s="22">
        <f t="shared" si="64"/>
        <v>494.51143108208981</v>
      </c>
      <c r="CC69" s="62">
        <f t="shared" si="65"/>
        <v>787.84476441542313</v>
      </c>
      <c r="CD69" s="62">
        <f ca="1">AVERAGE(OFFSET($CC$3,0,0,'Données projet'!$E$12+1,1))-AVERAGE(OFFSET($H$3,0,0,'Données projet'!$E$12+1,1))</f>
        <v>329.13617179625538</v>
      </c>
      <c r="CE69" s="62">
        <f t="shared" ref="CE69:CE132" si="94">$CE$3</f>
        <v>186.45728006007261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175.05987582828078</v>
      </c>
      <c r="T70" s="62">
        <f t="shared" si="88"/>
        <v>268.54782308462387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3.2553232255141618</v>
      </c>
      <c r="AB70" s="23">
        <f>EXP(-LN(2)/2)*AB69+(1-EXP(-LN(2)/2))/(LN(2)/2)*V70*Y70*VLOOKUP('Données projet'!$B$9,Paramètres!$A$1:$I$89,3,0)*0.475*44/12</f>
        <v>3.4119289735795113E-5</v>
      </c>
      <c r="AC70" s="24">
        <f t="shared" si="57"/>
        <v>3.2553573448038975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242.59999999999994</v>
      </c>
      <c r="AJ70" s="14">
        <f>AI70*VLOOKUP('Données projet'!$B$10,Paramètres!$A$1:$I$89,3,0)*VLOOKUP('Données projet'!$B$10,Paramètres!$A$1:$I$89,5,0)</f>
        <v>219.50447999999992</v>
      </c>
      <c r="AK70" s="14">
        <f t="shared" si="89"/>
        <v>54.007172767040167</v>
      </c>
      <c r="AL70" s="22">
        <f t="shared" si="58"/>
        <v>476.36612856926143</v>
      </c>
      <c r="AM70" s="62">
        <f t="shared" si="59"/>
        <v>769.69946190259475</v>
      </c>
      <c r="AN70" s="62">
        <f ca="1">AVERAGE(OFFSET($AM$3,0,0,'Données projet'!$E$10+1,1))-AVERAGE(OFFSET($H$3,0,0,'Données projet'!$E$10+1,1))</f>
        <v>302.55602998433079</v>
      </c>
      <c r="AO70" s="62">
        <f t="shared" si="90"/>
        <v>172.32171001882188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8.6666666666666661</v>
      </c>
      <c r="BD70" s="13">
        <f>IF('Données projet'!$A$88&gt;35,BD69+BC70-BL69,IF(A70&lt;'Données projet'!$A$88,$BA$205^A70,IF(A70='Données projet'!$A$88,'Données projet'!$B$88,BD69+BC70-BL69)))</f>
        <v>310.66666666666669</v>
      </c>
      <c r="BE70" s="14">
        <f>BD70*VLOOKUP('Données projet'!$B$11,Paramètres!$A$1:$I$89,3,0)*VLOOKUP('Données projet'!$B$11,Paramètres!$A$1:$I$89,5,0)</f>
        <v>242.32000000000002</v>
      </c>
      <c r="BF70" s="14">
        <f t="shared" si="91"/>
        <v>58.938409961900859</v>
      </c>
      <c r="BG70" s="22">
        <f t="shared" si="61"/>
        <v>524.69173068364398</v>
      </c>
      <c r="BH70" s="62">
        <f t="shared" si="62"/>
        <v>818.02506401697724</v>
      </c>
      <c r="BI70" s="62">
        <f ca="1">AVERAGE(OFFSET($BH$3,0,0,'Données projet'!$E$11+1,1))-AVERAGE(OFFSET($H$3,0,0,'Données projet'!$E$11+1,1))</f>
        <v>216.95993967070063</v>
      </c>
      <c r="BJ70" s="62">
        <f t="shared" si="92"/>
        <v>208.79744153433245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242.59999999999994</v>
      </c>
      <c r="BZ70" s="14">
        <f>BY70*VLOOKUP('Données projet'!$B$12,Paramètres!$A$1:$I$89,3,0)*VLOOKUP('Données projet'!$B$12,Paramètres!$A$1:$I$89,5,0)</f>
        <v>234.64271999999994</v>
      </c>
      <c r="CA70" s="14">
        <f t="shared" si="93"/>
        <v>57.285375557336316</v>
      </c>
      <c r="CB70" s="22">
        <f t="shared" si="64"/>
        <v>508.44143309569387</v>
      </c>
      <c r="CC70" s="62">
        <f t="shared" si="65"/>
        <v>801.77476642902718</v>
      </c>
      <c r="CD70" s="62">
        <f ca="1">AVERAGE(OFFSET($CC$3,0,0,'Données projet'!$E$12+1,1))-AVERAGE(OFFSET($H$3,0,0,'Données projet'!$E$12+1,1))</f>
        <v>329.13617179625538</v>
      </c>
      <c r="CE70" s="62">
        <f t="shared" si="94"/>
        <v>186.45728006007261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175.05987582828078</v>
      </c>
      <c r="T71" s="62">
        <f t="shared" si="88"/>
        <v>268.54782308462387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3.1663062407224687</v>
      </c>
      <c r="AB71" s="23">
        <f>EXP(-LN(2)/2)*AB70+(1-EXP(-LN(2)/2))/(LN(2)/2)*V71*Y71*VLOOKUP('Données projet'!$B$9,Paramètres!$A$1:$I$89,3,0)*0.475*44/12</f>
        <v>2.4125981141449292E-5</v>
      </c>
      <c r="AC71" s="24">
        <f t="shared" si="57"/>
        <v>3.16633036670361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249.39999999999995</v>
      </c>
      <c r="AJ71" s="14">
        <f>AI71*VLOOKUP('Données projet'!$B$10,Paramètres!$A$1:$I$89,3,0)*VLOOKUP('Données projet'!$B$10,Paramètres!$A$1:$I$89,5,0)</f>
        <v>225.65711999999994</v>
      </c>
      <c r="AK71" s="14">
        <f t="shared" si="89"/>
        <v>55.342610076561513</v>
      </c>
      <c r="AL71" s="22">
        <f t="shared" si="58"/>
        <v>489.40786321667775</v>
      </c>
      <c r="AM71" s="62">
        <f t="shared" si="59"/>
        <v>782.74119655001107</v>
      </c>
      <c r="AN71" s="62">
        <f ca="1">AVERAGE(OFFSET($AM$3,0,0,'Données projet'!$E$10+1,1))-AVERAGE(OFFSET($H$3,0,0,'Données projet'!$E$10+1,1))</f>
        <v>302.55602998433079</v>
      </c>
      <c r="AO71" s="62">
        <f t="shared" si="90"/>
        <v>172.32171001882188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8.6666666666666661</v>
      </c>
      <c r="BD71" s="13">
        <f>IF('Données projet'!$A$88&gt;35,BD70+BC71-BL70,IF(A71&lt;'Données projet'!$A$88,$BA$205^A71,IF(A71='Données projet'!$A$88,'Données projet'!$B$88,BD70+BC71-BL70)))</f>
        <v>319.33333333333337</v>
      </c>
      <c r="BE71" s="14">
        <f>BD71*VLOOKUP('Données projet'!$B$11,Paramètres!$A$1:$I$89,3,0)*VLOOKUP('Données projet'!$B$11,Paramètres!$A$1:$I$89,5,0)</f>
        <v>249.08000000000004</v>
      </c>
      <c r="BF71" s="14">
        <f t="shared" si="91"/>
        <v>60.388894447487807</v>
      </c>
      <c r="BG71" s="22">
        <f t="shared" si="61"/>
        <v>538.99165782937473</v>
      </c>
      <c r="BH71" s="62">
        <f t="shared" si="62"/>
        <v>832.3249911627081</v>
      </c>
      <c r="BI71" s="62">
        <f ca="1">AVERAGE(OFFSET($BH$3,0,0,'Données projet'!$E$11+1,1))-AVERAGE(OFFSET($H$3,0,0,'Données projet'!$E$11+1,1))</f>
        <v>216.95993967070063</v>
      </c>
      <c r="BJ71" s="62">
        <f t="shared" si="92"/>
        <v>208.79744153433245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249.39999999999995</v>
      </c>
      <c r="BZ71" s="14">
        <f>BY71*VLOOKUP('Données projet'!$B$12,Paramètres!$A$1:$I$89,3,0)*VLOOKUP('Données projet'!$B$12,Paramètres!$A$1:$I$89,5,0)</f>
        <v>241.21967999999995</v>
      </c>
      <c r="CA71" s="14">
        <f t="shared" si="93"/>
        <v>58.701873105526744</v>
      </c>
      <c r="CB71" s="22">
        <f t="shared" si="64"/>
        <v>522.36337165879229</v>
      </c>
      <c r="CC71" s="62">
        <f t="shared" si="65"/>
        <v>815.69670499212566</v>
      </c>
      <c r="CD71" s="62">
        <f ca="1">AVERAGE(OFFSET($CC$3,0,0,'Données projet'!$E$12+1,1))-AVERAGE(OFFSET($H$3,0,0,'Données projet'!$E$12+1,1))</f>
        <v>329.13617179625538</v>
      </c>
      <c r="CE71" s="62">
        <f t="shared" si="94"/>
        <v>186.45728006007261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175.05987582828078</v>
      </c>
      <c r="T72" s="62">
        <f t="shared" si="88"/>
        <v>268.54782308462387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3.0797234300611045</v>
      </c>
      <c r="AB72" s="23">
        <f>EXP(-LN(2)/2)*AB71+(1-EXP(-LN(2)/2))/(LN(2)/2)*V72*Y72*VLOOKUP('Données projet'!$B$9,Paramètres!$A$1:$I$89,3,0)*0.475*44/12</f>
        <v>1.7059644867897556E-5</v>
      </c>
      <c r="AC72" s="24">
        <f t="shared" si="57"/>
        <v>3.0797404897059724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256.19999999999993</v>
      </c>
      <c r="AJ72" s="14">
        <f>AI72*VLOOKUP('Données projet'!$B$10,Paramètres!$A$1:$I$89,3,0)*VLOOKUP('Données projet'!$B$10,Paramètres!$A$1:$I$89,5,0)</f>
        <v>231.80975999999993</v>
      </c>
      <c r="AK72" s="14">
        <f t="shared" si="89"/>
        <v>56.673815277159328</v>
      </c>
      <c r="AL72" s="22">
        <f t="shared" si="58"/>
        <v>502.44222694105241</v>
      </c>
      <c r="AM72" s="62">
        <f t="shared" si="59"/>
        <v>795.77556027438573</v>
      </c>
      <c r="AN72" s="62">
        <f ca="1">AVERAGE(OFFSET($AM$3,0,0,'Données projet'!$E$10+1,1))-AVERAGE(OFFSET($H$3,0,0,'Données projet'!$E$10+1,1))</f>
        <v>302.55602998433079</v>
      </c>
      <c r="AO72" s="62">
        <f t="shared" si="90"/>
        <v>172.32171001882188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>
        <f>VLOOKUP(A72,'Données projet'!$A$87:$I$107,2,0)</f>
        <v>328</v>
      </c>
      <c r="BB72" s="13">
        <f>VLOOKUP(A72,'Données projet'!$A$87:$I$107,9,0)</f>
        <v>8.6666666666666661</v>
      </c>
      <c r="BC72" s="13">
        <f t="array" ref="BC72">INDEX(BB:BB,MIN(IF(ISNUMBER(BB72:BB268),ROW(BB72:BB268),"")))</f>
        <v>8.6666666666666661</v>
      </c>
      <c r="BD72" s="13">
        <f>IF('Données projet'!$A$88&gt;35,BD71+BC72-BL71,IF(A72&lt;'Données projet'!$A$88,$BA$205^A72,IF(A72='Données projet'!$A$88,'Données projet'!$B$88,BD71+BC72-BL71)))</f>
        <v>328.00000000000006</v>
      </c>
      <c r="BE72" s="14">
        <f>BD72*VLOOKUP('Données projet'!$B$11,Paramètres!$A$1:$I$89,3,0)*VLOOKUP('Données projet'!$B$11,Paramètres!$A$1:$I$89,5,0)</f>
        <v>255.84000000000006</v>
      </c>
      <c r="BF72" s="14">
        <f t="shared" si="91"/>
        <v>61.834803371075836</v>
      </c>
      <c r="BG72" s="22">
        <f t="shared" si="61"/>
        <v>553.28361587129041</v>
      </c>
      <c r="BH72" s="62">
        <f t="shared" si="62"/>
        <v>846.61694920462378</v>
      </c>
      <c r="BI72" s="62">
        <f ca="1">AVERAGE(OFFSET($BH$3,0,0,'Données projet'!$E$11+1,1))-AVERAGE(OFFSET($H$3,0,0,'Données projet'!$E$11+1,1))</f>
        <v>216.95993967070063</v>
      </c>
      <c r="BJ72" s="62">
        <f t="shared" si="92"/>
        <v>208.79744153433245</v>
      </c>
      <c r="BK72" s="16">
        <f>IF(ISNA(VLOOKUP(A72,'Données projet'!$A$87:$I$107,3,0)),0,VLOOKUP(A72,'Données projet'!$A$87:$I$107,3,0))</f>
        <v>9</v>
      </c>
      <c r="BL72" s="16">
        <f>IF(ISNA(VLOOKUP(A72,'Données projet'!$A$87:$I$107,4,0)),0,VLOOKUP(A72,'Données projet'!$A$87:$I$107,4,0))</f>
        <v>328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256.19999999999993</v>
      </c>
      <c r="BZ72" s="14">
        <f>BY72*VLOOKUP('Données projet'!$B$12,Paramètres!$A$1:$I$89,3,0)*VLOOKUP('Données projet'!$B$12,Paramètres!$A$1:$I$89,5,0)</f>
        <v>247.79663999999997</v>
      </c>
      <c r="CA72" s="14">
        <f t="shared" si="93"/>
        <v>60.113881658336368</v>
      </c>
      <c r="CB72" s="22">
        <f t="shared" si="64"/>
        <v>536.27749188826908</v>
      </c>
      <c r="CC72" s="62">
        <f t="shared" si="65"/>
        <v>829.61082522160245</v>
      </c>
      <c r="CD72" s="62">
        <f ca="1">AVERAGE(OFFSET($CC$3,0,0,'Données projet'!$E$12+1,1))-AVERAGE(OFFSET($H$3,0,0,'Données projet'!$E$12+1,1))</f>
        <v>329.13617179625538</v>
      </c>
      <c r="CE72" s="62">
        <f t="shared" si="94"/>
        <v>186.45728006007261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175.05987582828078</v>
      </c>
      <c r="T73" s="62">
        <f t="shared" si="88"/>
        <v>268.54782308462387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2.9955082309104673</v>
      </c>
      <c r="AB73" s="23">
        <f>EXP(-LN(2)/2)*AB72+(1-EXP(-LN(2)/2))/(LN(2)/2)*V73*Y73*VLOOKUP('Données projet'!$B$9,Paramètres!$A$1:$I$89,3,0)*0.475*44/12</f>
        <v>1.2062990570724646E-5</v>
      </c>
      <c r="AC73" s="24">
        <f t="shared" si="57"/>
        <v>2.9955202939010381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262.99999999999994</v>
      </c>
      <c r="AJ73" s="14">
        <f>AI73*VLOOKUP('Données projet'!$B$10,Paramètres!$A$1:$I$89,3,0)*VLOOKUP('Données projet'!$B$10,Paramètres!$A$1:$I$89,5,0)</f>
        <v>237.96239999999995</v>
      </c>
      <c r="AK73" s="14">
        <f t="shared" si="89"/>
        <v>58.00091360766335</v>
      </c>
      <c r="AL73" s="22">
        <f t="shared" si="58"/>
        <v>515.4694378666801</v>
      </c>
      <c r="AM73" s="62">
        <f t="shared" si="59"/>
        <v>808.80277120001347</v>
      </c>
      <c r="AN73" s="62">
        <f ca="1">AVERAGE(OFFSET($AM$3,0,0,'Données projet'!$E$10+1,1))-AVERAGE(OFFSET($H$3,0,0,'Données projet'!$E$10+1,1))</f>
        <v>302.55602998433079</v>
      </c>
      <c r="AO73" s="62">
        <f t="shared" si="90"/>
        <v>172.32171001882188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42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5.6843418860808015E-14</v>
      </c>
      <c r="BE73" s="14">
        <f>BD73*VLOOKUP('Données projet'!$B$11,Paramètres!$A$1:$I$89,3,0)*VLOOKUP('Données projet'!$B$11,Paramètres!$A$1:$I$89,5,0)</f>
        <v>4.4337866711430253E-14</v>
      </c>
      <c r="BF73" s="14">
        <f t="shared" si="91"/>
        <v>7.3222115536967035E-13</v>
      </c>
      <c r="BG73" s="22">
        <f t="shared" si="61"/>
        <v>1.3525069634579169E-12</v>
      </c>
      <c r="BH73" s="62">
        <f t="shared" si="62"/>
        <v>293.33333333333468</v>
      </c>
      <c r="BI73" s="62">
        <f ca="1">AVERAGE(OFFSET($BH$3,0,0,'Données projet'!$E$11+1,1))-AVERAGE(OFFSET($H$3,0,0,'Données projet'!$E$11+1,1))</f>
        <v>216.95993967070063</v>
      </c>
      <c r="BJ73" s="62">
        <f t="shared" si="92"/>
        <v>208.79744153433245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263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262.99999999999994</v>
      </c>
      <c r="BZ73" s="14">
        <f>BY73*VLOOKUP('Données projet'!$B$12,Paramètres!$A$1:$I$89,3,0)*VLOOKUP('Données projet'!$B$12,Paramètres!$A$1:$I$89,5,0)</f>
        <v>254.37359999999998</v>
      </c>
      <c r="CA73" s="14">
        <f t="shared" si="93"/>
        <v>61.521534056516209</v>
      </c>
      <c r="CB73" s="22">
        <f t="shared" si="64"/>
        <v>550.1840251484324</v>
      </c>
      <c r="CC73" s="62">
        <f t="shared" si="65"/>
        <v>843.51735848176577</v>
      </c>
      <c r="CD73" s="62">
        <f ca="1">AVERAGE(OFFSET($CC$3,0,0,'Données projet'!$E$12+1,1))-AVERAGE(OFFSET($H$3,0,0,'Données projet'!$E$12+1,1))</f>
        <v>329.13617179625538</v>
      </c>
      <c r="CE73" s="62">
        <f t="shared" si="94"/>
        <v>186.45728006007261</v>
      </c>
      <c r="CF73" s="16">
        <f>IF(ISNA(VLOOKUP(A73,'Données projet'!$A$113:$I$133,3,0)),0,VLOOKUP(A73,'Données projet'!$A$113:$I$133,3,0))</f>
        <v>5</v>
      </c>
      <c r="CG73" s="16">
        <f>IF(ISNA(VLOOKUP(A73,'Données projet'!$A$113:$I$133,4,0)),0,VLOOKUP(A73,'Données projet'!$A$113:$I$133,4,0))</f>
        <v>42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175.05987582828078</v>
      </c>
      <c r="T74" s="62">
        <f t="shared" si="88"/>
        <v>268.54782308462387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2.9135959008092889</v>
      </c>
      <c r="AB74" s="23">
        <f>EXP(-LN(2)/2)*AB73+(1-EXP(-LN(2)/2))/(LN(2)/2)*V74*Y74*VLOOKUP('Données projet'!$B$9,Paramètres!$A$1:$I$89,3,0)*0.475*44/12</f>
        <v>8.5298224339487781E-6</v>
      </c>
      <c r="AC74" s="24">
        <f t="shared" si="57"/>
        <v>2.913604430631723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227.19999999999993</v>
      </c>
      <c r="AJ74" s="14">
        <f>AI74*VLOOKUP('Données projet'!$B$10,Paramètres!$A$1:$I$89,3,0)*VLOOKUP('Données projet'!$B$10,Paramètres!$A$1:$I$89,5,0)</f>
        <v>205.57055999999994</v>
      </c>
      <c r="AK74" s="14">
        <f t="shared" si="89"/>
        <v>50.966443946767392</v>
      </c>
      <c r="AL74" s="22">
        <f t="shared" si="58"/>
        <v>446.80194854061978</v>
      </c>
      <c r="AM74" s="62">
        <f t="shared" si="59"/>
        <v>740.13528187395309</v>
      </c>
      <c r="AN74" s="62">
        <f ca="1">AVERAGE(OFFSET($AM$3,0,0,'Données projet'!$E$10+1,1))-AVERAGE(OFFSET($H$3,0,0,'Données projet'!$E$10+1,1))</f>
        <v>302.55602998433079</v>
      </c>
      <c r="AO74" s="62">
        <f t="shared" si="90"/>
        <v>172.32171001882188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5.6843418860808015E-14</v>
      </c>
      <c r="BE74" s="14">
        <f>BD74*VLOOKUP('Données projet'!$B$11,Paramètres!$A$1:$I$89,3,0)*VLOOKUP('Données projet'!$B$11,Paramètres!$A$1:$I$89,5,0)</f>
        <v>4.4337866711430253E-14</v>
      </c>
      <c r="BF74" s="14">
        <f t="shared" si="91"/>
        <v>7.3222115536967035E-13</v>
      </c>
      <c r="BG74" s="22">
        <f t="shared" si="61"/>
        <v>1.3525069634579169E-12</v>
      </c>
      <c r="BH74" s="62">
        <f t="shared" si="62"/>
        <v>293.33333333333468</v>
      </c>
      <c r="BI74" s="62">
        <f ca="1">AVERAGE(OFFSET($BH$3,0,0,'Données projet'!$E$11+1,1))-AVERAGE(OFFSET($H$3,0,0,'Données projet'!$E$11+1,1))</f>
        <v>216.95993967070063</v>
      </c>
      <c r="BJ74" s="62">
        <f t="shared" si="92"/>
        <v>208.79744153433245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6.2</v>
      </c>
      <c r="BY74" s="13">
        <f>IF('Données projet'!$A$114&gt;35,BY73+BX74-CG73,IF(A74&lt;'Données projet'!$A$114,$BV$205^A74,IF(A74='Données projet'!$A$114,'Données projet'!$B$114,BY73+BX74-CG73)))</f>
        <v>227.19999999999993</v>
      </c>
      <c r="BZ74" s="14">
        <f>BY74*VLOOKUP('Données projet'!$B$12,Paramètres!$A$1:$I$89,3,0)*VLOOKUP('Données projet'!$B$12,Paramètres!$A$1:$I$89,5,0)</f>
        <v>219.74783999999994</v>
      </c>
      <c r="CA74" s="14">
        <f t="shared" si="93"/>
        <v>54.060076332940561</v>
      </c>
      <c r="CB74" s="22">
        <f t="shared" si="64"/>
        <v>476.88212094653812</v>
      </c>
      <c r="CC74" s="62">
        <f t="shared" si="65"/>
        <v>770.21545427987144</v>
      </c>
      <c r="CD74" s="62">
        <f ca="1">AVERAGE(OFFSET($CC$3,0,0,'Données projet'!$E$12+1,1))-AVERAGE(OFFSET($H$3,0,0,'Données projet'!$E$12+1,1))</f>
        <v>329.13617179625538</v>
      </c>
      <c r="CE74" s="62">
        <f t="shared" si="94"/>
        <v>186.45728006007261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175.05987582828078</v>
      </c>
      <c r="T75" s="62">
        <f t="shared" si="88"/>
        <v>268.54782308462387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2.8339234676823097</v>
      </c>
      <c r="AB75" s="23">
        <f>EXP(-LN(2)/2)*AB74+(1-EXP(-LN(2)/2))/(LN(2)/2)*V75*Y75*VLOOKUP('Données projet'!$B$9,Paramètres!$A$1:$I$89,3,0)*0.475*44/12</f>
        <v>6.0314952853623229E-6</v>
      </c>
      <c r="AC75" s="24">
        <f t="shared" si="57"/>
        <v>2.8339294991775952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233.39999999999992</v>
      </c>
      <c r="AJ75" s="14">
        <f>AI75*VLOOKUP('Données projet'!$B$10,Paramètres!$A$1:$I$89,3,0)*VLOOKUP('Données projet'!$B$10,Paramètres!$A$1:$I$89,5,0)</f>
        <v>211.18031999999994</v>
      </c>
      <c r="AK75" s="14">
        <f t="shared" si="89"/>
        <v>52.193431117443019</v>
      </c>
      <c r="AL75" s="22">
        <f t="shared" si="58"/>
        <v>458.70928319621316</v>
      </c>
      <c r="AM75" s="62">
        <f t="shared" si="59"/>
        <v>752.04261652954642</v>
      </c>
      <c r="AN75" s="62">
        <f ca="1">AVERAGE(OFFSET($AM$3,0,0,'Données projet'!$E$10+1,1))-AVERAGE(OFFSET($H$3,0,0,'Données projet'!$E$10+1,1))</f>
        <v>302.55602998433079</v>
      </c>
      <c r="AO75" s="62">
        <f t="shared" si="90"/>
        <v>172.32171001882188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5.6843418860808015E-14</v>
      </c>
      <c r="BE75" s="14">
        <f>BD75*VLOOKUP('Données projet'!$B$11,Paramètres!$A$1:$I$89,3,0)*VLOOKUP('Données projet'!$B$11,Paramètres!$A$1:$I$89,5,0)</f>
        <v>4.4337866711430253E-14</v>
      </c>
      <c r="BF75" s="14">
        <f t="shared" si="91"/>
        <v>7.3222115536967035E-13</v>
      </c>
      <c r="BG75" s="22">
        <f t="shared" si="61"/>
        <v>1.3525069634579169E-12</v>
      </c>
      <c r="BH75" s="62">
        <f t="shared" si="62"/>
        <v>293.33333333333468</v>
      </c>
      <c r="BI75" s="62">
        <f ca="1">AVERAGE(OFFSET($BH$3,0,0,'Données projet'!$E$11+1,1))-AVERAGE(OFFSET($H$3,0,0,'Données projet'!$E$11+1,1))</f>
        <v>216.95993967070063</v>
      </c>
      <c r="BJ75" s="62">
        <f t="shared" si="92"/>
        <v>208.79744153433245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6.2</v>
      </c>
      <c r="BY75" s="13">
        <f>IF('Données projet'!$A$114&gt;35,BY74+BX75-CG74,IF(A75&lt;'Données projet'!$A$114,$BV$205^A75,IF(A75='Données projet'!$A$114,'Données projet'!$B$114,BY74+BX75-CG74)))</f>
        <v>233.39999999999992</v>
      </c>
      <c r="BZ75" s="14">
        <f>BY75*VLOOKUP('Données projet'!$B$12,Paramètres!$A$1:$I$89,3,0)*VLOOKUP('Données projet'!$B$12,Paramètres!$A$1:$I$89,5,0)</f>
        <v>225.74447999999992</v>
      </c>
      <c r="CA75" s="14">
        <f t="shared" si="93"/>
        <v>55.36154088431374</v>
      </c>
      <c r="CB75" s="22">
        <f t="shared" si="64"/>
        <v>489.59298637351299</v>
      </c>
      <c r="CC75" s="62">
        <f t="shared" si="65"/>
        <v>782.92631970684624</v>
      </c>
      <c r="CD75" s="62">
        <f ca="1">AVERAGE(OFFSET($CC$3,0,0,'Données projet'!$E$12+1,1))-AVERAGE(OFFSET($H$3,0,0,'Données projet'!$E$12+1,1))</f>
        <v>329.13617179625538</v>
      </c>
      <c r="CE75" s="62">
        <f t="shared" si="94"/>
        <v>186.45728006007261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175.05987582828078</v>
      </c>
      <c r="T76" s="62">
        <f t="shared" si="88"/>
        <v>268.54782308462387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2.7564296814289788</v>
      </c>
      <c r="AB76" s="23">
        <f>EXP(-LN(2)/2)*AB75+(1-EXP(-LN(2)/2))/(LN(2)/2)*V76*Y76*VLOOKUP('Données projet'!$B$9,Paramètres!$A$1:$I$89,3,0)*0.475*44/12</f>
        <v>4.2649112169743891E-6</v>
      </c>
      <c r="AC76" s="24">
        <f t="shared" si="57"/>
        <v>2.7564339463401959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239.59999999999991</v>
      </c>
      <c r="AJ76" s="14">
        <f>AI76*VLOOKUP('Données projet'!$B$10,Paramètres!$A$1:$I$89,3,0)*VLOOKUP('Données projet'!$B$10,Paramètres!$A$1:$I$89,5,0)</f>
        <v>216.7900799999999</v>
      </c>
      <c r="AK76" s="14">
        <f t="shared" si="89"/>
        <v>53.416629794462551</v>
      </c>
      <c r="AL76" s="22">
        <f t="shared" si="58"/>
        <v>470.61001955868869</v>
      </c>
      <c r="AM76" s="62">
        <f t="shared" si="59"/>
        <v>763.94335289202195</v>
      </c>
      <c r="AN76" s="62">
        <f ca="1">AVERAGE(OFFSET($AM$3,0,0,'Données projet'!$E$10+1,1))-AVERAGE(OFFSET($H$3,0,0,'Données projet'!$E$10+1,1))</f>
        <v>302.55602998433079</v>
      </c>
      <c r="AO76" s="62">
        <f t="shared" si="90"/>
        <v>172.32171001882188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5.6843418860808015E-14</v>
      </c>
      <c r="BE76" s="14">
        <f>BD76*VLOOKUP('Données projet'!$B$11,Paramètres!$A$1:$I$89,3,0)*VLOOKUP('Données projet'!$B$11,Paramètres!$A$1:$I$89,5,0)</f>
        <v>4.4337866711430253E-14</v>
      </c>
      <c r="BF76" s="14">
        <f t="shared" si="91"/>
        <v>7.3222115536967035E-13</v>
      </c>
      <c r="BG76" s="22">
        <f t="shared" si="61"/>
        <v>1.3525069634579169E-12</v>
      </c>
      <c r="BH76" s="62">
        <f t="shared" si="62"/>
        <v>293.33333333333468</v>
      </c>
      <c r="BI76" s="62">
        <f ca="1">AVERAGE(OFFSET($BH$3,0,0,'Données projet'!$E$11+1,1))-AVERAGE(OFFSET($H$3,0,0,'Données projet'!$E$11+1,1))</f>
        <v>216.95993967070063</v>
      </c>
      <c r="BJ76" s="62">
        <f t="shared" si="92"/>
        <v>208.79744153433245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6.2</v>
      </c>
      <c r="BY76" s="13">
        <f>IF('Données projet'!$A$114&gt;35,BY75+BX76-CG75,IF(A76&lt;'Données projet'!$A$114,$BV$205^A76,IF(A76='Données projet'!$A$114,'Données projet'!$B$114,BY75+BX76-CG75)))</f>
        <v>239.59999999999991</v>
      </c>
      <c r="BZ76" s="14">
        <f>BY76*VLOOKUP('Données projet'!$B$12,Paramètres!$A$1:$I$89,3,0)*VLOOKUP('Données projet'!$B$12,Paramètres!$A$1:$I$89,5,0)</f>
        <v>231.74111999999991</v>
      </c>
      <c r="CA76" s="14">
        <f t="shared" si="93"/>
        <v>56.658986982752438</v>
      </c>
      <c r="CB76" s="22">
        <f t="shared" si="64"/>
        <v>502.29685299496032</v>
      </c>
      <c r="CC76" s="62">
        <f t="shared" si="65"/>
        <v>795.63018632829358</v>
      </c>
      <c r="CD76" s="62">
        <f ca="1">AVERAGE(OFFSET($CC$3,0,0,'Données projet'!$E$12+1,1))-AVERAGE(OFFSET($H$3,0,0,'Données projet'!$E$12+1,1))</f>
        <v>329.13617179625538</v>
      </c>
      <c r="CE76" s="62">
        <f t="shared" si="94"/>
        <v>186.45728006007261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175.05987582828078</v>
      </c>
      <c r="T77" s="62">
        <f t="shared" si="88"/>
        <v>268.54782308462387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2.6810549668359664</v>
      </c>
      <c r="AB77" s="23">
        <f>EXP(-LN(2)/2)*AB76+(1-EXP(-LN(2)/2))/(LN(2)/2)*V77*Y77*VLOOKUP('Données projet'!$B$9,Paramètres!$A$1:$I$89,3,0)*0.475*44/12</f>
        <v>3.0157476426811615E-6</v>
      </c>
      <c r="AC77" s="24">
        <f t="shared" si="57"/>
        <v>2.6810579825836092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</v>
      </c>
      <c r="AJ77" s="14">
        <f>AI77*VLOOKUP('Données projet'!$B$10,Paramètres!$A$1:$I$89,3,0)*VLOOKUP('Données projet'!$B$10,Paramètres!$A$1:$I$89,5,0)</f>
        <v>222.3998399999999</v>
      </c>
      <c r="AK77" s="14">
        <f t="shared" si="89"/>
        <v>54.636149281681448</v>
      </c>
      <c r="AL77" s="22">
        <f t="shared" si="58"/>
        <v>482.50434799892832</v>
      </c>
      <c r="AM77" s="62">
        <f t="shared" si="59"/>
        <v>775.83768133226158</v>
      </c>
      <c r="AN77" s="62">
        <f ca="1">AVERAGE(OFFSET($AM$3,0,0,'Données projet'!$E$10+1,1))-AVERAGE(OFFSET($H$3,0,0,'Données projet'!$E$10+1,1))</f>
        <v>302.55602998433079</v>
      </c>
      <c r="AO77" s="62">
        <f t="shared" si="90"/>
        <v>172.32171001882188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5.6843418860808015E-14</v>
      </c>
      <c r="BE77" s="14">
        <f>BD77*VLOOKUP('Données projet'!$B$11,Paramètres!$A$1:$I$89,3,0)*VLOOKUP('Données projet'!$B$11,Paramètres!$A$1:$I$89,5,0)</f>
        <v>4.4337866711430253E-14</v>
      </c>
      <c r="BF77" s="14">
        <f t="shared" si="91"/>
        <v>7.3222115536967035E-13</v>
      </c>
      <c r="BG77" s="22">
        <f t="shared" si="61"/>
        <v>1.3525069634579169E-12</v>
      </c>
      <c r="BH77" s="62">
        <f t="shared" si="62"/>
        <v>293.33333333333468</v>
      </c>
      <c r="BI77" s="62">
        <f ca="1">AVERAGE(OFFSET($BH$3,0,0,'Données projet'!$E$11+1,1))-AVERAGE(OFFSET($H$3,0,0,'Données projet'!$E$11+1,1))</f>
        <v>216.95993967070063</v>
      </c>
      <c r="BJ77" s="62">
        <f t="shared" si="92"/>
        <v>208.79744153433245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6.2</v>
      </c>
      <c r="BY77" s="13">
        <f>IF('Données projet'!$A$114&gt;35,BY76+BX77-CG76,IF(A77&lt;'Données projet'!$A$114,$BV$205^A77,IF(A77='Données projet'!$A$114,'Données projet'!$B$114,BY76+BX77-CG76)))</f>
        <v>245.7999999999999</v>
      </c>
      <c r="BZ77" s="14">
        <f>BY77*VLOOKUP('Données projet'!$B$12,Paramètres!$A$1:$I$89,3,0)*VLOOKUP('Données projet'!$B$12,Paramètres!$A$1:$I$89,5,0)</f>
        <v>237.73775999999989</v>
      </c>
      <c r="CA77" s="14">
        <f t="shared" si="93"/>
        <v>57.952530566790166</v>
      </c>
      <c r="CB77" s="22">
        <f t="shared" si="64"/>
        <v>514.99392273715932</v>
      </c>
      <c r="CC77" s="62">
        <f t="shared" si="65"/>
        <v>808.32725607049269</v>
      </c>
      <c r="CD77" s="62">
        <f ca="1">AVERAGE(OFFSET($CC$3,0,0,'Données projet'!$E$12+1,1))-AVERAGE(OFFSET($H$3,0,0,'Données projet'!$E$12+1,1))</f>
        <v>329.13617179625538</v>
      </c>
      <c r="CE77" s="62">
        <f t="shared" si="94"/>
        <v>186.45728006007261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175.05987582828078</v>
      </c>
      <c r="T78" s="62">
        <f t="shared" si="88"/>
        <v>268.54782308462387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2.607741377777284</v>
      </c>
      <c r="AB78" s="23">
        <f>EXP(-LN(2)/2)*AB77+(1-EXP(-LN(2)/2))/(LN(2)/2)*V78*Y78*VLOOKUP('Données projet'!$B$9,Paramètres!$A$1:$I$89,3,0)*0.475*44/12</f>
        <v>2.1324556084871945E-6</v>
      </c>
      <c r="AC78" s="24">
        <f t="shared" si="57"/>
        <v>2.6077435102328925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251.99999999999989</v>
      </c>
      <c r="AJ78" s="14">
        <f>AI78*VLOOKUP('Données projet'!$B$10,Paramètres!$A$1:$I$89,3,0)*VLOOKUP('Données projet'!$B$10,Paramètres!$A$1:$I$89,5,0)</f>
        <v>228.00959999999986</v>
      </c>
      <c r="AK78" s="14">
        <f t="shared" si="89"/>
        <v>55.852093054619779</v>
      </c>
      <c r="AL78" s="22">
        <f t="shared" si="58"/>
        <v>494.39244873679587</v>
      </c>
      <c r="AM78" s="62">
        <f t="shared" si="59"/>
        <v>787.72578207012918</v>
      </c>
      <c r="AN78" s="62">
        <f ca="1">AVERAGE(OFFSET($AM$3,0,0,'Données projet'!$E$10+1,1))-AVERAGE(OFFSET($H$3,0,0,'Données projet'!$E$10+1,1))</f>
        <v>302.55602998433079</v>
      </c>
      <c r="AO78" s="62">
        <f t="shared" si="90"/>
        <v>172.32171001882188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5.6843418860808015E-14</v>
      </c>
      <c r="BE78" s="14">
        <f>BD78*VLOOKUP('Données projet'!$B$11,Paramètres!$A$1:$I$89,3,0)*VLOOKUP('Données projet'!$B$11,Paramètres!$A$1:$I$89,5,0)</f>
        <v>4.4337866711430253E-14</v>
      </c>
      <c r="BF78" s="14">
        <f t="shared" si="91"/>
        <v>7.3222115536967035E-13</v>
      </c>
      <c r="BG78" s="22">
        <f t="shared" si="61"/>
        <v>1.3525069634579169E-12</v>
      </c>
      <c r="BH78" s="62">
        <f t="shared" si="62"/>
        <v>293.33333333333468</v>
      </c>
      <c r="BI78" s="62">
        <f ca="1">AVERAGE(OFFSET($BH$3,0,0,'Données projet'!$E$11+1,1))-AVERAGE(OFFSET($H$3,0,0,'Données projet'!$E$11+1,1))</f>
        <v>216.95993967070063</v>
      </c>
      <c r="BJ78" s="62">
        <f t="shared" si="92"/>
        <v>208.79744153433245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252</v>
      </c>
      <c r="BW78" s="13">
        <f>VLOOKUP(A78,'Données projet'!$A$113:$I$133,9,0)</f>
        <v>6.2</v>
      </c>
      <c r="BX78" s="13">
        <f t="array" ref="BX78">INDEX(BW:BW,MIN(IF(ISNUMBER(BW78:BW274),ROW(BW78:BW274),"")))</f>
        <v>6.2</v>
      </c>
      <c r="BY78" s="13">
        <f>IF('Données projet'!$A$114&gt;35,BY77+BX78-CG77,IF(A78&lt;'Données projet'!$A$114,$BV$205^A78,IF(A78='Données projet'!$A$114,'Données projet'!$B$114,BY77+BX78-CG77)))</f>
        <v>251.99999999999989</v>
      </c>
      <c r="BZ78" s="14">
        <f>BY78*VLOOKUP('Données projet'!$B$12,Paramètres!$A$1:$I$89,3,0)*VLOOKUP('Données projet'!$B$12,Paramètres!$A$1:$I$89,5,0)</f>
        <v>243.73439999999988</v>
      </c>
      <c r="CA78" s="14">
        <f t="shared" si="93"/>
        <v>59.242281392848767</v>
      </c>
      <c r="CB78" s="22">
        <f t="shared" si="64"/>
        <v>527.68438675921141</v>
      </c>
      <c r="CC78" s="62">
        <f t="shared" si="65"/>
        <v>821.01772009254478</v>
      </c>
      <c r="CD78" s="62">
        <f ca="1">AVERAGE(OFFSET($CC$3,0,0,'Données projet'!$E$12+1,1))-AVERAGE(OFFSET($H$3,0,0,'Données projet'!$E$12+1,1))</f>
        <v>329.13617179625538</v>
      </c>
      <c r="CE78" s="62">
        <f t="shared" si="94"/>
        <v>186.45728006007261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175.05987582828078</v>
      </c>
      <c r="T79" s="62">
        <f t="shared" si="88"/>
        <v>268.54782308462387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2.5364325526668052</v>
      </c>
      <c r="AB79" s="23">
        <f>EXP(-LN(2)/2)*AB78+(1-EXP(-LN(2)/2))/(LN(2)/2)*V79*Y79*VLOOKUP('Données projet'!$B$9,Paramètres!$A$1:$I$89,3,0)*0.475*44/12</f>
        <v>1.5078738213405807E-6</v>
      </c>
      <c r="AC79" s="24">
        <f t="shared" si="57"/>
        <v>2.5364340605406266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257.99999999999989</v>
      </c>
      <c r="AJ79" s="14">
        <f>AI79*VLOOKUP('Données projet'!$B$10,Paramètres!$A$1:$I$89,3,0)*VLOOKUP('Données projet'!$B$10,Paramètres!$A$1:$I$89,5,0)</f>
        <v>233.43839999999989</v>
      </c>
      <c r="AK79" s="14">
        <f t="shared" si="89"/>
        <v>57.025500710931624</v>
      </c>
      <c r="AL79" s="22">
        <f t="shared" si="58"/>
        <v>505.89129373820577</v>
      </c>
      <c r="AM79" s="62">
        <f t="shared" si="59"/>
        <v>799.22462707153909</v>
      </c>
      <c r="AN79" s="62">
        <f ca="1">AVERAGE(OFFSET($AM$3,0,0,'Données projet'!$E$10+1,1))-AVERAGE(OFFSET($H$3,0,0,'Données projet'!$E$10+1,1))</f>
        <v>302.55602998433079</v>
      </c>
      <c r="AO79" s="62">
        <f t="shared" si="90"/>
        <v>172.32171001882188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5.6843418860808015E-14</v>
      </c>
      <c r="BE79" s="14">
        <f>BD79*VLOOKUP('Données projet'!$B$11,Paramètres!$A$1:$I$89,3,0)*VLOOKUP('Données projet'!$B$11,Paramètres!$A$1:$I$89,5,0)</f>
        <v>4.4337866711430253E-14</v>
      </c>
      <c r="BF79" s="14">
        <f t="shared" si="91"/>
        <v>7.3222115536967035E-13</v>
      </c>
      <c r="BG79" s="22">
        <f t="shared" si="61"/>
        <v>1.3525069634579169E-12</v>
      </c>
      <c r="BH79" s="62">
        <f t="shared" si="62"/>
        <v>293.33333333333468</v>
      </c>
      <c r="BI79" s="62">
        <f ca="1">AVERAGE(OFFSET($BH$3,0,0,'Données projet'!$E$11+1,1))-AVERAGE(OFFSET($H$3,0,0,'Données projet'!$E$11+1,1))</f>
        <v>216.95993967070063</v>
      </c>
      <c r="BJ79" s="62">
        <f t="shared" si="92"/>
        <v>208.79744153433245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257.99999999999989</v>
      </c>
      <c r="BZ79" s="14">
        <f>BY79*VLOOKUP('Données projet'!$B$12,Paramètres!$A$1:$I$89,3,0)*VLOOKUP('Données projet'!$B$12,Paramètres!$A$1:$I$89,5,0)</f>
        <v>249.53759999999988</v>
      </c>
      <c r="CA79" s="14">
        <f t="shared" si="93"/>
        <v>60.486914185674671</v>
      </c>
      <c r="CB79" s="22">
        <f t="shared" si="64"/>
        <v>539.95936220671649</v>
      </c>
      <c r="CC79" s="62">
        <f t="shared" si="65"/>
        <v>833.29269554004986</v>
      </c>
      <c r="CD79" s="62">
        <f ca="1">AVERAGE(OFFSET($CC$3,0,0,'Données projet'!$E$12+1,1))-AVERAGE(OFFSET($H$3,0,0,'Données projet'!$E$12+1,1))</f>
        <v>329.13617179625538</v>
      </c>
      <c r="CE79" s="62">
        <f t="shared" si="94"/>
        <v>186.45728006007261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175.05987582828078</v>
      </c>
      <c r="T80" s="62">
        <f t="shared" si="88"/>
        <v>268.54782308462387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2.4670736711289405</v>
      </c>
      <c r="AB80" s="23">
        <f>EXP(-LN(2)/2)*AB79+(1-EXP(-LN(2)/2))/(LN(2)/2)*V80*Y80*VLOOKUP('Données projet'!$B$9,Paramètres!$A$1:$I$89,3,0)*0.475*44/12</f>
        <v>1.0662278042435973E-6</v>
      </c>
      <c r="AC80" s="24">
        <f t="shared" si="57"/>
        <v>2.4670747373567448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263.99999999999989</v>
      </c>
      <c r="AJ80" s="14">
        <f>AI80*VLOOKUP('Données projet'!$B$10,Paramètres!$A$1:$I$89,3,0)*VLOOKUP('Données projet'!$B$10,Paramètres!$A$1:$I$89,5,0)</f>
        <v>238.86719999999988</v>
      </c>
      <c r="AK80" s="14">
        <f t="shared" si="89"/>
        <v>58.195735973104156</v>
      </c>
      <c r="AL80" s="22">
        <f t="shared" si="58"/>
        <v>517.38461348648957</v>
      </c>
      <c r="AM80" s="62">
        <f t="shared" si="59"/>
        <v>810.71794681982283</v>
      </c>
      <c r="AN80" s="62">
        <f ca="1">AVERAGE(OFFSET($AM$3,0,0,'Données projet'!$E$10+1,1))-AVERAGE(OFFSET($H$3,0,0,'Données projet'!$E$10+1,1))</f>
        <v>302.55602998433079</v>
      </c>
      <c r="AO80" s="62">
        <f t="shared" si="90"/>
        <v>172.32171001882188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5.6843418860808015E-14</v>
      </c>
      <c r="BE80" s="14">
        <f>BD80*VLOOKUP('Données projet'!$B$11,Paramètres!$A$1:$I$89,3,0)*VLOOKUP('Données projet'!$B$11,Paramètres!$A$1:$I$89,5,0)</f>
        <v>4.4337866711430253E-14</v>
      </c>
      <c r="BF80" s="14">
        <f t="shared" si="91"/>
        <v>7.3222115536967035E-13</v>
      </c>
      <c r="BG80" s="22">
        <f t="shared" si="61"/>
        <v>1.3525069634579169E-12</v>
      </c>
      <c r="BH80" s="62">
        <f t="shared" si="62"/>
        <v>293.33333333333468</v>
      </c>
      <c r="BI80" s="62">
        <f ca="1">AVERAGE(OFFSET($BH$3,0,0,'Données projet'!$E$11+1,1))-AVERAGE(OFFSET($H$3,0,0,'Données projet'!$E$11+1,1))</f>
        <v>216.95993967070063</v>
      </c>
      <c r="BJ80" s="62">
        <f t="shared" si="92"/>
        <v>208.79744153433245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263.99999999999989</v>
      </c>
      <c r="BZ80" s="14">
        <f>BY80*VLOOKUP('Données projet'!$B$12,Paramètres!$A$1:$I$89,3,0)*VLOOKUP('Données projet'!$B$12,Paramètres!$A$1:$I$89,5,0)</f>
        <v>255.34079999999989</v>
      </c>
      <c r="CA80" s="14">
        <f t="shared" si="93"/>
        <v>61.728182021951895</v>
      </c>
      <c r="CB80" s="22">
        <f t="shared" si="64"/>
        <v>552.22847702156594</v>
      </c>
      <c r="CC80" s="62">
        <f t="shared" si="65"/>
        <v>845.56181035489931</v>
      </c>
      <c r="CD80" s="62">
        <f ca="1">AVERAGE(OFFSET($CC$3,0,0,'Données projet'!$E$12+1,1))-AVERAGE(OFFSET($H$3,0,0,'Données projet'!$E$12+1,1))</f>
        <v>329.13617179625538</v>
      </c>
      <c r="CE80" s="62">
        <f t="shared" si="94"/>
        <v>186.45728006007261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175.05987582828078</v>
      </c>
      <c r="T81" s="62">
        <f t="shared" si="88"/>
        <v>268.54782308462387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2.3996114118541536</v>
      </c>
      <c r="AB81" s="23">
        <f>EXP(-LN(2)/2)*AB80+(1-EXP(-LN(2)/2))/(LN(2)/2)*V81*Y81*VLOOKUP('Données projet'!$B$9,Paramètres!$A$1:$I$89,3,0)*0.475*44/12</f>
        <v>7.5393691067029037E-7</v>
      </c>
      <c r="AC81" s="24">
        <f t="shared" si="57"/>
        <v>2.3996121657910643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269.99999999999989</v>
      </c>
      <c r="AJ81" s="14">
        <f>AI81*VLOOKUP('Données projet'!$B$10,Paramètres!$A$1:$I$89,3,0)*VLOOKUP('Données projet'!$B$10,Paramètres!$A$1:$I$89,5,0)</f>
        <v>244.29599999999991</v>
      </c>
      <c r="AK81" s="14">
        <f t="shared" si="89"/>
        <v>59.362879241040318</v>
      </c>
      <c r="AL81" s="22">
        <f t="shared" si="58"/>
        <v>528.87254801147833</v>
      </c>
      <c r="AM81" s="62">
        <f t="shared" si="59"/>
        <v>822.20588134481159</v>
      </c>
      <c r="AN81" s="62">
        <f ca="1">AVERAGE(OFFSET($AM$3,0,0,'Données projet'!$E$10+1,1))-AVERAGE(OFFSET($H$3,0,0,'Données projet'!$E$10+1,1))</f>
        <v>302.55602998433079</v>
      </c>
      <c r="AO81" s="62">
        <f t="shared" si="90"/>
        <v>172.32171001882188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5.6843418860808015E-14</v>
      </c>
      <c r="BE81" s="14">
        <f>BD81*VLOOKUP('Données projet'!$B$11,Paramètres!$A$1:$I$89,3,0)*VLOOKUP('Données projet'!$B$11,Paramètres!$A$1:$I$89,5,0)</f>
        <v>4.4337866711430253E-14</v>
      </c>
      <c r="BF81" s="14">
        <f t="shared" si="91"/>
        <v>7.3222115536967035E-13</v>
      </c>
      <c r="BG81" s="22">
        <f t="shared" si="61"/>
        <v>1.3525069634579169E-12</v>
      </c>
      <c r="BH81" s="62">
        <f t="shared" si="62"/>
        <v>293.33333333333468</v>
      </c>
      <c r="BI81" s="62">
        <f ca="1">AVERAGE(OFFSET($BH$3,0,0,'Données projet'!$E$11+1,1))-AVERAGE(OFFSET($H$3,0,0,'Données projet'!$E$11+1,1))</f>
        <v>216.95993967070063</v>
      </c>
      <c r="BJ81" s="62">
        <f t="shared" si="92"/>
        <v>208.79744153433245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269.99999999999989</v>
      </c>
      <c r="BZ81" s="14">
        <f>BY81*VLOOKUP('Données projet'!$B$12,Paramètres!$A$1:$I$89,3,0)*VLOOKUP('Données projet'!$B$12,Paramètres!$A$1:$I$89,5,0)</f>
        <v>261.14399999999989</v>
      </c>
      <c r="CA81" s="14">
        <f t="shared" si="93"/>
        <v>62.966170181808813</v>
      </c>
      <c r="CB81" s="22">
        <f t="shared" si="64"/>
        <v>564.49187973331675</v>
      </c>
      <c r="CC81" s="62">
        <f t="shared" si="65"/>
        <v>857.82521306665012</v>
      </c>
      <c r="CD81" s="62">
        <f ca="1">AVERAGE(OFFSET($CC$3,0,0,'Données projet'!$E$12+1,1))-AVERAGE(OFFSET($H$3,0,0,'Données projet'!$E$12+1,1))</f>
        <v>329.13617179625538</v>
      </c>
      <c r="CE81" s="62">
        <f t="shared" si="94"/>
        <v>186.45728006007261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175.05987582828078</v>
      </c>
      <c r="T82" s="62">
        <f t="shared" si="88"/>
        <v>268.54782308462387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2.3339939116069219</v>
      </c>
      <c r="AB82" s="23">
        <f>EXP(-LN(2)/2)*AB81+(1-EXP(-LN(2)/2))/(LN(2)/2)*V82*Y82*VLOOKUP('Données projet'!$B$9,Paramètres!$A$1:$I$89,3,0)*0.475*44/12</f>
        <v>5.3311390212179863E-7</v>
      </c>
      <c r="AC82" s="24">
        <f t="shared" si="57"/>
        <v>2.3339944447208238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275.99999999999989</v>
      </c>
      <c r="AJ82" s="14">
        <f>AI82*VLOOKUP('Données projet'!$B$10,Paramètres!$A$1:$I$89,3,0)*VLOOKUP('Données projet'!$B$10,Paramètres!$A$1:$I$89,5,0)</f>
        <v>249.7247999999999</v>
      </c>
      <c r="AK82" s="14">
        <f t="shared" si="89"/>
        <v>60.527007137298092</v>
      </c>
      <c r="AL82" s="22">
        <f t="shared" si="58"/>
        <v>540.35523076412733</v>
      </c>
      <c r="AM82" s="62">
        <f t="shared" si="59"/>
        <v>833.68856409746058</v>
      </c>
      <c r="AN82" s="62">
        <f ca="1">AVERAGE(OFFSET($AM$3,0,0,'Données projet'!$E$10+1,1))-AVERAGE(OFFSET($H$3,0,0,'Données projet'!$E$10+1,1))</f>
        <v>302.55602998433079</v>
      </c>
      <c r="AO82" s="62">
        <f t="shared" si="90"/>
        <v>172.32171001882188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5.6843418860808015E-14</v>
      </c>
      <c r="BE82" s="14">
        <f>BD82*VLOOKUP('Données projet'!$B$11,Paramètres!$A$1:$I$89,3,0)*VLOOKUP('Données projet'!$B$11,Paramètres!$A$1:$I$89,5,0)</f>
        <v>4.4337866711430253E-14</v>
      </c>
      <c r="BF82" s="14">
        <f t="shared" si="91"/>
        <v>7.3222115536967035E-13</v>
      </c>
      <c r="BG82" s="22">
        <f t="shared" si="61"/>
        <v>1.3525069634579169E-12</v>
      </c>
      <c r="BH82" s="62">
        <f t="shared" si="62"/>
        <v>293.33333333333468</v>
      </c>
      <c r="BI82" s="62">
        <f ca="1">AVERAGE(OFFSET($BH$3,0,0,'Données projet'!$E$11+1,1))-AVERAGE(OFFSET($H$3,0,0,'Données projet'!$E$11+1,1))</f>
        <v>216.95993967070063</v>
      </c>
      <c r="BJ82" s="62">
        <f t="shared" si="92"/>
        <v>208.79744153433245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275.99999999999989</v>
      </c>
      <c r="BZ82" s="14">
        <f>BY82*VLOOKUP('Données projet'!$B$12,Paramètres!$A$1:$I$89,3,0)*VLOOKUP('Données projet'!$B$12,Paramètres!$A$1:$I$89,5,0)</f>
        <v>266.9471999999999</v>
      </c>
      <c r="CA82" s="14">
        <f t="shared" si="93"/>
        <v>64.200959938746379</v>
      </c>
      <c r="CB82" s="22">
        <f t="shared" si="64"/>
        <v>576.74971189331643</v>
      </c>
      <c r="CC82" s="62">
        <f t="shared" si="65"/>
        <v>870.0830452266498</v>
      </c>
      <c r="CD82" s="62">
        <f ca="1">AVERAGE(OFFSET($CC$3,0,0,'Données projet'!$E$12+1,1))-AVERAGE(OFFSET($H$3,0,0,'Données projet'!$E$12+1,1))</f>
        <v>329.13617179625538</v>
      </c>
      <c r="CE82" s="62">
        <f t="shared" si="94"/>
        <v>186.45728006007261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175.05987582828078</v>
      </c>
      <c r="T83" s="62">
        <f t="shared" si="88"/>
        <v>268.54782308462387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2.2701707253546251</v>
      </c>
      <c r="AB83" s="23">
        <f>EXP(-LN(2)/2)*AB82+(1-EXP(-LN(2)/2))/(LN(2)/2)*V83*Y83*VLOOKUP('Données projet'!$B$9,Paramètres!$A$1:$I$89,3,0)*0.475*44/12</f>
        <v>3.7696845533514518E-7</v>
      </c>
      <c r="AC83" s="24">
        <f t="shared" si="57"/>
        <v>2.2701711023230802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281.99999999999989</v>
      </c>
      <c r="AJ83" s="14">
        <f>AI83*VLOOKUP('Données projet'!$B$10,Paramètres!$A$1:$I$89,3,0)*VLOOKUP('Données projet'!$B$10,Paramètres!$A$1:$I$89,5,0)</f>
        <v>255.15359999999987</v>
      </c>
      <c r="AK83" s="14">
        <f t="shared" si="89"/>
        <v>61.688192762754376</v>
      </c>
      <c r="AL83" s="22">
        <f t="shared" si="58"/>
        <v>551.83278906179692</v>
      </c>
      <c r="AM83" s="62">
        <f t="shared" si="59"/>
        <v>845.16612239513029</v>
      </c>
      <c r="AN83" s="62">
        <f ca="1">AVERAGE(OFFSET($AM$3,0,0,'Données projet'!$E$10+1,1))-AVERAGE(OFFSET($H$3,0,0,'Données projet'!$E$10+1,1))</f>
        <v>302.55602998433079</v>
      </c>
      <c r="AO83" s="62">
        <f t="shared" si="90"/>
        <v>172.32171001882188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5.6843418860808015E-14</v>
      </c>
      <c r="BE83" s="14">
        <f>BD83*VLOOKUP('Données projet'!$B$11,Paramètres!$A$1:$I$89,3,0)*VLOOKUP('Données projet'!$B$11,Paramètres!$A$1:$I$89,5,0)</f>
        <v>4.4337866711430253E-14</v>
      </c>
      <c r="BF83" s="14">
        <f t="shared" si="91"/>
        <v>7.3222115536967035E-13</v>
      </c>
      <c r="BG83" s="22">
        <f t="shared" si="61"/>
        <v>1.3525069634579169E-12</v>
      </c>
      <c r="BH83" s="62">
        <f t="shared" si="62"/>
        <v>293.33333333333468</v>
      </c>
      <c r="BI83" s="62">
        <f ca="1">AVERAGE(OFFSET($BH$3,0,0,'Données projet'!$E$11+1,1))-AVERAGE(OFFSET($H$3,0,0,'Données projet'!$E$11+1,1))</f>
        <v>216.95993967070063</v>
      </c>
      <c r="BJ83" s="62">
        <f t="shared" si="92"/>
        <v>208.79744153433245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282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281.99999999999989</v>
      </c>
      <c r="BZ83" s="14">
        <f>BY83*VLOOKUP('Données projet'!$B$12,Paramètres!$A$1:$I$89,3,0)*VLOOKUP('Données projet'!$B$12,Paramètres!$A$1:$I$89,5,0)</f>
        <v>272.7503999999999</v>
      </c>
      <c r="CA83" s="14">
        <f t="shared" si="93"/>
        <v>65.432628830820633</v>
      </c>
      <c r="CB83" s="22">
        <f t="shared" si="64"/>
        <v>589.00210854701243</v>
      </c>
      <c r="CC83" s="62">
        <f t="shared" si="65"/>
        <v>882.3354418803458</v>
      </c>
      <c r="CD83" s="62">
        <f ca="1">AVERAGE(OFFSET($CC$3,0,0,'Données projet'!$E$12+1,1))-AVERAGE(OFFSET($H$3,0,0,'Données projet'!$E$12+1,1))</f>
        <v>329.13617179625538</v>
      </c>
      <c r="CE83" s="62">
        <f t="shared" si="94"/>
        <v>186.45728006007261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42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175.05987582828078</v>
      </c>
      <c r="T84" s="62">
        <f t="shared" si="88"/>
        <v>268.54782308462387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2.2080927874867129</v>
      </c>
      <c r="AB84" s="23">
        <f>EXP(-LN(2)/2)*AB83+(1-EXP(-LN(2)/2))/(LN(2)/2)*V84*Y84*VLOOKUP('Données projet'!$B$9,Paramètres!$A$1:$I$89,3,0)*0.475*44/12</f>
        <v>2.6655695106089932E-7</v>
      </c>
      <c r="AC84" s="24">
        <f t="shared" si="57"/>
        <v>2.2080930540436641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5.8</v>
      </c>
      <c r="AI84" s="14">
        <f>IF('Données projet'!$A$62&gt;35,AI83+AH84-AQ83,IF(A84&lt;'Données projet'!$A$62,$AF$205^A84,IF(A84='Données projet'!$A$62,'Données projet'!$B$62,AI83+AH84-AQ83)))</f>
        <v>245.7999999999999</v>
      </c>
      <c r="AJ84" s="14">
        <f>AI84*VLOOKUP('Données projet'!$B$10,Paramètres!$A$1:$I$89,3,0)*VLOOKUP('Données projet'!$B$10,Paramètres!$A$1:$I$89,5,0)</f>
        <v>222.3998399999999</v>
      </c>
      <c r="AK84" s="14">
        <f t="shared" si="89"/>
        <v>54.636149281681448</v>
      </c>
      <c r="AL84" s="22">
        <f t="shared" si="58"/>
        <v>482.50434799892832</v>
      </c>
      <c r="AM84" s="62">
        <f t="shared" si="59"/>
        <v>775.83768133226158</v>
      </c>
      <c r="AN84" s="62">
        <f ca="1">AVERAGE(OFFSET($AM$3,0,0,'Données projet'!$E$10+1,1))-AVERAGE(OFFSET($H$3,0,0,'Données projet'!$E$10+1,1))</f>
        <v>302.55602998433079</v>
      </c>
      <c r="AO84" s="62">
        <f t="shared" si="90"/>
        <v>172.32171001882188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5.6843418860808015E-14</v>
      </c>
      <c r="BE84" s="14">
        <f>BD84*VLOOKUP('Données projet'!$B$11,Paramètres!$A$1:$I$89,3,0)*VLOOKUP('Données projet'!$B$11,Paramètres!$A$1:$I$89,5,0)</f>
        <v>4.4337866711430253E-14</v>
      </c>
      <c r="BF84" s="14">
        <f t="shared" si="91"/>
        <v>7.3222115536967035E-13</v>
      </c>
      <c r="BG84" s="22">
        <f t="shared" si="61"/>
        <v>1.3525069634579169E-12</v>
      </c>
      <c r="BH84" s="62">
        <f t="shared" si="62"/>
        <v>293.33333333333468</v>
      </c>
      <c r="BI84" s="62">
        <f ca="1">AVERAGE(OFFSET($BH$3,0,0,'Données projet'!$E$11+1,1))-AVERAGE(OFFSET($H$3,0,0,'Données projet'!$E$11+1,1))</f>
        <v>216.95993967070063</v>
      </c>
      <c r="BJ84" s="62">
        <f t="shared" si="92"/>
        <v>208.79744153433245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5.8</v>
      </c>
      <c r="BY84" s="13">
        <f>IF('Données projet'!$A$114&gt;35,BY83+BX84-CG83,IF(A84&lt;'Données projet'!$A$114,$BV$205^A84,IF(A84='Données projet'!$A$114,'Données projet'!$B$114,BY83+BX84-CG83)))</f>
        <v>245.7999999999999</v>
      </c>
      <c r="BZ84" s="14">
        <f>BY84*VLOOKUP('Données projet'!$B$12,Paramètres!$A$1:$I$89,3,0)*VLOOKUP('Données projet'!$B$12,Paramètres!$A$1:$I$89,5,0)</f>
        <v>237.73775999999989</v>
      </c>
      <c r="CA84" s="14">
        <f t="shared" si="93"/>
        <v>57.952530566790166</v>
      </c>
      <c r="CB84" s="22">
        <f t="shared" si="64"/>
        <v>514.99392273715932</v>
      </c>
      <c r="CC84" s="62">
        <f t="shared" si="65"/>
        <v>808.32725607049269</v>
      </c>
      <c r="CD84" s="62">
        <f ca="1">AVERAGE(OFFSET($CC$3,0,0,'Données projet'!$E$12+1,1))-AVERAGE(OFFSET($H$3,0,0,'Données projet'!$E$12+1,1))</f>
        <v>329.13617179625538</v>
      </c>
      <c r="CE84" s="62">
        <f t="shared" si="94"/>
        <v>186.45728006007261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175.05987582828078</v>
      </c>
      <c r="T85" s="62">
        <f t="shared" si="88"/>
        <v>268.54782308462387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2.1477123740943358</v>
      </c>
      <c r="AB85" s="23">
        <f>EXP(-LN(2)/2)*AB84+(1-EXP(-LN(2)/2))/(LN(2)/2)*V85*Y85*VLOOKUP('Données projet'!$B$9,Paramètres!$A$1:$I$89,3,0)*0.475*44/12</f>
        <v>1.8848422766757259E-7</v>
      </c>
      <c r="AC85" s="24">
        <f t="shared" si="57"/>
        <v>2.1477125625785636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5.8</v>
      </c>
      <c r="AI85" s="14">
        <f>IF('Données projet'!$A$62&gt;35,AI84+AH85-AQ84,IF(A85&lt;'Données projet'!$A$62,$AF$205^A85,IF(A85='Données projet'!$A$62,'Données projet'!$B$62,AI84+AH85-AQ84)))</f>
        <v>251.59999999999991</v>
      </c>
      <c r="AJ85" s="14">
        <f>AI85*VLOOKUP('Données projet'!$B$10,Paramètres!$A$1:$I$89,3,0)*VLOOKUP('Données projet'!$B$10,Paramètres!$A$1:$I$89,5,0)</f>
        <v>227.64767999999992</v>
      </c>
      <c r="AK85" s="14">
        <f t="shared" si="89"/>
        <v>55.773751036838313</v>
      </c>
      <c r="AL85" s="22">
        <f t="shared" si="58"/>
        <v>493.62565905582659</v>
      </c>
      <c r="AM85" s="62">
        <f t="shared" si="59"/>
        <v>786.9589923891599</v>
      </c>
      <c r="AN85" s="62">
        <f ca="1">AVERAGE(OFFSET($AM$3,0,0,'Données projet'!$E$10+1,1))-AVERAGE(OFFSET($H$3,0,0,'Données projet'!$E$10+1,1))</f>
        <v>302.55602998433079</v>
      </c>
      <c r="AO85" s="62">
        <f t="shared" si="90"/>
        <v>172.32171001882188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5.6843418860808015E-14</v>
      </c>
      <c r="BE85" s="14">
        <f>BD85*VLOOKUP('Données projet'!$B$11,Paramètres!$A$1:$I$89,3,0)*VLOOKUP('Données projet'!$B$11,Paramètres!$A$1:$I$89,5,0)</f>
        <v>4.4337866711430253E-14</v>
      </c>
      <c r="BF85" s="14">
        <f t="shared" si="91"/>
        <v>7.3222115536967035E-13</v>
      </c>
      <c r="BG85" s="22">
        <f t="shared" si="61"/>
        <v>1.3525069634579169E-12</v>
      </c>
      <c r="BH85" s="62">
        <f t="shared" si="62"/>
        <v>293.33333333333468</v>
      </c>
      <c r="BI85" s="62">
        <f ca="1">AVERAGE(OFFSET($BH$3,0,0,'Données projet'!$E$11+1,1))-AVERAGE(OFFSET($H$3,0,0,'Données projet'!$E$11+1,1))</f>
        <v>216.95993967070063</v>
      </c>
      <c r="BJ85" s="62">
        <f t="shared" si="92"/>
        <v>208.79744153433245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5.8</v>
      </c>
      <c r="BY85" s="13">
        <f>IF('Données projet'!$A$114&gt;35,BY84+BX85-CG84,IF(A85&lt;'Données projet'!$A$114,$BV$205^A85,IF(A85='Données projet'!$A$114,'Données projet'!$B$114,BY84+BX85-CG84)))</f>
        <v>251.59999999999991</v>
      </c>
      <c r="BZ85" s="14">
        <f>BY85*VLOOKUP('Données projet'!$B$12,Paramètres!$A$1:$I$89,3,0)*VLOOKUP('Données projet'!$B$12,Paramètres!$A$1:$I$89,5,0)</f>
        <v>243.34751999999992</v>
      </c>
      <c r="CA85" s="14">
        <f t="shared" si="93"/>
        <v>59.159184061872203</v>
      </c>
      <c r="CB85" s="22">
        <f t="shared" si="64"/>
        <v>526.86584290776057</v>
      </c>
      <c r="CC85" s="62">
        <f t="shared" si="65"/>
        <v>820.19917624109394</v>
      </c>
      <c r="CD85" s="62">
        <f ca="1">AVERAGE(OFFSET($CC$3,0,0,'Données projet'!$E$12+1,1))-AVERAGE(OFFSET($H$3,0,0,'Données projet'!$E$12+1,1))</f>
        <v>329.13617179625538</v>
      </c>
      <c r="CE85" s="62">
        <f t="shared" si="94"/>
        <v>186.45728006007261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175.05987582828078</v>
      </c>
      <c r="T86" s="62">
        <f t="shared" si="88"/>
        <v>268.54782308462387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2.088983066281441</v>
      </c>
      <c r="AB86" s="23">
        <f>EXP(-LN(2)/2)*AB85+(1-EXP(-LN(2)/2))/(LN(2)/2)*V86*Y86*VLOOKUP('Données projet'!$B$9,Paramètres!$A$1:$I$89,3,0)*0.475*44/12</f>
        <v>1.3327847553044966E-7</v>
      </c>
      <c r="AC86" s="24">
        <f t="shared" si="57"/>
        <v>2.0889831995599164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5.8</v>
      </c>
      <c r="AI86" s="14">
        <f>IF('Données projet'!$A$62&gt;35,AI85+AH86-AQ85,IF(A86&lt;'Données projet'!$A$62,$AF$205^A86,IF(A86='Données projet'!$A$62,'Données projet'!$B$62,AI85+AH86-AQ85)))</f>
        <v>257.39999999999992</v>
      </c>
      <c r="AJ86" s="14">
        <f>AI86*VLOOKUP('Données projet'!$B$10,Paramètres!$A$1:$I$89,3,0)*VLOOKUP('Données projet'!$B$10,Paramètres!$A$1:$I$89,5,0)</f>
        <v>232.89551999999992</v>
      </c>
      <c r="AK86" s="14">
        <f t="shared" si="89"/>
        <v>56.908304063818662</v>
      </c>
      <c r="AL86" s="22">
        <f t="shared" si="58"/>
        <v>504.74166024448397</v>
      </c>
      <c r="AM86" s="62">
        <f t="shared" si="59"/>
        <v>798.07499357781728</v>
      </c>
      <c r="AN86" s="62">
        <f ca="1">AVERAGE(OFFSET($AM$3,0,0,'Données projet'!$E$10+1,1))-AVERAGE(OFFSET($H$3,0,0,'Données projet'!$E$10+1,1))</f>
        <v>302.55602998433079</v>
      </c>
      <c r="AO86" s="62">
        <f t="shared" si="90"/>
        <v>172.32171001882188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5.6843418860808015E-14</v>
      </c>
      <c r="BE86" s="14">
        <f>BD86*VLOOKUP('Données projet'!$B$11,Paramètres!$A$1:$I$89,3,0)*VLOOKUP('Données projet'!$B$11,Paramètres!$A$1:$I$89,5,0)</f>
        <v>4.4337866711430253E-14</v>
      </c>
      <c r="BF86" s="14">
        <f t="shared" si="91"/>
        <v>7.3222115536967035E-13</v>
      </c>
      <c r="BG86" s="22">
        <f t="shared" si="61"/>
        <v>1.3525069634579169E-12</v>
      </c>
      <c r="BH86" s="62">
        <f t="shared" si="62"/>
        <v>293.33333333333468</v>
      </c>
      <c r="BI86" s="62">
        <f ca="1">AVERAGE(OFFSET($BH$3,0,0,'Données projet'!$E$11+1,1))-AVERAGE(OFFSET($H$3,0,0,'Données projet'!$E$11+1,1))</f>
        <v>216.95993967070063</v>
      </c>
      <c r="BJ86" s="62">
        <f t="shared" si="92"/>
        <v>208.79744153433245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5.8</v>
      </c>
      <c r="BY86" s="13">
        <f>IF('Données projet'!$A$114&gt;35,BY85+BX86-CG85,IF(A86&lt;'Données projet'!$A$114,$BV$205^A86,IF(A86='Données projet'!$A$114,'Données projet'!$B$114,BY85+BX86-CG85)))</f>
        <v>257.39999999999992</v>
      </c>
      <c r="BZ86" s="14">
        <f>BY86*VLOOKUP('Données projet'!$B$12,Paramètres!$A$1:$I$89,3,0)*VLOOKUP('Données projet'!$B$12,Paramètres!$A$1:$I$89,5,0)</f>
        <v>248.95727999999991</v>
      </c>
      <c r="CA86" s="14">
        <f t="shared" si="93"/>
        <v>60.362603772817359</v>
      </c>
      <c r="CB86" s="22">
        <f t="shared" si="64"/>
        <v>538.7321309043233</v>
      </c>
      <c r="CC86" s="62">
        <f t="shared" si="65"/>
        <v>832.06546423765667</v>
      </c>
      <c r="CD86" s="62">
        <f ca="1">AVERAGE(OFFSET($CC$3,0,0,'Données projet'!$E$12+1,1))-AVERAGE(OFFSET($H$3,0,0,'Données projet'!$E$12+1,1))</f>
        <v>329.13617179625538</v>
      </c>
      <c r="CE86" s="62">
        <f t="shared" si="94"/>
        <v>186.45728006007261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175.05987582828078</v>
      </c>
      <c r="T87" s="62">
        <f t="shared" si="88"/>
        <v>268.54782308462387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2.0318597144791299</v>
      </c>
      <c r="AB87" s="23">
        <f>EXP(-LN(2)/2)*AB86+(1-EXP(-LN(2)/2))/(LN(2)/2)*V87*Y87*VLOOKUP('Données projet'!$B$9,Paramètres!$A$1:$I$89,3,0)*0.475*44/12</f>
        <v>9.4242113833786296E-8</v>
      </c>
      <c r="AC87" s="24">
        <f t="shared" si="57"/>
        <v>2.0318598087212436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5.8</v>
      </c>
      <c r="AI87" s="14">
        <f>IF('Données projet'!$A$62&gt;35,AI86+AH87-AQ86,IF(A87&lt;'Données projet'!$A$62,$AF$205^A87,IF(A87='Données projet'!$A$62,'Données projet'!$B$62,AI86+AH87-AQ86)))</f>
        <v>263.19999999999993</v>
      </c>
      <c r="AJ87" s="14">
        <f>AI87*VLOOKUP('Données projet'!$B$10,Paramètres!$A$1:$I$89,3,0)*VLOOKUP('Données projet'!$B$10,Paramètres!$A$1:$I$89,5,0)</f>
        <v>238.14335999999992</v>
      </c>
      <c r="AK87" s="14">
        <f t="shared" si="89"/>
        <v>58.039884968630489</v>
      </c>
      <c r="AL87" s="22">
        <f t="shared" si="58"/>
        <v>515.85248498703129</v>
      </c>
      <c r="AM87" s="62">
        <f t="shared" si="59"/>
        <v>809.18581832036466</v>
      </c>
      <c r="AN87" s="62">
        <f ca="1">AVERAGE(OFFSET($AM$3,0,0,'Données projet'!$E$10+1,1))-AVERAGE(OFFSET($H$3,0,0,'Données projet'!$E$10+1,1))</f>
        <v>302.55602998433079</v>
      </c>
      <c r="AO87" s="62">
        <f t="shared" si="90"/>
        <v>172.32171001882188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5.6843418860808015E-14</v>
      </c>
      <c r="BE87" s="14">
        <f>BD87*VLOOKUP('Données projet'!$B$11,Paramètres!$A$1:$I$89,3,0)*VLOOKUP('Données projet'!$B$11,Paramètres!$A$1:$I$89,5,0)</f>
        <v>4.4337866711430253E-14</v>
      </c>
      <c r="BF87" s="14">
        <f t="shared" si="91"/>
        <v>7.3222115536967035E-13</v>
      </c>
      <c r="BG87" s="22">
        <f t="shared" si="61"/>
        <v>1.3525069634579169E-12</v>
      </c>
      <c r="BH87" s="62">
        <f t="shared" si="62"/>
        <v>293.33333333333468</v>
      </c>
      <c r="BI87" s="62">
        <f ca="1">AVERAGE(OFFSET($BH$3,0,0,'Données projet'!$E$11+1,1))-AVERAGE(OFFSET($H$3,0,0,'Données projet'!$E$11+1,1))</f>
        <v>216.95993967070063</v>
      </c>
      <c r="BJ87" s="62">
        <f t="shared" si="92"/>
        <v>208.79744153433245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5.8</v>
      </c>
      <c r="BY87" s="13">
        <f>IF('Données projet'!$A$114&gt;35,BY86+BX87-CG86,IF(A87&lt;'Données projet'!$A$114,$BV$205^A87,IF(A87='Données projet'!$A$114,'Données projet'!$B$114,BY86+BX87-CG86)))</f>
        <v>263.19999999999993</v>
      </c>
      <c r="BZ87" s="14">
        <f>BY87*VLOOKUP('Données projet'!$B$12,Paramètres!$A$1:$I$89,3,0)*VLOOKUP('Données projet'!$B$12,Paramètres!$A$1:$I$89,5,0)</f>
        <v>254.56703999999996</v>
      </c>
      <c r="CA87" s="14">
        <f t="shared" si="93"/>
        <v>61.562870955572436</v>
      </c>
      <c r="CB87" s="22">
        <f t="shared" si="64"/>
        <v>550.5929282476219</v>
      </c>
      <c r="CC87" s="62">
        <f t="shared" si="65"/>
        <v>843.92626158095527</v>
      </c>
      <c r="CD87" s="62">
        <f ca="1">AVERAGE(OFFSET($CC$3,0,0,'Données projet'!$E$12+1,1))-AVERAGE(OFFSET($H$3,0,0,'Données projet'!$E$12+1,1))</f>
        <v>329.13617179625538</v>
      </c>
      <c r="CE87" s="62">
        <f t="shared" si="94"/>
        <v>186.45728006007261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175.05987582828078</v>
      </c>
      <c r="T88" s="62">
        <f t="shared" si="88"/>
        <v>268.54782308462387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1.9762984037358395</v>
      </c>
      <c r="AB88" s="23">
        <f>EXP(-LN(2)/2)*AB87+(1-EXP(-LN(2)/2))/(LN(2)/2)*V88*Y88*VLOOKUP('Données projet'!$B$9,Paramètres!$A$1:$I$89,3,0)*0.475*44/12</f>
        <v>6.6639237765224829E-8</v>
      </c>
      <c r="AC88" s="24">
        <f t="shared" si="57"/>
        <v>1.9762984703750772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5.8</v>
      </c>
      <c r="AH88" s="13">
        <f t="array" ref="AH88">INDEX(AG:AG,MIN(IF(ISNUMBER(AG88:AG284),ROW(AG88:AG284),"")))</f>
        <v>5.8</v>
      </c>
      <c r="AI88" s="14">
        <f>IF('Données projet'!$A$62&gt;35,AI87+AH88-AQ87,IF(A88&lt;'Données projet'!$A$62,$AF$205^A88,IF(A88='Données projet'!$A$62,'Données projet'!$B$62,AI87+AH88-AQ87)))</f>
        <v>268.99999999999994</v>
      </c>
      <c r="AJ88" s="14">
        <f>AI88*VLOOKUP('Données projet'!$B$10,Paramètres!$A$1:$I$89,3,0)*VLOOKUP('Données projet'!$B$10,Paramètres!$A$1:$I$89,5,0)</f>
        <v>243.39119999999994</v>
      </c>
      <c r="AK88" s="14">
        <f t="shared" si="89"/>
        <v>59.168566788241527</v>
      </c>
      <c r="AL88" s="22">
        <f t="shared" si="58"/>
        <v>526.95826048952051</v>
      </c>
      <c r="AM88" s="62">
        <f t="shared" si="59"/>
        <v>820.29159382285388</v>
      </c>
      <c r="AN88" s="62">
        <f ca="1">AVERAGE(OFFSET($AM$3,0,0,'Données projet'!$E$10+1,1))-AVERAGE(OFFSET($H$3,0,0,'Données projet'!$E$10+1,1))</f>
        <v>302.55602998433079</v>
      </c>
      <c r="AO88" s="62">
        <f t="shared" si="90"/>
        <v>172.32171001882188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5.6843418860808015E-14</v>
      </c>
      <c r="BE88" s="14">
        <f>BD88*VLOOKUP('Données projet'!$B$11,Paramètres!$A$1:$I$89,3,0)*VLOOKUP('Données projet'!$B$11,Paramètres!$A$1:$I$89,5,0)</f>
        <v>4.4337866711430253E-14</v>
      </c>
      <c r="BF88" s="14">
        <f t="shared" si="91"/>
        <v>7.3222115536967035E-13</v>
      </c>
      <c r="BG88" s="22">
        <f t="shared" si="61"/>
        <v>1.3525069634579169E-12</v>
      </c>
      <c r="BH88" s="62">
        <f t="shared" si="62"/>
        <v>293.33333333333468</v>
      </c>
      <c r="BI88" s="62">
        <f ca="1">AVERAGE(OFFSET($BH$3,0,0,'Données projet'!$E$11+1,1))-AVERAGE(OFFSET($H$3,0,0,'Données projet'!$E$11+1,1))</f>
        <v>216.95993967070063</v>
      </c>
      <c r="BJ88" s="62">
        <f t="shared" si="92"/>
        <v>208.79744153433245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269</v>
      </c>
      <c r="BW88" s="13">
        <f>VLOOKUP(A88,'Données projet'!$A$113:$I$133,9,0)</f>
        <v>5.8</v>
      </c>
      <c r="BX88" s="13">
        <f t="array" ref="BX88">INDEX(BW:BW,MIN(IF(ISNUMBER(BW88:BW284),ROW(BW88:BW284),"")))</f>
        <v>5.8</v>
      </c>
      <c r="BY88" s="13">
        <f>IF('Données projet'!$A$114&gt;35,BY87+BX88-CG87,IF(A88&lt;'Données projet'!$A$114,$BV$205^A88,IF(A88='Données projet'!$A$114,'Données projet'!$B$114,BY87+BX88-CG87)))</f>
        <v>268.99999999999994</v>
      </c>
      <c r="BZ88" s="14">
        <f>BY88*VLOOKUP('Données projet'!$B$12,Paramètres!$A$1:$I$89,3,0)*VLOOKUP('Données projet'!$B$12,Paramètres!$A$1:$I$89,5,0)</f>
        <v>260.17679999999996</v>
      </c>
      <c r="CA88" s="14">
        <f t="shared" si="93"/>
        <v>62.760063080404699</v>
      </c>
      <c r="CB88" s="22">
        <f t="shared" si="64"/>
        <v>562.44836986503799</v>
      </c>
      <c r="CC88" s="62">
        <f t="shared" si="65"/>
        <v>855.78170319837136</v>
      </c>
      <c r="CD88" s="62">
        <f ca="1">AVERAGE(OFFSET($CC$3,0,0,'Données projet'!$E$12+1,1))-AVERAGE(OFFSET($H$3,0,0,'Données projet'!$E$12+1,1))</f>
        <v>329.13617179625538</v>
      </c>
      <c r="CE88" s="62">
        <f t="shared" si="94"/>
        <v>186.45728006007261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175.05987582828078</v>
      </c>
      <c r="T89" s="62">
        <f t="shared" si="88"/>
        <v>268.54782308462387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1.9222564199566667</v>
      </c>
      <c r="AB89" s="23">
        <f>EXP(-LN(2)/2)*AB88+(1-EXP(-LN(2)/2))/(LN(2)/2)*V89*Y89*VLOOKUP('Données projet'!$B$9,Paramètres!$A$1:$I$89,3,0)*0.475*44/12</f>
        <v>4.7121056916893148E-8</v>
      </c>
      <c r="AC89" s="24">
        <f t="shared" si="57"/>
        <v>1.9222564670777236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274.39999999999992</v>
      </c>
      <c r="AJ89" s="14">
        <f>AI89*VLOOKUP('Données projet'!$B$10,Paramètres!$A$1:$I$89,3,0)*VLOOKUP('Données projet'!$B$10,Paramètres!$A$1:$I$89,5,0)</f>
        <v>248.27711999999991</v>
      </c>
      <c r="AK89" s="14">
        <f t="shared" si="89"/>
        <v>60.216863677580314</v>
      </c>
      <c r="AL89" s="22">
        <f t="shared" si="58"/>
        <v>537.29368823845221</v>
      </c>
      <c r="AM89" s="62">
        <f t="shared" si="59"/>
        <v>830.62702157178546</v>
      </c>
      <c r="AN89" s="62">
        <f ca="1">AVERAGE(OFFSET($AM$3,0,0,'Données projet'!$E$10+1,1))-AVERAGE(OFFSET($H$3,0,0,'Données projet'!$E$10+1,1))</f>
        <v>302.55602998433079</v>
      </c>
      <c r="AO89" s="62">
        <f t="shared" si="90"/>
        <v>172.32171001882188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5.6843418860808015E-14</v>
      </c>
      <c r="BE89" s="14">
        <f>BD89*VLOOKUP('Données projet'!$B$11,Paramètres!$A$1:$I$89,3,0)*VLOOKUP('Données projet'!$B$11,Paramètres!$A$1:$I$89,5,0)</f>
        <v>4.4337866711430253E-14</v>
      </c>
      <c r="BF89" s="14">
        <f t="shared" si="91"/>
        <v>7.3222115536967035E-13</v>
      </c>
      <c r="BG89" s="22">
        <f t="shared" si="61"/>
        <v>1.3525069634579169E-12</v>
      </c>
      <c r="BH89" s="62">
        <f t="shared" si="62"/>
        <v>293.33333333333468</v>
      </c>
      <c r="BI89" s="62">
        <f ca="1">AVERAGE(OFFSET($BH$3,0,0,'Données projet'!$E$11+1,1))-AVERAGE(OFFSET($H$3,0,0,'Données projet'!$E$11+1,1))</f>
        <v>216.95993967070063</v>
      </c>
      <c r="BJ89" s="62">
        <f t="shared" si="92"/>
        <v>208.79744153433245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5.4</v>
      </c>
      <c r="BY89" s="13">
        <f>IF('Données projet'!$A$114&gt;35,BY88+BX89-CG88,IF(A89&lt;'Données projet'!$A$114,$BV$205^A89,IF(A89='Données projet'!$A$114,'Données projet'!$B$114,BY88+BX89-CG88)))</f>
        <v>274.39999999999992</v>
      </c>
      <c r="BZ89" s="14">
        <f>BY89*VLOOKUP('Données projet'!$B$12,Paramètres!$A$1:$I$89,3,0)*VLOOKUP('Données projet'!$B$12,Paramètres!$A$1:$I$89,5,0)</f>
        <v>265.39967999999993</v>
      </c>
      <c r="CA89" s="14">
        <f t="shared" si="93"/>
        <v>63.871990958214454</v>
      </c>
      <c r="CB89" s="22">
        <f t="shared" si="64"/>
        <v>573.48149358555668</v>
      </c>
      <c r="CC89" s="62">
        <f t="shared" si="65"/>
        <v>866.81482691889005</v>
      </c>
      <c r="CD89" s="62">
        <f ca="1">AVERAGE(OFFSET($CC$3,0,0,'Données projet'!$E$12+1,1))-AVERAGE(OFFSET($H$3,0,0,'Données projet'!$E$12+1,1))</f>
        <v>329.13617179625538</v>
      </c>
      <c r="CE89" s="62">
        <f t="shared" si="94"/>
        <v>186.45728006007261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175.05987582828078</v>
      </c>
      <c r="T90" s="62">
        <f t="shared" si="88"/>
        <v>268.54782308462387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1.8696922170658798</v>
      </c>
      <c r="AB90" s="23">
        <f>EXP(-LN(2)/2)*AB89+(1-EXP(-LN(2)/2))/(LN(2)/2)*V90*Y90*VLOOKUP('Données projet'!$B$9,Paramètres!$A$1:$I$89,3,0)*0.475*44/12</f>
        <v>3.3319618882612415E-8</v>
      </c>
      <c r="AC90" s="24">
        <f t="shared" si="57"/>
        <v>1.8696922503854987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279.7999999999999</v>
      </c>
      <c r="AJ90" s="14">
        <f>AI90*VLOOKUP('Données projet'!$B$10,Paramètres!$A$1:$I$89,3,0)*VLOOKUP('Données projet'!$B$10,Paramètres!$A$1:$I$89,5,0)</f>
        <v>253.16303999999991</v>
      </c>
      <c r="AK90" s="14">
        <f t="shared" si="89"/>
        <v>61.262761848635037</v>
      </c>
      <c r="AL90" s="22">
        <f t="shared" si="58"/>
        <v>547.62493821970577</v>
      </c>
      <c r="AM90" s="62">
        <f t="shared" si="59"/>
        <v>840.95827155303914</v>
      </c>
      <c r="AN90" s="62">
        <f ca="1">AVERAGE(OFFSET($AM$3,0,0,'Données projet'!$E$10+1,1))-AVERAGE(OFFSET($H$3,0,0,'Données projet'!$E$10+1,1))</f>
        <v>302.55602998433079</v>
      </c>
      <c r="AO90" s="62">
        <f t="shared" si="90"/>
        <v>172.32171001882188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5.6843418860808015E-14</v>
      </c>
      <c r="BE90" s="14">
        <f>BD90*VLOOKUP('Données projet'!$B$11,Paramètres!$A$1:$I$89,3,0)*VLOOKUP('Données projet'!$B$11,Paramètres!$A$1:$I$89,5,0)</f>
        <v>4.4337866711430253E-14</v>
      </c>
      <c r="BF90" s="14">
        <f t="shared" si="91"/>
        <v>7.3222115536967035E-13</v>
      </c>
      <c r="BG90" s="22">
        <f t="shared" si="61"/>
        <v>1.3525069634579169E-12</v>
      </c>
      <c r="BH90" s="62">
        <f t="shared" si="62"/>
        <v>293.33333333333468</v>
      </c>
      <c r="BI90" s="62">
        <f ca="1">AVERAGE(OFFSET($BH$3,0,0,'Données projet'!$E$11+1,1))-AVERAGE(OFFSET($H$3,0,0,'Données projet'!$E$11+1,1))</f>
        <v>216.95993967070063</v>
      </c>
      <c r="BJ90" s="62">
        <f t="shared" si="92"/>
        <v>208.79744153433245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5.4</v>
      </c>
      <c r="BY90" s="13">
        <f>IF('Données projet'!$A$114&gt;35,BY89+BX90-CG89,IF(A90&lt;'Données projet'!$A$114,$BV$205^A90,IF(A90='Données projet'!$A$114,'Données projet'!$B$114,BY89+BX90-CG89)))</f>
        <v>279.7999999999999</v>
      </c>
      <c r="BZ90" s="14">
        <f>BY90*VLOOKUP('Données projet'!$B$12,Paramètres!$A$1:$I$89,3,0)*VLOOKUP('Données projet'!$B$12,Paramètres!$A$1:$I$89,5,0)</f>
        <v>270.62255999999991</v>
      </c>
      <c r="CA90" s="14">
        <f t="shared" si="93"/>
        <v>64.981374516988026</v>
      </c>
      <c r="CB90" s="22">
        <f t="shared" si="64"/>
        <v>584.51018595042058</v>
      </c>
      <c r="CC90" s="62">
        <f t="shared" si="65"/>
        <v>877.84351928375395</v>
      </c>
      <c r="CD90" s="62">
        <f ca="1">AVERAGE(OFFSET($CC$3,0,0,'Données projet'!$E$12+1,1))-AVERAGE(OFFSET($H$3,0,0,'Données projet'!$E$12+1,1))</f>
        <v>329.13617179625538</v>
      </c>
      <c r="CE90" s="62">
        <f t="shared" si="94"/>
        <v>186.45728006007261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175.05987582828078</v>
      </c>
      <c r="T91" s="62">
        <f t="shared" si="88"/>
        <v>268.54782308462387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1.8185653850673729</v>
      </c>
      <c r="AB91" s="23">
        <f>EXP(-LN(2)/2)*AB90+(1-EXP(-LN(2)/2))/(LN(2)/2)*V91*Y91*VLOOKUP('Données projet'!$B$9,Paramètres!$A$1:$I$89,3,0)*0.475*44/12</f>
        <v>2.3560528458446574E-8</v>
      </c>
      <c r="AC91" s="24">
        <f t="shared" si="57"/>
        <v>1.8185654086279013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285.19999999999987</v>
      </c>
      <c r="AJ91" s="14">
        <f>AI91*VLOOKUP('Données projet'!$B$10,Paramètres!$A$1:$I$89,3,0)*VLOOKUP('Données projet'!$B$10,Paramètres!$A$1:$I$89,5,0)</f>
        <v>258.04895999999985</v>
      </c>
      <c r="AK91" s="14">
        <f t="shared" si="89"/>
        <v>62.306312932555763</v>
      </c>
      <c r="AL91" s="22">
        <f t="shared" si="58"/>
        <v>557.95210035753439</v>
      </c>
      <c r="AM91" s="62">
        <f t="shared" si="59"/>
        <v>851.28543369086765</v>
      </c>
      <c r="AN91" s="62">
        <f ca="1">AVERAGE(OFFSET($AM$3,0,0,'Données projet'!$E$10+1,1))-AVERAGE(OFFSET($H$3,0,0,'Données projet'!$E$10+1,1))</f>
        <v>302.55602998433079</v>
      </c>
      <c r="AO91" s="62">
        <f t="shared" si="90"/>
        <v>172.32171001882188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5.6843418860808015E-14</v>
      </c>
      <c r="BE91" s="14">
        <f>BD91*VLOOKUP('Données projet'!$B$11,Paramètres!$A$1:$I$89,3,0)*VLOOKUP('Données projet'!$B$11,Paramètres!$A$1:$I$89,5,0)</f>
        <v>4.4337866711430253E-14</v>
      </c>
      <c r="BF91" s="14">
        <f t="shared" si="91"/>
        <v>7.3222115536967035E-13</v>
      </c>
      <c r="BG91" s="22">
        <f t="shared" si="61"/>
        <v>1.3525069634579169E-12</v>
      </c>
      <c r="BH91" s="62">
        <f t="shared" si="62"/>
        <v>293.33333333333468</v>
      </c>
      <c r="BI91" s="62">
        <f ca="1">AVERAGE(OFFSET($BH$3,0,0,'Données projet'!$E$11+1,1))-AVERAGE(OFFSET($H$3,0,0,'Données projet'!$E$11+1,1))</f>
        <v>216.95993967070063</v>
      </c>
      <c r="BJ91" s="62">
        <f t="shared" si="92"/>
        <v>208.79744153433245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5.4</v>
      </c>
      <c r="BY91" s="13">
        <f>IF('Données projet'!$A$114&gt;35,BY90+BX91-CG90,IF(A91&lt;'Données projet'!$A$114,$BV$205^A91,IF(A91='Données projet'!$A$114,'Données projet'!$B$114,BY90+BX91-CG90)))</f>
        <v>285.19999999999987</v>
      </c>
      <c r="BZ91" s="14">
        <f>BY91*VLOOKUP('Données projet'!$B$12,Paramètres!$A$1:$I$89,3,0)*VLOOKUP('Données projet'!$B$12,Paramètres!$A$1:$I$89,5,0)</f>
        <v>275.84543999999988</v>
      </c>
      <c r="CA91" s="14">
        <f t="shared" si="93"/>
        <v>66.088268521855227</v>
      </c>
      <c r="CB91" s="22">
        <f t="shared" si="64"/>
        <v>595.53454234223091</v>
      </c>
      <c r="CC91" s="62">
        <f t="shared" si="65"/>
        <v>888.86787567556416</v>
      </c>
      <c r="CD91" s="62">
        <f ca="1">AVERAGE(OFFSET($CC$3,0,0,'Données projet'!$E$12+1,1))-AVERAGE(OFFSET($H$3,0,0,'Données projet'!$E$12+1,1))</f>
        <v>329.13617179625538</v>
      </c>
      <c r="CE91" s="62">
        <f t="shared" si="94"/>
        <v>186.45728006007261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175.05987582828078</v>
      </c>
      <c r="T92" s="62">
        <f t="shared" si="88"/>
        <v>268.54782308462387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1.7688366189785083</v>
      </c>
      <c r="AB92" s="23">
        <f>EXP(-LN(2)/2)*AB91+(1-EXP(-LN(2)/2))/(LN(2)/2)*V92*Y92*VLOOKUP('Données projet'!$B$9,Paramètres!$A$1:$I$89,3,0)*0.475*44/12</f>
        <v>1.6659809441306207E-8</v>
      </c>
      <c r="AC92" s="24">
        <f t="shared" si="57"/>
        <v>1.7688366356383178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290.59999999999985</v>
      </c>
      <c r="AJ92" s="14">
        <f>AI92*VLOOKUP('Données projet'!$B$10,Paramètres!$A$1:$I$89,3,0)*VLOOKUP('Données projet'!$B$10,Paramètres!$A$1:$I$89,5,0)</f>
        <v>262.93487999999985</v>
      </c>
      <c r="AK92" s="14">
        <f t="shared" si="89"/>
        <v>63.347566493432709</v>
      </c>
      <c r="AL92" s="22">
        <f t="shared" si="58"/>
        <v>568.27526097606165</v>
      </c>
      <c r="AM92" s="62">
        <f t="shared" si="59"/>
        <v>861.6085943093949</v>
      </c>
      <c r="AN92" s="62">
        <f ca="1">AVERAGE(OFFSET($AM$3,0,0,'Données projet'!$E$10+1,1))-AVERAGE(OFFSET($H$3,0,0,'Données projet'!$E$10+1,1))</f>
        <v>302.55602998433079</v>
      </c>
      <c r="AO92" s="62">
        <f t="shared" si="90"/>
        <v>172.32171001882188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5.6843418860808015E-14</v>
      </c>
      <c r="BE92" s="14">
        <f>BD92*VLOOKUP('Données projet'!$B$11,Paramètres!$A$1:$I$89,3,0)*VLOOKUP('Données projet'!$B$11,Paramètres!$A$1:$I$89,5,0)</f>
        <v>4.4337866711430253E-14</v>
      </c>
      <c r="BF92" s="14">
        <f t="shared" si="91"/>
        <v>7.3222115536967035E-13</v>
      </c>
      <c r="BG92" s="22">
        <f t="shared" si="61"/>
        <v>1.3525069634579169E-12</v>
      </c>
      <c r="BH92" s="62">
        <f t="shared" si="62"/>
        <v>293.33333333333468</v>
      </c>
      <c r="BI92" s="62">
        <f ca="1">AVERAGE(OFFSET($BH$3,0,0,'Données projet'!$E$11+1,1))-AVERAGE(OFFSET($H$3,0,0,'Données projet'!$E$11+1,1))</f>
        <v>216.95993967070063</v>
      </c>
      <c r="BJ92" s="62">
        <f t="shared" si="92"/>
        <v>208.79744153433245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5.4</v>
      </c>
      <c r="BY92" s="13">
        <f>IF('Données projet'!$A$114&gt;35,BY91+BX92-CG91,IF(A92&lt;'Données projet'!$A$114,$BV$205^A92,IF(A92='Données projet'!$A$114,'Données projet'!$B$114,BY91+BX92-CG91)))</f>
        <v>290.59999999999985</v>
      </c>
      <c r="BZ92" s="14">
        <f>BY92*VLOOKUP('Données projet'!$B$12,Paramètres!$A$1:$I$89,3,0)*VLOOKUP('Données projet'!$B$12,Paramètres!$A$1:$I$89,5,0)</f>
        <v>281.06831999999986</v>
      </c>
      <c r="CA92" s="14">
        <f t="shared" si="93"/>
        <v>67.19272554541665</v>
      </c>
      <c r="CB92" s="22">
        <f t="shared" si="64"/>
        <v>606.55465432493372</v>
      </c>
      <c r="CC92" s="62">
        <f t="shared" si="65"/>
        <v>899.88798765826709</v>
      </c>
      <c r="CD92" s="62">
        <f ca="1">AVERAGE(OFFSET($CC$3,0,0,'Données projet'!$E$12+1,1))-AVERAGE(OFFSET($H$3,0,0,'Données projet'!$E$12+1,1))</f>
        <v>329.13617179625538</v>
      </c>
      <c r="CE92" s="62">
        <f t="shared" si="94"/>
        <v>186.45728006007261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175.05987582828078</v>
      </c>
      <c r="T93" s="62">
        <f t="shared" si="88"/>
        <v>268.54782308462387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1.720467688613466</v>
      </c>
      <c r="AB93" s="23">
        <f>EXP(-LN(2)/2)*AB92+(1-EXP(-LN(2)/2))/(LN(2)/2)*V93*Y93*VLOOKUP('Données projet'!$B$9,Paramètres!$A$1:$I$89,3,0)*0.475*44/12</f>
        <v>1.1780264229223287E-8</v>
      </c>
      <c r="AC93" s="24">
        <f t="shared" si="57"/>
        <v>1.7204677003937303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295.99999999999983</v>
      </c>
      <c r="AJ93" s="14">
        <f>AI93*VLOOKUP('Données projet'!$B$10,Paramètres!$A$1:$I$89,3,0)*VLOOKUP('Données projet'!$B$10,Paramètres!$A$1:$I$89,5,0)</f>
        <v>267.82079999999985</v>
      </c>
      <c r="AK93" s="14">
        <f t="shared" si="89"/>
        <v>64.386570147897302</v>
      </c>
      <c r="AL93" s="22">
        <f t="shared" si="58"/>
        <v>578.5945030075876</v>
      </c>
      <c r="AM93" s="62">
        <f t="shared" si="59"/>
        <v>871.92783634092098</v>
      </c>
      <c r="AN93" s="62">
        <f ca="1">AVERAGE(OFFSET($AM$3,0,0,'Données projet'!$E$10+1,1))-AVERAGE(OFFSET($H$3,0,0,'Données projet'!$E$10+1,1))</f>
        <v>302.55602998433079</v>
      </c>
      <c r="AO93" s="62">
        <f t="shared" si="90"/>
        <v>172.32171001882188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5.6843418860808015E-14</v>
      </c>
      <c r="BE93" s="14">
        <f>BD93*VLOOKUP('Données projet'!$B$11,Paramètres!$A$1:$I$89,3,0)*VLOOKUP('Données projet'!$B$11,Paramètres!$A$1:$I$89,5,0)</f>
        <v>4.4337866711430253E-14</v>
      </c>
      <c r="BF93" s="14">
        <f t="shared" si="91"/>
        <v>7.3222115536967035E-13</v>
      </c>
      <c r="BG93" s="22">
        <f t="shared" si="61"/>
        <v>1.3525069634579169E-12</v>
      </c>
      <c r="BH93" s="62">
        <f t="shared" si="62"/>
        <v>293.33333333333468</v>
      </c>
      <c r="BI93" s="62">
        <f ca="1">AVERAGE(OFFSET($BH$3,0,0,'Données projet'!$E$11+1,1))-AVERAGE(OFFSET($H$3,0,0,'Données projet'!$E$11+1,1))</f>
        <v>216.95993967070063</v>
      </c>
      <c r="BJ93" s="62">
        <f t="shared" si="92"/>
        <v>208.79744153433245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296</v>
      </c>
      <c r="BW93" s="13">
        <f>VLOOKUP(A93,'Données projet'!$A$113:$I$133,9,0)</f>
        <v>5.4</v>
      </c>
      <c r="BX93" s="13">
        <f t="array" ref="BX93">INDEX(BW:BW,MIN(IF(ISNUMBER(BW93:BW289),ROW(BW93:BW289),"")))</f>
        <v>5.4</v>
      </c>
      <c r="BY93" s="13">
        <f>IF('Données projet'!$A$114&gt;35,BY92+BX93-CG92,IF(A93&lt;'Données projet'!$A$114,$BV$205^A93,IF(A93='Données projet'!$A$114,'Données projet'!$B$114,BY92+BX93-CG92)))</f>
        <v>295.99999999999983</v>
      </c>
      <c r="BZ93" s="14">
        <f>BY93*VLOOKUP('Données projet'!$B$12,Paramètres!$A$1:$I$89,3,0)*VLOOKUP('Données projet'!$B$12,Paramètres!$A$1:$I$89,5,0)</f>
        <v>286.29119999999983</v>
      </c>
      <c r="CA93" s="14">
        <f t="shared" si="93"/>
        <v>68.294796094604337</v>
      </c>
      <c r="CB93" s="22">
        <f t="shared" si="64"/>
        <v>617.57060986476893</v>
      </c>
      <c r="CC93" s="62">
        <f t="shared" si="65"/>
        <v>910.9039431981023</v>
      </c>
      <c r="CD93" s="62">
        <f ca="1">AVERAGE(OFFSET($CC$3,0,0,'Données projet'!$E$12+1,1))-AVERAGE(OFFSET($H$3,0,0,'Données projet'!$E$12+1,1))</f>
        <v>329.13617179625538</v>
      </c>
      <c r="CE93" s="62">
        <f t="shared" si="94"/>
        <v>186.45728006007261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42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175.05987582828078</v>
      </c>
      <c r="T94" s="62">
        <f t="shared" si="88"/>
        <v>268.54782308462387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1.6734214091928672</v>
      </c>
      <c r="AB94" s="23">
        <f>EXP(-LN(2)/2)*AB93+(1-EXP(-LN(2)/2))/(LN(2)/2)*V94*Y94*VLOOKUP('Données projet'!$B$9,Paramètres!$A$1:$I$89,3,0)*0.475*44/12</f>
        <v>8.3299047206531036E-9</v>
      </c>
      <c r="AC94" s="24">
        <f t="shared" si="57"/>
        <v>1.673421417522772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4.9000000000000004</v>
      </c>
      <c r="AI94" s="14">
        <f>IF('Données projet'!$A$62&gt;35,AI93+AH94-AQ93,IF(A94&lt;'Données projet'!$A$62,$AF$205^A94,IF(A94='Données projet'!$A$62,'Données projet'!$B$62,AI93+AH94-AQ93)))</f>
        <v>258.89999999999981</v>
      </c>
      <c r="AJ94" s="14">
        <f>AI94*VLOOKUP('Données projet'!$B$10,Paramètres!$A$1:$I$89,3,0)*VLOOKUP('Données projet'!$B$10,Paramètres!$A$1:$I$89,5,0)</f>
        <v>234.25271999999978</v>
      </c>
      <c r="AK94" s="14">
        <f t="shared" si="89"/>
        <v>57.201236231171251</v>
      </c>
      <c r="AL94" s="22">
        <f t="shared" si="58"/>
        <v>507.61564043595627</v>
      </c>
      <c r="AM94" s="62">
        <f t="shared" si="59"/>
        <v>800.94897376928952</v>
      </c>
      <c r="AN94" s="62">
        <f ca="1">AVERAGE(OFFSET($AM$3,0,0,'Données projet'!$E$10+1,1))-AVERAGE(OFFSET($H$3,0,0,'Données projet'!$E$10+1,1))</f>
        <v>302.55602998433079</v>
      </c>
      <c r="AO94" s="62">
        <f t="shared" si="90"/>
        <v>172.32171001882188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5.6843418860808015E-14</v>
      </c>
      <c r="BE94" s="14">
        <f>BD94*VLOOKUP('Données projet'!$B$11,Paramètres!$A$1:$I$89,3,0)*VLOOKUP('Données projet'!$B$11,Paramètres!$A$1:$I$89,5,0)</f>
        <v>4.4337866711430253E-14</v>
      </c>
      <c r="BF94" s="14">
        <f t="shared" si="91"/>
        <v>7.3222115536967035E-13</v>
      </c>
      <c r="BG94" s="22">
        <f t="shared" si="61"/>
        <v>1.3525069634579169E-12</v>
      </c>
      <c r="BH94" s="62">
        <f t="shared" si="62"/>
        <v>293.33333333333468</v>
      </c>
      <c r="BI94" s="62">
        <f ca="1">AVERAGE(OFFSET($BH$3,0,0,'Données projet'!$E$11+1,1))-AVERAGE(OFFSET($H$3,0,0,'Données projet'!$E$11+1,1))</f>
        <v>216.95993967070063</v>
      </c>
      <c r="BJ94" s="62">
        <f t="shared" si="92"/>
        <v>208.79744153433245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4.9000000000000004</v>
      </c>
      <c r="BY94" s="13">
        <f>IF('Données projet'!$A$114&gt;35,BY93+BX94-CG93,IF(A94&lt;'Données projet'!$A$114,$BV$205^A94,IF(A94='Données projet'!$A$114,'Données projet'!$B$114,BY93+BX94-CG93)))</f>
        <v>258.89999999999981</v>
      </c>
      <c r="BZ94" s="14">
        <f>BY94*VLOOKUP('Données projet'!$B$12,Paramètres!$A$1:$I$89,3,0)*VLOOKUP('Données projet'!$B$12,Paramètres!$A$1:$I$89,5,0)</f>
        <v>250.40807999999984</v>
      </c>
      <c r="CA94" s="14">
        <f t="shared" si="93"/>
        <v>60.67331674592571</v>
      </c>
      <c r="CB94" s="22">
        <f t="shared" si="64"/>
        <v>541.80009933248687</v>
      </c>
      <c r="CC94" s="62">
        <f t="shared" si="65"/>
        <v>835.13343266582024</v>
      </c>
      <c r="CD94" s="62">
        <f ca="1">AVERAGE(OFFSET($CC$3,0,0,'Données projet'!$E$12+1,1))-AVERAGE(OFFSET($H$3,0,0,'Données projet'!$E$12+1,1))</f>
        <v>329.13617179625538</v>
      </c>
      <c r="CE94" s="62">
        <f t="shared" si="94"/>
        <v>186.45728006007261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175.05987582828078</v>
      </c>
      <c r="T95" s="62">
        <f t="shared" si="88"/>
        <v>268.54782308462387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1.6276616127570809</v>
      </c>
      <c r="AB95" s="23">
        <f>EXP(-LN(2)/2)*AB94+(1-EXP(-LN(2)/2))/(LN(2)/2)*V95*Y95*VLOOKUP('Données projet'!$B$9,Paramètres!$A$1:$I$89,3,0)*0.475*44/12</f>
        <v>5.8901321146116435E-9</v>
      </c>
      <c r="AC95" s="24">
        <f t="shared" si="57"/>
        <v>1.627661618647213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4.9000000000000004</v>
      </c>
      <c r="AI95" s="14">
        <f>IF('Données projet'!$A$62&gt;35,AI94+AH95-AQ94,IF(A95&lt;'Données projet'!$A$62,$AF$205^A95,IF(A95='Données projet'!$A$62,'Données projet'!$B$62,AI94+AH95-AQ94)))</f>
        <v>263.79999999999978</v>
      </c>
      <c r="AJ95" s="14">
        <f>AI95*VLOOKUP('Données projet'!$B$10,Paramètres!$A$1:$I$89,3,0)*VLOOKUP('Données projet'!$B$10,Paramètres!$A$1:$I$89,5,0)</f>
        <v>238.68623999999983</v>
      </c>
      <c r="AK95" s="14">
        <f t="shared" si="89"/>
        <v>58.156778382060871</v>
      </c>
      <c r="AL95" s="22">
        <f t="shared" si="58"/>
        <v>517.0015903487556</v>
      </c>
      <c r="AM95" s="62">
        <f t="shared" si="59"/>
        <v>810.33492368208886</v>
      </c>
      <c r="AN95" s="62">
        <f ca="1">AVERAGE(OFFSET($AM$3,0,0,'Données projet'!$E$10+1,1))-AVERAGE(OFFSET($H$3,0,0,'Données projet'!$E$10+1,1))</f>
        <v>302.55602998433079</v>
      </c>
      <c r="AO95" s="62">
        <f t="shared" si="90"/>
        <v>172.32171001882188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5.6843418860808015E-14</v>
      </c>
      <c r="BE95" s="14">
        <f>BD95*VLOOKUP('Données projet'!$B$11,Paramètres!$A$1:$I$89,3,0)*VLOOKUP('Données projet'!$B$11,Paramètres!$A$1:$I$89,5,0)</f>
        <v>4.4337866711430253E-14</v>
      </c>
      <c r="BF95" s="14">
        <f t="shared" si="91"/>
        <v>7.3222115536967035E-13</v>
      </c>
      <c r="BG95" s="22">
        <f t="shared" si="61"/>
        <v>1.3525069634579169E-12</v>
      </c>
      <c r="BH95" s="62">
        <f t="shared" si="62"/>
        <v>293.33333333333468</v>
      </c>
      <c r="BI95" s="62">
        <f ca="1">AVERAGE(OFFSET($BH$3,0,0,'Données projet'!$E$11+1,1))-AVERAGE(OFFSET($H$3,0,0,'Données projet'!$E$11+1,1))</f>
        <v>216.95993967070063</v>
      </c>
      <c r="BJ95" s="62">
        <f t="shared" si="92"/>
        <v>208.79744153433245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4.9000000000000004</v>
      </c>
      <c r="BY95" s="13">
        <f>IF('Données projet'!$A$114&gt;35,BY94+BX95-CG94,IF(A95&lt;'Données projet'!$A$114,$BV$205^A95,IF(A95='Données projet'!$A$114,'Données projet'!$B$114,BY94+BX95-CG94)))</f>
        <v>263.79999999999978</v>
      </c>
      <c r="BZ95" s="14">
        <f>BY95*VLOOKUP('Données projet'!$B$12,Paramètres!$A$1:$I$89,3,0)*VLOOKUP('Données projet'!$B$12,Paramètres!$A$1:$I$89,5,0)</f>
        <v>255.14735999999979</v>
      </c>
      <c r="CA95" s="14">
        <f t="shared" si="93"/>
        <v>61.686859728645594</v>
      </c>
      <c r="CB95" s="22">
        <f t="shared" si="64"/>
        <v>551.81959936072406</v>
      </c>
      <c r="CC95" s="62">
        <f t="shared" si="65"/>
        <v>845.15293269405743</v>
      </c>
      <c r="CD95" s="62">
        <f ca="1">AVERAGE(OFFSET($CC$3,0,0,'Données projet'!$E$12+1,1))-AVERAGE(OFFSET($H$3,0,0,'Données projet'!$E$12+1,1))</f>
        <v>329.13617179625538</v>
      </c>
      <c r="CE95" s="62">
        <f t="shared" si="94"/>
        <v>186.45728006007261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175.05987582828078</v>
      </c>
      <c r="T96" s="62">
        <f t="shared" si="88"/>
        <v>268.54782308462387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1.5831531203612343</v>
      </c>
      <c r="AB96" s="23">
        <f>EXP(-LN(2)/2)*AB95+(1-EXP(-LN(2)/2))/(LN(2)/2)*V96*Y96*VLOOKUP('Données projet'!$B$9,Paramètres!$A$1:$I$89,3,0)*0.475*44/12</f>
        <v>4.1649523603265518E-9</v>
      </c>
      <c r="AC96" s="24">
        <f t="shared" si="57"/>
        <v>1.5831531245261867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4.9000000000000004</v>
      </c>
      <c r="AI96" s="14">
        <f>IF('Données projet'!$A$62&gt;35,AI95+AH96-AQ95,IF(A96&lt;'Données projet'!$A$62,$AF$205^A96,IF(A96='Données projet'!$A$62,'Données projet'!$B$62,AI95+AH96-AQ95)))</f>
        <v>268.69999999999976</v>
      </c>
      <c r="AJ96" s="14">
        <f>AI96*VLOOKUP('Données projet'!$B$10,Paramètres!$A$1:$I$89,3,0)*VLOOKUP('Données projet'!$B$10,Paramètres!$A$1:$I$89,5,0)</f>
        <v>243.11975999999979</v>
      </c>
      <c r="AK96" s="14">
        <f t="shared" si="89"/>
        <v>59.110256668778483</v>
      </c>
      <c r="AL96" s="22">
        <f t="shared" si="58"/>
        <v>526.38394569812215</v>
      </c>
      <c r="AM96" s="62">
        <f t="shared" si="59"/>
        <v>819.71727903145552</v>
      </c>
      <c r="AN96" s="62">
        <f ca="1">AVERAGE(OFFSET($AM$3,0,0,'Données projet'!$E$10+1,1))-AVERAGE(OFFSET($H$3,0,0,'Données projet'!$E$10+1,1))</f>
        <v>302.55602998433079</v>
      </c>
      <c r="AO96" s="62">
        <f t="shared" si="90"/>
        <v>172.32171001882188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5.6843418860808015E-14</v>
      </c>
      <c r="BE96" s="14">
        <f>BD96*VLOOKUP('Données projet'!$B$11,Paramètres!$A$1:$I$89,3,0)*VLOOKUP('Données projet'!$B$11,Paramètres!$A$1:$I$89,5,0)</f>
        <v>4.4337866711430253E-14</v>
      </c>
      <c r="BF96" s="14">
        <f t="shared" si="91"/>
        <v>7.3222115536967035E-13</v>
      </c>
      <c r="BG96" s="22">
        <f t="shared" si="61"/>
        <v>1.3525069634579169E-12</v>
      </c>
      <c r="BH96" s="62">
        <f t="shared" si="62"/>
        <v>293.33333333333468</v>
      </c>
      <c r="BI96" s="62">
        <f ca="1">AVERAGE(OFFSET($BH$3,0,0,'Données projet'!$E$11+1,1))-AVERAGE(OFFSET($H$3,0,0,'Données projet'!$E$11+1,1))</f>
        <v>216.95993967070063</v>
      </c>
      <c r="BJ96" s="62">
        <f t="shared" si="92"/>
        <v>208.79744153433245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4.9000000000000004</v>
      </c>
      <c r="BY96" s="13">
        <f>IF('Données projet'!$A$114&gt;35,BY95+BX96-CG95,IF(A96&lt;'Données projet'!$A$114,$BV$205^A96,IF(A96='Données projet'!$A$114,'Données projet'!$B$114,BY95+BX96-CG95)))</f>
        <v>268.69999999999976</v>
      </c>
      <c r="BZ96" s="14">
        <f>BY96*VLOOKUP('Données projet'!$B$12,Paramètres!$A$1:$I$89,3,0)*VLOOKUP('Données projet'!$B$12,Paramètres!$A$1:$I$89,5,0)</f>
        <v>259.88663999999977</v>
      </c>
      <c r="CA96" s="14">
        <f t="shared" si="93"/>
        <v>62.698213571883947</v>
      </c>
      <c r="CB96" s="22">
        <f t="shared" si="64"/>
        <v>561.83528663769755</v>
      </c>
      <c r="CC96" s="62">
        <f t="shared" si="65"/>
        <v>855.16861997103092</v>
      </c>
      <c r="CD96" s="62">
        <f ca="1">AVERAGE(OFFSET($CC$3,0,0,'Données projet'!$E$12+1,1))-AVERAGE(OFFSET($H$3,0,0,'Données projet'!$E$12+1,1))</f>
        <v>329.13617179625538</v>
      </c>
      <c r="CE96" s="62">
        <f t="shared" si="94"/>
        <v>186.45728006007261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175.05987582828078</v>
      </c>
      <c r="T97" s="62">
        <f t="shared" si="88"/>
        <v>268.54782308462387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1.5398617150305522</v>
      </c>
      <c r="AB97" s="23">
        <f>EXP(-LN(2)/2)*AB96+(1-EXP(-LN(2)/2))/(LN(2)/2)*V97*Y97*VLOOKUP('Données projet'!$B$9,Paramètres!$A$1:$I$89,3,0)*0.475*44/12</f>
        <v>2.9450660573058217E-9</v>
      </c>
      <c r="AC97" s="24">
        <f t="shared" si="57"/>
        <v>1.5398617179756182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4.9000000000000004</v>
      </c>
      <c r="AI97" s="14">
        <f>IF('Données projet'!$A$62&gt;35,AI96+AH97-AQ96,IF(A97&lt;'Données projet'!$A$62,$AF$205^A97,IF(A97='Données projet'!$A$62,'Données projet'!$B$62,AI96+AH97-AQ96)))</f>
        <v>273.59999999999974</v>
      </c>
      <c r="AJ97" s="14">
        <f>AI97*VLOOKUP('Données projet'!$B$10,Paramètres!$A$1:$I$89,3,0)*VLOOKUP('Données projet'!$B$10,Paramètres!$A$1:$I$89,5,0)</f>
        <v>247.55327999999977</v>
      </c>
      <c r="AK97" s="14">
        <f t="shared" si="89"/>
        <v>60.061713068870255</v>
      </c>
      <c r="AL97" s="22">
        <f t="shared" si="58"/>
        <v>535.76277959494871</v>
      </c>
      <c r="AM97" s="62">
        <f t="shared" si="59"/>
        <v>829.09611292828208</v>
      </c>
      <c r="AN97" s="62">
        <f ca="1">AVERAGE(OFFSET($AM$3,0,0,'Données projet'!$E$10+1,1))-AVERAGE(OFFSET($H$3,0,0,'Données projet'!$E$10+1,1))</f>
        <v>302.55602998433079</v>
      </c>
      <c r="AO97" s="62">
        <f t="shared" si="90"/>
        <v>172.32171001882188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5.6843418860808015E-14</v>
      </c>
      <c r="BE97" s="14">
        <f>BD97*VLOOKUP('Données projet'!$B$11,Paramètres!$A$1:$I$89,3,0)*VLOOKUP('Données projet'!$B$11,Paramètres!$A$1:$I$89,5,0)</f>
        <v>4.4337866711430253E-14</v>
      </c>
      <c r="BF97" s="14">
        <f t="shared" si="91"/>
        <v>7.3222115536967035E-13</v>
      </c>
      <c r="BG97" s="22">
        <f t="shared" si="61"/>
        <v>1.3525069634579169E-12</v>
      </c>
      <c r="BH97" s="62">
        <f t="shared" si="62"/>
        <v>293.33333333333468</v>
      </c>
      <c r="BI97" s="62">
        <f ca="1">AVERAGE(OFFSET($BH$3,0,0,'Données projet'!$E$11+1,1))-AVERAGE(OFFSET($H$3,0,0,'Données projet'!$E$11+1,1))</f>
        <v>216.95993967070063</v>
      </c>
      <c r="BJ97" s="62">
        <f t="shared" si="92"/>
        <v>208.79744153433245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4.9000000000000004</v>
      </c>
      <c r="BY97" s="13">
        <f>IF('Données projet'!$A$114&gt;35,BY96+BX97-CG96,IF(A97&lt;'Données projet'!$A$114,$BV$205^A97,IF(A97='Données projet'!$A$114,'Données projet'!$B$114,BY96+BX97-CG96)))</f>
        <v>273.59999999999974</v>
      </c>
      <c r="BZ97" s="14">
        <f>BY97*VLOOKUP('Données projet'!$B$12,Paramètres!$A$1:$I$89,3,0)*VLOOKUP('Données projet'!$B$12,Paramètres!$A$1:$I$89,5,0)</f>
        <v>264.62591999999972</v>
      </c>
      <c r="CA97" s="14">
        <f t="shared" si="93"/>
        <v>63.707422801198547</v>
      </c>
      <c r="CB97" s="22">
        <f t="shared" si="64"/>
        <v>571.84723871208701</v>
      </c>
      <c r="CC97" s="62">
        <f t="shared" si="65"/>
        <v>865.18057204542038</v>
      </c>
      <c r="CD97" s="62">
        <f ca="1">AVERAGE(OFFSET($CC$3,0,0,'Données projet'!$E$12+1,1))-AVERAGE(OFFSET($H$3,0,0,'Données projet'!$E$12+1,1))</f>
        <v>329.13617179625538</v>
      </c>
      <c r="CE97" s="62">
        <f t="shared" si="94"/>
        <v>186.45728006007261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175.05987582828078</v>
      </c>
      <c r="T98" s="62">
        <f t="shared" si="88"/>
        <v>268.54782308462387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1.4977541154552336</v>
      </c>
      <c r="AB98" s="23">
        <f>EXP(-LN(2)/2)*AB97+(1-EXP(-LN(2)/2))/(LN(2)/2)*V98*Y98*VLOOKUP('Données projet'!$B$9,Paramètres!$A$1:$I$89,3,0)*0.475*44/12</f>
        <v>2.0824761801632759E-9</v>
      </c>
      <c r="AC98" s="24">
        <f t="shared" si="57"/>
        <v>1.4977541175377098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4.9000000000000004</v>
      </c>
      <c r="AI98" s="14">
        <f>IF('Données projet'!$A$62&gt;35,AI97+AH98-AQ97,IF(A98&lt;'Données projet'!$A$62,$AF$205^A98,IF(A98='Données projet'!$A$62,'Données projet'!$B$62,AI97+AH98-AQ97)))</f>
        <v>278.49999999999972</v>
      </c>
      <c r="AJ98" s="14">
        <f>AI98*VLOOKUP('Données projet'!$B$10,Paramètres!$A$1:$I$89,3,0)*VLOOKUP('Données projet'!$B$10,Paramètres!$A$1:$I$89,5,0)</f>
        <v>251.98679999999973</v>
      </c>
      <c r="AK98" s="14">
        <f t="shared" si="89"/>
        <v>61.011187970194996</v>
      </c>
      <c r="AL98" s="22">
        <f t="shared" si="58"/>
        <v>545.13816238142238</v>
      </c>
      <c r="AM98" s="62">
        <f t="shared" si="59"/>
        <v>838.47149571475575</v>
      </c>
      <c r="AN98" s="62">
        <f ca="1">AVERAGE(OFFSET($AM$3,0,0,'Données projet'!$E$10+1,1))-AVERAGE(OFFSET($H$3,0,0,'Données projet'!$E$10+1,1))</f>
        <v>302.55602998433079</v>
      </c>
      <c r="AO98" s="62">
        <f t="shared" si="90"/>
        <v>172.32171001882188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5.6843418860808015E-14</v>
      </c>
      <c r="BE98" s="14">
        <f>BD98*VLOOKUP('Données projet'!$B$11,Paramètres!$A$1:$I$89,3,0)*VLOOKUP('Données projet'!$B$11,Paramètres!$A$1:$I$89,5,0)</f>
        <v>4.4337866711430253E-14</v>
      </c>
      <c r="BF98" s="14">
        <f t="shared" si="91"/>
        <v>7.3222115536967035E-13</v>
      </c>
      <c r="BG98" s="22">
        <f t="shared" si="61"/>
        <v>1.3525069634579169E-12</v>
      </c>
      <c r="BH98" s="62">
        <f t="shared" si="62"/>
        <v>293.33333333333468</v>
      </c>
      <c r="BI98" s="62">
        <f ca="1">AVERAGE(OFFSET($BH$3,0,0,'Données projet'!$E$11+1,1))-AVERAGE(OFFSET($H$3,0,0,'Données projet'!$E$11+1,1))</f>
        <v>216.95993967070063</v>
      </c>
      <c r="BJ98" s="62">
        <f t="shared" si="92"/>
        <v>208.79744153433245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4.9000000000000004</v>
      </c>
      <c r="BY98" s="13">
        <f>IF('Données projet'!$A$114&gt;35,BY97+BX98-CG97,IF(A98&lt;'Données projet'!$A$114,$BV$205^A98,IF(A98='Données projet'!$A$114,'Données projet'!$B$114,BY97+BX98-CG97)))</f>
        <v>278.49999999999972</v>
      </c>
      <c r="BZ98" s="14">
        <f>BY98*VLOOKUP('Données projet'!$B$12,Paramètres!$A$1:$I$89,3,0)*VLOOKUP('Données projet'!$B$12,Paramètres!$A$1:$I$89,5,0)</f>
        <v>269.36519999999973</v>
      </c>
      <c r="CA98" s="14">
        <f t="shared" si="93"/>
        <v>64.714530255967034</v>
      </c>
      <c r="CB98" s="22">
        <f t="shared" si="64"/>
        <v>581.85553019580868</v>
      </c>
      <c r="CC98" s="62">
        <f t="shared" si="65"/>
        <v>875.18886352914205</v>
      </c>
      <c r="CD98" s="62">
        <f ca="1">AVERAGE(OFFSET($CC$3,0,0,'Données projet'!$E$12+1,1))-AVERAGE(OFFSET($H$3,0,0,'Données projet'!$E$12+1,1))</f>
        <v>329.13617179625538</v>
      </c>
      <c r="CE98" s="62">
        <f t="shared" si="94"/>
        <v>186.45728006007261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175.05987582828078</v>
      </c>
      <c r="T99" s="62">
        <f t="shared" si="88"/>
        <v>268.54782308462387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1.4567979504046444</v>
      </c>
      <c r="AB99" s="23">
        <f>EXP(-LN(2)/2)*AB98+(1-EXP(-LN(2)/2))/(LN(2)/2)*V99*Y99*VLOOKUP('Données projet'!$B$9,Paramètres!$A$1:$I$89,3,0)*0.475*44/12</f>
        <v>1.4725330286529109E-9</v>
      </c>
      <c r="AC99" s="24">
        <f t="shared" si="57"/>
        <v>1.4567979518771774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4.9000000000000004</v>
      </c>
      <c r="AI99" s="14">
        <f>IF('Données projet'!$A$62&gt;35,AI98+AH99-AQ98,IF(A99&lt;'Données projet'!$A$62,$AF$205^A99,IF(A99='Données projet'!$A$62,'Données projet'!$B$62,AI98+AH99-AQ98)))</f>
        <v>283.39999999999969</v>
      </c>
      <c r="AJ99" s="14">
        <f>AI99*VLOOKUP('Données projet'!$B$10,Paramètres!$A$1:$I$89,3,0)*VLOOKUP('Données projet'!$B$10,Paramètres!$A$1:$I$89,5,0)</f>
        <v>256.42031999999972</v>
      </c>
      <c r="AK99" s="14">
        <f t="shared" si="89"/>
        <v>61.958720258016861</v>
      </c>
      <c r="AL99" s="22">
        <f t="shared" si="58"/>
        <v>554.5101617827122</v>
      </c>
      <c r="AM99" s="62">
        <f t="shared" si="59"/>
        <v>847.84349511604546</v>
      </c>
      <c r="AN99" s="62">
        <f ca="1">AVERAGE(OFFSET($AM$3,0,0,'Données projet'!$E$10+1,1))-AVERAGE(OFFSET($H$3,0,0,'Données projet'!$E$10+1,1))</f>
        <v>302.55602998433079</v>
      </c>
      <c r="AO99" s="62">
        <f t="shared" si="90"/>
        <v>172.32171001882188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5.6843418860808015E-14</v>
      </c>
      <c r="BE99" s="14">
        <f>BD99*VLOOKUP('Données projet'!$B$11,Paramètres!$A$1:$I$89,3,0)*VLOOKUP('Données projet'!$B$11,Paramètres!$A$1:$I$89,5,0)</f>
        <v>4.4337866711430253E-14</v>
      </c>
      <c r="BF99" s="14">
        <f t="shared" si="91"/>
        <v>7.3222115536967035E-13</v>
      </c>
      <c r="BG99" s="22">
        <f t="shared" si="61"/>
        <v>1.3525069634579169E-12</v>
      </c>
      <c r="BH99" s="62">
        <f t="shared" si="62"/>
        <v>293.33333333333468</v>
      </c>
      <c r="BI99" s="62">
        <f ca="1">AVERAGE(OFFSET($BH$3,0,0,'Données projet'!$E$11+1,1))-AVERAGE(OFFSET($H$3,0,0,'Données projet'!$E$11+1,1))</f>
        <v>216.95993967070063</v>
      </c>
      <c r="BJ99" s="62">
        <f t="shared" si="92"/>
        <v>208.79744153433245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4.9000000000000004</v>
      </c>
      <c r="BY99" s="13">
        <f>IF('Données projet'!$A$114&gt;35,BY98+BX99-CG98,IF(A99&lt;'Données projet'!$A$114,$BV$205^A99,IF(A99='Données projet'!$A$114,'Données projet'!$B$114,BY98+BX99-CG98)))</f>
        <v>283.39999999999969</v>
      </c>
      <c r="BZ99" s="14">
        <f>BY99*VLOOKUP('Données projet'!$B$12,Paramètres!$A$1:$I$89,3,0)*VLOOKUP('Données projet'!$B$12,Paramètres!$A$1:$I$89,5,0)</f>
        <v>274.10447999999968</v>
      </c>
      <c r="CA99" s="14">
        <f t="shared" si="93"/>
        <v>65.719577181765459</v>
      </c>
      <c r="CB99" s="22">
        <f t="shared" si="64"/>
        <v>591.86023292490756</v>
      </c>
      <c r="CC99" s="62">
        <f t="shared" si="65"/>
        <v>885.19356625824093</v>
      </c>
      <c r="CD99" s="62">
        <f ca="1">AVERAGE(OFFSET($CC$3,0,0,'Données projet'!$E$12+1,1))-AVERAGE(OFFSET($H$3,0,0,'Données projet'!$E$12+1,1))</f>
        <v>329.13617179625538</v>
      </c>
      <c r="CE99" s="62">
        <f t="shared" si="94"/>
        <v>186.45728006007261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175.05987582828078</v>
      </c>
      <c r="T100" s="62">
        <f t="shared" si="88"/>
        <v>268.54782308462387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1.4169617338411549</v>
      </c>
      <c r="AB100" s="23">
        <f>EXP(-LN(2)/2)*AB99+(1-EXP(-LN(2)/2))/(LN(2)/2)*V100*Y100*VLOOKUP('Données projet'!$B$9,Paramètres!$A$1:$I$89,3,0)*0.475*44/12</f>
        <v>1.041238090081638E-9</v>
      </c>
      <c r="AC100" s="24">
        <f t="shared" si="57"/>
        <v>1.4169617348823929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4.9000000000000004</v>
      </c>
      <c r="AI100" s="14">
        <f>IF('Données projet'!$A$62&gt;35,AI99+AH100-AQ99,IF(A100&lt;'Données projet'!$A$62,$AF$205^A100,IF(A100='Données projet'!$A$62,'Données projet'!$B$62,AI99+AH100-AQ99)))</f>
        <v>288.29999999999967</v>
      </c>
      <c r="AJ100" s="14">
        <f>AI100*VLOOKUP('Données projet'!$B$10,Paramètres!$A$1:$I$89,3,0)*VLOOKUP('Données projet'!$B$10,Paramètres!$A$1:$I$89,5,0)</f>
        <v>260.85383999999971</v>
      </c>
      <c r="AK100" s="14">
        <f t="shared" si="89"/>
        <v>62.904347395903706</v>
      </c>
      <c r="AL100" s="22">
        <f t="shared" si="58"/>
        <v>563.87884304786508</v>
      </c>
      <c r="AM100" s="62">
        <f t="shared" si="59"/>
        <v>857.21217638119833</v>
      </c>
      <c r="AN100" s="62">
        <f ca="1">AVERAGE(OFFSET($AM$3,0,0,'Données projet'!$E$10+1,1))-AVERAGE(OFFSET($H$3,0,0,'Données projet'!$E$10+1,1))</f>
        <v>302.55602998433079</v>
      </c>
      <c r="AO100" s="62">
        <f t="shared" si="90"/>
        <v>172.32171001882188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5.6843418860808015E-14</v>
      </c>
      <c r="BE100" s="14">
        <f>BD100*VLOOKUP('Données projet'!$B$11,Paramètres!$A$1:$I$89,3,0)*VLOOKUP('Données projet'!$B$11,Paramètres!$A$1:$I$89,5,0)</f>
        <v>4.4337866711430253E-14</v>
      </c>
      <c r="BF100" s="14">
        <f t="shared" si="91"/>
        <v>7.3222115536967035E-13</v>
      </c>
      <c r="BG100" s="22">
        <f t="shared" si="61"/>
        <v>1.3525069634579169E-12</v>
      </c>
      <c r="BH100" s="62">
        <f t="shared" si="62"/>
        <v>293.33333333333468</v>
      </c>
      <c r="BI100" s="62">
        <f ca="1">AVERAGE(OFFSET($BH$3,0,0,'Données projet'!$E$11+1,1))-AVERAGE(OFFSET($H$3,0,0,'Données projet'!$E$11+1,1))</f>
        <v>216.95993967070063</v>
      </c>
      <c r="BJ100" s="62">
        <f t="shared" si="92"/>
        <v>208.79744153433245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4.9000000000000004</v>
      </c>
      <c r="BY100" s="13">
        <f>IF('Données projet'!$A$114&gt;35,BY99+BX100-CG99,IF(A100&lt;'Données projet'!$A$114,$BV$205^A100,IF(A100='Données projet'!$A$114,'Données projet'!$B$114,BY99+BX100-CG99)))</f>
        <v>288.29999999999967</v>
      </c>
      <c r="BZ100" s="14">
        <f>BY100*VLOOKUP('Données projet'!$B$12,Paramètres!$A$1:$I$89,3,0)*VLOOKUP('Données projet'!$B$12,Paramètres!$A$1:$I$89,5,0)</f>
        <v>278.84375999999969</v>
      </c>
      <c r="CA100" s="14">
        <f t="shared" si="93"/>
        <v>66.722603316177668</v>
      </c>
      <c r="CB100" s="22">
        <f t="shared" si="64"/>
        <v>601.86141610900893</v>
      </c>
      <c r="CC100" s="62">
        <f t="shared" si="65"/>
        <v>895.1947494423423</v>
      </c>
      <c r="CD100" s="62">
        <f ca="1">AVERAGE(OFFSET($CC$3,0,0,'Données projet'!$E$12+1,1))-AVERAGE(OFFSET($H$3,0,0,'Données projet'!$E$12+1,1))</f>
        <v>329.13617179625538</v>
      </c>
      <c r="CE100" s="62">
        <f t="shared" si="94"/>
        <v>186.45728006007261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175.05987582828078</v>
      </c>
      <c r="T101" s="62">
        <f t="shared" si="88"/>
        <v>268.54782308462387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1.3782148407144894</v>
      </c>
      <c r="AB101" s="23">
        <f>EXP(-LN(2)/2)*AB100+(1-EXP(-LN(2)/2))/(LN(2)/2)*V101*Y101*VLOOKUP('Données projet'!$B$9,Paramètres!$A$1:$I$89,3,0)*0.475*44/12</f>
        <v>7.3626651432645543E-10</v>
      </c>
      <c r="AC101" s="24">
        <f t="shared" si="57"/>
        <v>1.378214841450756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4.9000000000000004</v>
      </c>
      <c r="AI101" s="14">
        <f>IF('Données projet'!$A$62&gt;35,AI100+AH101-AQ100,IF(A101&lt;'Données projet'!$A$62,$AF$205^A101,IF(A101='Données projet'!$A$62,'Données projet'!$B$62,AI100+AH101-AQ100)))</f>
        <v>293.19999999999965</v>
      </c>
      <c r="AJ101" s="14">
        <f>AI101*VLOOKUP('Données projet'!$B$10,Paramètres!$A$1:$I$89,3,0)*VLOOKUP('Données projet'!$B$10,Paramètres!$A$1:$I$89,5,0)</f>
        <v>265.28735999999969</v>
      </c>
      <c r="AK101" s="14">
        <f t="shared" si="89"/>
        <v>63.848105500969893</v>
      </c>
      <c r="AL101" s="22">
        <f t="shared" si="58"/>
        <v>573.24426908085536</v>
      </c>
      <c r="AM101" s="62">
        <f t="shared" si="59"/>
        <v>866.57760241418873</v>
      </c>
      <c r="AN101" s="62">
        <f ca="1">AVERAGE(OFFSET($AM$3,0,0,'Données projet'!$E$10+1,1))-AVERAGE(OFFSET($H$3,0,0,'Données projet'!$E$10+1,1))</f>
        <v>302.55602998433079</v>
      </c>
      <c r="AO101" s="62">
        <f t="shared" si="90"/>
        <v>172.32171001882188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5.6843418860808015E-14</v>
      </c>
      <c r="BE101" s="14">
        <f>BD101*VLOOKUP('Données projet'!$B$11,Paramètres!$A$1:$I$89,3,0)*VLOOKUP('Données projet'!$B$11,Paramètres!$A$1:$I$89,5,0)</f>
        <v>4.4337866711430253E-14</v>
      </c>
      <c r="BF101" s="14">
        <f t="shared" si="91"/>
        <v>7.3222115536967035E-13</v>
      </c>
      <c r="BG101" s="22">
        <f t="shared" si="61"/>
        <v>1.3525069634579169E-12</v>
      </c>
      <c r="BH101" s="62">
        <f t="shared" si="62"/>
        <v>293.33333333333468</v>
      </c>
      <c r="BI101" s="62">
        <f ca="1">AVERAGE(OFFSET($BH$3,0,0,'Données projet'!$E$11+1,1))-AVERAGE(OFFSET($H$3,0,0,'Données projet'!$E$11+1,1))</f>
        <v>216.95993967070063</v>
      </c>
      <c r="BJ101" s="62">
        <f t="shared" si="92"/>
        <v>208.79744153433245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4.9000000000000004</v>
      </c>
      <c r="BY101" s="13">
        <f>IF('Données projet'!$A$114&gt;35,BY100+BX101-CG100,IF(A101&lt;'Données projet'!$A$114,$BV$205^A101,IF(A101='Données projet'!$A$114,'Données projet'!$B$114,BY100+BX101-CG100)))</f>
        <v>293.19999999999965</v>
      </c>
      <c r="BZ101" s="14">
        <f>BY101*VLOOKUP('Données projet'!$B$12,Paramètres!$A$1:$I$89,3,0)*VLOOKUP('Données projet'!$B$12,Paramètres!$A$1:$I$89,5,0)</f>
        <v>283.5830399999997</v>
      </c>
      <c r="CA101" s="14">
        <f t="shared" si="93"/>
        <v>67.723646968605152</v>
      </c>
      <c r="CB101" s="22">
        <f t="shared" si="64"/>
        <v>611.85914647032007</v>
      </c>
      <c r="CC101" s="62">
        <f t="shared" si="65"/>
        <v>905.19247980365344</v>
      </c>
      <c r="CD101" s="62">
        <f ca="1">AVERAGE(OFFSET($CC$3,0,0,'Données projet'!$E$12+1,1))-AVERAGE(OFFSET($H$3,0,0,'Données projet'!$E$12+1,1))</f>
        <v>329.13617179625538</v>
      </c>
      <c r="CE101" s="62">
        <f t="shared" si="94"/>
        <v>186.45728006007261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175.05987582828078</v>
      </c>
      <c r="T102" s="62">
        <f t="shared" si="88"/>
        <v>268.54782308462387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1.3405274834179832</v>
      </c>
      <c r="AB102" s="23">
        <f>EXP(-LN(2)/2)*AB101+(1-EXP(-LN(2)/2))/(LN(2)/2)*V102*Y102*VLOOKUP('Données projet'!$B$9,Paramètres!$A$1:$I$89,3,0)*0.475*44/12</f>
        <v>5.2061904504081898E-10</v>
      </c>
      <c r="AC102" s="24">
        <f t="shared" si="57"/>
        <v>1.3405274839386023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4.9000000000000004</v>
      </c>
      <c r="AI102" s="14">
        <f>IF('Données projet'!$A$62&gt;35,AI101+AH102-AQ101,IF(A102&lt;'Données projet'!$A$62,$AF$205^A102,IF(A102='Données projet'!$A$62,'Données projet'!$B$62,AI101+AH102-AQ101)))</f>
        <v>298.09999999999962</v>
      </c>
      <c r="AJ102" s="14">
        <f>AI102*VLOOKUP('Données projet'!$B$10,Paramètres!$A$1:$I$89,3,0)*VLOOKUP('Données projet'!$B$10,Paramètres!$A$1:$I$89,5,0)</f>
        <v>269.72087999999962</v>
      </c>
      <c r="AK102" s="14">
        <f t="shared" si="89"/>
        <v>64.790029413946883</v>
      </c>
      <c r="AL102" s="22">
        <f t="shared" si="58"/>
        <v>582.60650056262341</v>
      </c>
      <c r="AM102" s="62">
        <f t="shared" si="59"/>
        <v>875.93983389595678</v>
      </c>
      <c r="AN102" s="62">
        <f ca="1">AVERAGE(OFFSET($AM$3,0,0,'Données projet'!$E$10+1,1))-AVERAGE(OFFSET($H$3,0,0,'Données projet'!$E$10+1,1))</f>
        <v>302.55602998433079</v>
      </c>
      <c r="AO102" s="62">
        <f t="shared" si="90"/>
        <v>172.32171001882188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5.6843418860808015E-14</v>
      </c>
      <c r="BE102" s="14">
        <f>BD102*VLOOKUP('Données projet'!$B$11,Paramètres!$A$1:$I$89,3,0)*VLOOKUP('Données projet'!$B$11,Paramètres!$A$1:$I$89,5,0)</f>
        <v>4.4337866711430253E-14</v>
      </c>
      <c r="BF102" s="14">
        <f t="shared" si="91"/>
        <v>7.3222115536967035E-13</v>
      </c>
      <c r="BG102" s="22">
        <f t="shared" si="61"/>
        <v>1.3525069634579169E-12</v>
      </c>
      <c r="BH102" s="62">
        <f t="shared" si="62"/>
        <v>293.33333333333468</v>
      </c>
      <c r="BI102" s="62">
        <f ca="1">AVERAGE(OFFSET($BH$3,0,0,'Données projet'!$E$11+1,1))-AVERAGE(OFFSET($H$3,0,0,'Données projet'!$E$11+1,1))</f>
        <v>216.95993967070063</v>
      </c>
      <c r="BJ102" s="62">
        <f t="shared" si="92"/>
        <v>208.79744153433245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4.9000000000000004</v>
      </c>
      <c r="BY102" s="13">
        <f>IF('Données projet'!$A$114&gt;35,BY101+BX102-CG101,IF(A102&lt;'Données projet'!$A$114,$BV$205^A102,IF(A102='Données projet'!$A$114,'Données projet'!$B$114,BY101+BX102-CG101)))</f>
        <v>298.09999999999962</v>
      </c>
      <c r="BZ102" s="14">
        <f>BY102*VLOOKUP('Données projet'!$B$12,Paramètres!$A$1:$I$89,3,0)*VLOOKUP('Données projet'!$B$12,Paramètres!$A$1:$I$89,5,0)</f>
        <v>288.32231999999965</v>
      </c>
      <c r="CA102" s="14">
        <f t="shared" si="93"/>
        <v>68.72274509459055</v>
      </c>
      <c r="CB102" s="22">
        <f t="shared" si="64"/>
        <v>621.85348837307788</v>
      </c>
      <c r="CC102" s="62">
        <f t="shared" si="65"/>
        <v>915.18682170641114</v>
      </c>
      <c r="CD102" s="62">
        <f ca="1">AVERAGE(OFFSET($CC$3,0,0,'Données projet'!$E$12+1,1))-AVERAGE(OFFSET($H$3,0,0,'Données projet'!$E$12+1,1))</f>
        <v>329.13617179625538</v>
      </c>
      <c r="CE102" s="62">
        <f t="shared" si="94"/>
        <v>186.45728006007261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175.05987582828078</v>
      </c>
      <c r="T103" s="62">
        <f t="shared" si="88"/>
        <v>268.54782308462387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1.303870688888642</v>
      </c>
      <c r="AB103" s="23">
        <f>EXP(-LN(2)/2)*AB102+(1-EXP(-LN(2)/2))/(LN(2)/2)*V103*Y103*VLOOKUP('Données projet'!$B$9,Paramètres!$A$1:$I$89,3,0)*0.475*44/12</f>
        <v>3.6813325716322772E-10</v>
      </c>
      <c r="AC103" s="24">
        <f t="shared" si="57"/>
        <v>1.3038706892567753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4.9000000000000004</v>
      </c>
      <c r="AH103" s="13">
        <f t="array" ref="AH103">INDEX(AG:AG,MIN(IF(ISNUMBER(AG103:AG299),ROW(AG103:AG299),"")))</f>
        <v>4.9000000000000004</v>
      </c>
      <c r="AI103" s="14">
        <f>IF('Données projet'!$A$62&gt;35,AI102+AH103-AQ102,IF(A103&lt;'Données projet'!$A$62,$AF$205^A103,IF(A103='Données projet'!$A$62,'Données projet'!$B$62,AI102+AH103-AQ102)))</f>
        <v>302.9999999999996</v>
      </c>
      <c r="AJ103" s="14">
        <f>AI103*VLOOKUP('Données projet'!$B$10,Paramètres!$A$1:$I$89,3,0)*VLOOKUP('Données projet'!$B$10,Paramètres!$A$1:$I$89,5,0)</f>
        <v>274.15439999999961</v>
      </c>
      <c r="AK103" s="14">
        <f t="shared" si="89"/>
        <v>65.730152764515779</v>
      </c>
      <c r="AL103" s="22">
        <f t="shared" si="58"/>
        <v>591.96559606486426</v>
      </c>
      <c r="AM103" s="62">
        <f t="shared" si="59"/>
        <v>885.29892939819752</v>
      </c>
      <c r="AN103" s="62">
        <f ca="1">AVERAGE(OFFSET($AM$3,0,0,'Données projet'!$E$10+1,1))-AVERAGE(OFFSET($H$3,0,0,'Données projet'!$E$10+1,1))</f>
        <v>302.55602998433079</v>
      </c>
      <c r="AO103" s="62">
        <f t="shared" si="90"/>
        <v>172.32171001882188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42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5.6843418860808015E-14</v>
      </c>
      <c r="BE103" s="14">
        <f>BD103*VLOOKUP('Données projet'!$B$11,Paramètres!$A$1:$I$89,3,0)*VLOOKUP('Données projet'!$B$11,Paramètres!$A$1:$I$89,5,0)</f>
        <v>4.4337866711430253E-14</v>
      </c>
      <c r="BF103" s="14">
        <f t="shared" si="91"/>
        <v>7.3222115536967035E-13</v>
      </c>
      <c r="BG103" s="22">
        <f t="shared" si="61"/>
        <v>1.3525069634579169E-12</v>
      </c>
      <c r="BH103" s="62">
        <f t="shared" si="62"/>
        <v>293.33333333333468</v>
      </c>
      <c r="BI103" s="62">
        <f ca="1">AVERAGE(OFFSET($BH$3,0,0,'Données projet'!$E$11+1,1))-AVERAGE(OFFSET($H$3,0,0,'Données projet'!$E$11+1,1))</f>
        <v>216.95993967070063</v>
      </c>
      <c r="BJ103" s="62">
        <f t="shared" si="92"/>
        <v>208.79744153433245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303</v>
      </c>
      <c r="BW103" s="13">
        <f>VLOOKUP(A103,'Données projet'!$A$113:$I$133,9,0)</f>
        <v>4.9000000000000004</v>
      </c>
      <c r="BX103" s="13">
        <f t="array" ref="BX103">INDEX(BW:BW,MIN(IF(ISNUMBER(BW103:BW299),ROW(BW103:BW299),"")))</f>
        <v>4.9000000000000004</v>
      </c>
      <c r="BY103" s="13">
        <f>IF('Données projet'!$A$114&gt;35,BY102+BX103-CG102,IF(A103&lt;'Données projet'!$A$114,$BV$205^A103,IF(A103='Données projet'!$A$114,'Données projet'!$B$114,BY102+BX103-CG102)))</f>
        <v>302.9999999999996</v>
      </c>
      <c r="BZ103" s="14">
        <f>BY103*VLOOKUP('Données projet'!$B$12,Paramètres!$A$1:$I$89,3,0)*VLOOKUP('Données projet'!$B$12,Paramètres!$A$1:$I$89,5,0)</f>
        <v>293.06159999999966</v>
      </c>
      <c r="CA103" s="14">
        <f t="shared" si="93"/>
        <v>69.719933365116489</v>
      </c>
      <c r="CB103" s="22">
        <f t="shared" si="64"/>
        <v>631.84450394424391</v>
      </c>
      <c r="CC103" s="62">
        <f t="shared" si="65"/>
        <v>925.17783727757728</v>
      </c>
      <c r="CD103" s="62">
        <f ca="1">AVERAGE(OFFSET($CC$3,0,0,'Données projet'!$E$12+1,1))-AVERAGE(OFFSET($H$3,0,0,'Données projet'!$E$12+1,1))</f>
        <v>329.13617179625538</v>
      </c>
      <c r="CE103" s="62">
        <f t="shared" si="94"/>
        <v>186.45728006007261</v>
      </c>
      <c r="CF103" s="16">
        <f>IF(ISNA(VLOOKUP(A103,'Données projet'!$A$113:$I$133,3,0)),0,VLOOKUP(A103,'Données projet'!$A$113:$I$133,3,0))</f>
        <v>8</v>
      </c>
      <c r="CG103" s="16">
        <f>IF(ISNA(VLOOKUP(A103,'Données projet'!$A$113:$I$133,4,0)),0,VLOOKUP(A103,'Données projet'!$A$113:$I$133,4,0))</f>
        <v>42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175.05987582828078</v>
      </c>
      <c r="T104" s="62">
        <f t="shared" si="88"/>
        <v>268.54782308462387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1.2682162763334026</v>
      </c>
      <c r="AB104" s="23">
        <f>EXP(-LN(2)/2)*AB103+(1-EXP(-LN(2)/2))/(LN(2)/2)*V104*Y104*VLOOKUP('Données projet'!$B$9,Paramètres!$A$1:$I$89,3,0)*0.475*44/12</f>
        <v>2.6030952252040949E-10</v>
      </c>
      <c r="AC104" s="24">
        <f t="shared" si="57"/>
        <v>1.2682162765937122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265.39999999999958</v>
      </c>
      <c r="AJ104" s="14">
        <f>AI104*VLOOKUP('Données projet'!$B$10,Paramètres!$A$1:$I$89,3,0)*VLOOKUP('Données projet'!$B$10,Paramètres!$A$1:$I$89,5,0)</f>
        <v>240.13391999999959</v>
      </c>
      <c r="AK104" s="14">
        <f t="shared" si="89"/>
        <v>58.46834308704851</v>
      </c>
      <c r="AL104" s="22">
        <f t="shared" si="58"/>
        <v>520.06560820994207</v>
      </c>
      <c r="AM104" s="62">
        <f t="shared" si="59"/>
        <v>813.39894154327544</v>
      </c>
      <c r="AN104" s="62">
        <f ca="1">AVERAGE(OFFSET($AM$3,0,0,'Données projet'!$E$10+1,1))-AVERAGE(OFFSET($H$3,0,0,'Données projet'!$E$10+1,1))</f>
        <v>302.55602998433079</v>
      </c>
      <c r="AO104" s="62">
        <f t="shared" si="90"/>
        <v>172.32171001882188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5.6843418860808015E-14</v>
      </c>
      <c r="BE104" s="14">
        <f>BD104*VLOOKUP('Données projet'!$B$11,Paramètres!$A$1:$I$89,3,0)*VLOOKUP('Données projet'!$B$11,Paramètres!$A$1:$I$89,5,0)</f>
        <v>4.4337866711430253E-14</v>
      </c>
      <c r="BF104" s="14">
        <f t="shared" si="91"/>
        <v>7.3222115536967035E-13</v>
      </c>
      <c r="BG104" s="22">
        <f t="shared" si="61"/>
        <v>1.3525069634579169E-12</v>
      </c>
      <c r="BH104" s="62">
        <f t="shared" si="62"/>
        <v>293.33333333333468</v>
      </c>
      <c r="BI104" s="62">
        <f ca="1">AVERAGE(OFFSET($BH$3,0,0,'Données projet'!$E$11+1,1))-AVERAGE(OFFSET($H$3,0,0,'Données projet'!$E$11+1,1))</f>
        <v>216.95993967070063</v>
      </c>
      <c r="BJ104" s="62">
        <f t="shared" si="92"/>
        <v>208.79744153433245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4.4000000000000004</v>
      </c>
      <c r="BY104" s="13">
        <f>IF('Données projet'!$A$114&gt;35,BY103+BX104-CG103,IF(A104&lt;'Données projet'!$A$114,$BV$205^A104,IF(A104='Données projet'!$A$114,'Données projet'!$B$114,BY103+BX104-CG103)))</f>
        <v>265.39999999999958</v>
      </c>
      <c r="BZ104" s="14">
        <f>BY104*VLOOKUP('Données projet'!$B$12,Paramètres!$A$1:$I$89,3,0)*VLOOKUP('Données projet'!$B$12,Paramètres!$A$1:$I$89,5,0)</f>
        <v>256.69487999999961</v>
      </c>
      <c r="CA104" s="14">
        <f t="shared" si="93"/>
        <v>62.017336223177445</v>
      </c>
      <c r="CB104" s="22">
        <f t="shared" si="64"/>
        <v>555.09044325536661</v>
      </c>
      <c r="CC104" s="62">
        <f t="shared" si="65"/>
        <v>848.42377658869987</v>
      </c>
      <c r="CD104" s="62">
        <f ca="1">AVERAGE(OFFSET($CC$3,0,0,'Données projet'!$E$12+1,1))-AVERAGE(OFFSET($H$3,0,0,'Données projet'!$E$12+1,1))</f>
        <v>329.13617179625538</v>
      </c>
      <c r="CE104" s="62">
        <f t="shared" si="94"/>
        <v>186.45728006007261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175.05987582828078</v>
      </c>
      <c r="T105" s="62">
        <f t="shared" si="88"/>
        <v>268.54782308462387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1.2335368355644702</v>
      </c>
      <c r="AB105" s="23">
        <f>EXP(-LN(2)/2)*AB104+(1-EXP(-LN(2)/2))/(LN(2)/2)*V105*Y105*VLOOKUP('Données projet'!$B$9,Paramètres!$A$1:$I$89,3,0)*0.475*44/12</f>
        <v>1.8406662858161386E-10</v>
      </c>
      <c r="AC105" s="24">
        <f t="shared" si="57"/>
        <v>1.2335368357485368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269.79999999999956</v>
      </c>
      <c r="AJ105" s="14">
        <f>AI105*VLOOKUP('Données projet'!$B$10,Paramètres!$A$1:$I$89,3,0)*VLOOKUP('Données projet'!$B$10,Paramètres!$A$1:$I$89,5,0)</f>
        <v>244.11503999999957</v>
      </c>
      <c r="AK105" s="14">
        <f t="shared" si="89"/>
        <v>59.324023461758955</v>
      </c>
      <c r="AL105" s="22">
        <f t="shared" si="58"/>
        <v>528.48970219589603</v>
      </c>
      <c r="AM105" s="62">
        <f t="shared" si="59"/>
        <v>821.8230355292294</v>
      </c>
      <c r="AN105" s="62">
        <f ca="1">AVERAGE(OFFSET($AM$3,0,0,'Données projet'!$E$10+1,1))-AVERAGE(OFFSET($H$3,0,0,'Données projet'!$E$10+1,1))</f>
        <v>302.55602998433079</v>
      </c>
      <c r="AO105" s="62">
        <f t="shared" si="90"/>
        <v>172.32171001882188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5.6843418860808015E-14</v>
      </c>
      <c r="BE105" s="14">
        <f>BD105*VLOOKUP('Données projet'!$B$11,Paramètres!$A$1:$I$89,3,0)*VLOOKUP('Données projet'!$B$11,Paramètres!$A$1:$I$89,5,0)</f>
        <v>4.4337866711430253E-14</v>
      </c>
      <c r="BF105" s="14">
        <f t="shared" si="91"/>
        <v>7.3222115536967035E-13</v>
      </c>
      <c r="BG105" s="22">
        <f t="shared" si="61"/>
        <v>1.3525069634579169E-12</v>
      </c>
      <c r="BH105" s="62">
        <f t="shared" si="62"/>
        <v>293.33333333333468</v>
      </c>
      <c r="BI105" s="62">
        <f ca="1">AVERAGE(OFFSET($BH$3,0,0,'Données projet'!$E$11+1,1))-AVERAGE(OFFSET($H$3,0,0,'Données projet'!$E$11+1,1))</f>
        <v>216.95993967070063</v>
      </c>
      <c r="BJ105" s="62">
        <f t="shared" si="92"/>
        <v>208.79744153433245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4.4000000000000004</v>
      </c>
      <c r="BY105" s="13">
        <f>IF('Données projet'!$A$114&gt;35,BY104+BX105-CG104,IF(A105&lt;'Données projet'!$A$114,$BV$205^A105,IF(A105='Données projet'!$A$114,'Données projet'!$B$114,BY104+BX105-CG104)))</f>
        <v>269.79999999999956</v>
      </c>
      <c r="BZ105" s="14">
        <f>BY105*VLOOKUP('Données projet'!$B$12,Paramètres!$A$1:$I$89,3,0)*VLOOKUP('Données projet'!$B$12,Paramètres!$A$1:$I$89,5,0)</f>
        <v>260.9505599999996</v>
      </c>
      <c r="CA105" s="14">
        <f t="shared" si="93"/>
        <v>62.924955880176881</v>
      </c>
      <c r="CB105" s="22">
        <f t="shared" si="64"/>
        <v>564.08319015797395</v>
      </c>
      <c r="CC105" s="62">
        <f t="shared" si="65"/>
        <v>857.41652349130732</v>
      </c>
      <c r="CD105" s="62">
        <f ca="1">AVERAGE(OFFSET($CC$3,0,0,'Données projet'!$E$12+1,1))-AVERAGE(OFFSET($H$3,0,0,'Données projet'!$E$12+1,1))</f>
        <v>329.13617179625538</v>
      </c>
      <c r="CE105" s="62">
        <f t="shared" si="94"/>
        <v>186.45728006007261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175.05987582828078</v>
      </c>
      <c r="T106" s="62">
        <f t="shared" si="88"/>
        <v>268.54782308462387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1.1998057059270768</v>
      </c>
      <c r="AB106" s="23">
        <f>EXP(-LN(2)/2)*AB105+(1-EXP(-LN(2)/2))/(LN(2)/2)*V106*Y106*VLOOKUP('Données projet'!$B$9,Paramètres!$A$1:$I$89,3,0)*0.475*44/12</f>
        <v>1.3015476126020474E-10</v>
      </c>
      <c r="AC106" s="24">
        <f t="shared" si="57"/>
        <v>1.1998057060572316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274.19999999999953</v>
      </c>
      <c r="AJ106" s="14">
        <f>AI106*VLOOKUP('Données projet'!$B$10,Paramètres!$A$1:$I$89,3,0)*VLOOKUP('Données projet'!$B$10,Paramètres!$A$1:$I$89,5,0)</f>
        <v>248.09615999999957</v>
      </c>
      <c r="AK106" s="14">
        <f t="shared" si="89"/>
        <v>60.178080967364636</v>
      </c>
      <c r="AL106" s="22">
        <f t="shared" si="58"/>
        <v>536.910969684826</v>
      </c>
      <c r="AM106" s="62">
        <f t="shared" si="59"/>
        <v>830.24430301815937</v>
      </c>
      <c r="AN106" s="62">
        <f ca="1">AVERAGE(OFFSET($AM$3,0,0,'Données projet'!$E$10+1,1))-AVERAGE(OFFSET($H$3,0,0,'Données projet'!$E$10+1,1))</f>
        <v>302.55602998433079</v>
      </c>
      <c r="AO106" s="62">
        <f t="shared" si="90"/>
        <v>172.32171001882188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5.6843418860808015E-14</v>
      </c>
      <c r="BE106" s="14">
        <f>BD106*VLOOKUP('Données projet'!$B$11,Paramètres!$A$1:$I$89,3,0)*VLOOKUP('Données projet'!$B$11,Paramètres!$A$1:$I$89,5,0)</f>
        <v>4.4337866711430253E-14</v>
      </c>
      <c r="BF106" s="14">
        <f t="shared" si="91"/>
        <v>7.3222115536967035E-13</v>
      </c>
      <c r="BG106" s="22">
        <f t="shared" si="61"/>
        <v>1.3525069634579169E-12</v>
      </c>
      <c r="BH106" s="62">
        <f t="shared" si="62"/>
        <v>293.33333333333468</v>
      </c>
      <c r="BI106" s="62">
        <f ca="1">AVERAGE(OFFSET($BH$3,0,0,'Données projet'!$E$11+1,1))-AVERAGE(OFFSET($H$3,0,0,'Données projet'!$E$11+1,1))</f>
        <v>216.95993967070063</v>
      </c>
      <c r="BJ106" s="62">
        <f t="shared" si="92"/>
        <v>208.79744153433245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4.4000000000000004</v>
      </c>
      <c r="BY106" s="13">
        <f>IF('Données projet'!$A$114&gt;35,BY105+BX106-CG105,IF(A106&lt;'Données projet'!$A$114,$BV$205^A106,IF(A106='Données projet'!$A$114,'Données projet'!$B$114,BY105+BX106-CG105)))</f>
        <v>274.19999999999953</v>
      </c>
      <c r="BZ106" s="14">
        <f>BY106*VLOOKUP('Données projet'!$B$12,Paramètres!$A$1:$I$89,3,0)*VLOOKUP('Données projet'!$B$12,Paramètres!$A$1:$I$89,5,0)</f>
        <v>265.20623999999953</v>
      </c>
      <c r="CA106" s="14">
        <f t="shared" si="93"/>
        <v>63.83085416089633</v>
      </c>
      <c r="CB106" s="22">
        <f t="shared" si="64"/>
        <v>573.07293899689353</v>
      </c>
      <c r="CC106" s="62">
        <f t="shared" si="65"/>
        <v>866.40627233022678</v>
      </c>
      <c r="CD106" s="62">
        <f ca="1">AVERAGE(OFFSET($CC$3,0,0,'Données projet'!$E$12+1,1))-AVERAGE(OFFSET($H$3,0,0,'Données projet'!$E$12+1,1))</f>
        <v>329.13617179625538</v>
      </c>
      <c r="CE106" s="62">
        <f t="shared" si="94"/>
        <v>186.45728006007261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175.05987582828078</v>
      </c>
      <c r="T107" s="62">
        <f t="shared" si="88"/>
        <v>268.54782308462387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1.166996955803461</v>
      </c>
      <c r="AB107" s="23">
        <f>EXP(-LN(2)/2)*AB106+(1-EXP(-LN(2)/2))/(LN(2)/2)*V107*Y107*VLOOKUP('Données projet'!$B$9,Paramètres!$A$1:$I$89,3,0)*0.475*44/12</f>
        <v>9.2033314290806929E-11</v>
      </c>
      <c r="AC107" s="24">
        <f t="shared" si="57"/>
        <v>1.1669969558954942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278.59999999999951</v>
      </c>
      <c r="AJ107" s="14">
        <f>AI107*VLOOKUP('Données projet'!$B$10,Paramètres!$A$1:$I$89,3,0)*VLOOKUP('Données projet'!$B$10,Paramètres!$A$1:$I$89,5,0)</f>
        <v>252.07727999999955</v>
      </c>
      <c r="AK107" s="14">
        <f t="shared" si="89"/>
        <v>61.03054465215488</v>
      </c>
      <c r="AL107" s="22">
        <f t="shared" si="58"/>
        <v>545.32946126916897</v>
      </c>
      <c r="AM107" s="62">
        <f t="shared" si="59"/>
        <v>838.66279460250234</v>
      </c>
      <c r="AN107" s="62">
        <f ca="1">AVERAGE(OFFSET($AM$3,0,0,'Données projet'!$E$10+1,1))-AVERAGE(OFFSET($H$3,0,0,'Données projet'!$E$10+1,1))</f>
        <v>302.55602998433079</v>
      </c>
      <c r="AO107" s="62">
        <f t="shared" si="90"/>
        <v>172.32171001882188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5.6843418860808015E-14</v>
      </c>
      <c r="BE107" s="14">
        <f>BD107*VLOOKUP('Données projet'!$B$11,Paramètres!$A$1:$I$89,3,0)*VLOOKUP('Données projet'!$B$11,Paramètres!$A$1:$I$89,5,0)</f>
        <v>4.4337866711430253E-14</v>
      </c>
      <c r="BF107" s="14">
        <f t="shared" si="91"/>
        <v>7.3222115536967035E-13</v>
      </c>
      <c r="BG107" s="22">
        <f t="shared" si="61"/>
        <v>1.3525069634579169E-12</v>
      </c>
      <c r="BH107" s="62">
        <f t="shared" si="62"/>
        <v>293.33333333333468</v>
      </c>
      <c r="BI107" s="62">
        <f ca="1">AVERAGE(OFFSET($BH$3,0,0,'Données projet'!$E$11+1,1))-AVERAGE(OFFSET($H$3,0,0,'Données projet'!$E$11+1,1))</f>
        <v>216.95993967070063</v>
      </c>
      <c r="BJ107" s="62">
        <f t="shared" si="92"/>
        <v>208.79744153433245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4.4000000000000004</v>
      </c>
      <c r="BY107" s="13">
        <f>IF('Données projet'!$A$114&gt;35,BY106+BX107-CG106,IF(A107&lt;'Données projet'!$A$114,$BV$205^A107,IF(A107='Données projet'!$A$114,'Données projet'!$B$114,BY106+BX107-CG106)))</f>
        <v>278.59999999999951</v>
      </c>
      <c r="BZ107" s="14">
        <f>BY107*VLOOKUP('Données projet'!$B$12,Paramètres!$A$1:$I$89,3,0)*VLOOKUP('Données projet'!$B$12,Paramètres!$A$1:$I$89,5,0)</f>
        <v>269.46191999999951</v>
      </c>
      <c r="CA107" s="14">
        <f t="shared" si="93"/>
        <v>64.735061876838998</v>
      </c>
      <c r="CB107" s="22">
        <f t="shared" si="64"/>
        <v>582.0597434354936</v>
      </c>
      <c r="CC107" s="62">
        <f t="shared" si="65"/>
        <v>875.39307676882686</v>
      </c>
      <c r="CD107" s="62">
        <f ca="1">AVERAGE(OFFSET($CC$3,0,0,'Données projet'!$E$12+1,1))-AVERAGE(OFFSET($H$3,0,0,'Données projet'!$E$12+1,1))</f>
        <v>329.13617179625538</v>
      </c>
      <c r="CE107" s="62">
        <f t="shared" si="94"/>
        <v>186.45728006007261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175.05987582828078</v>
      </c>
      <c r="T108" s="62">
        <f t="shared" si="88"/>
        <v>268.54782308462387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1.1350853626773125</v>
      </c>
      <c r="AB108" s="23">
        <f>EXP(-LN(2)/2)*AB107+(1-EXP(-LN(2)/2))/(LN(2)/2)*V108*Y108*VLOOKUP('Données projet'!$B$9,Paramètres!$A$1:$I$89,3,0)*0.475*44/12</f>
        <v>6.5077380630102372E-11</v>
      </c>
      <c r="AC108" s="24">
        <f t="shared" si="57"/>
        <v>1.1350853627423898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282.99999999999949</v>
      </c>
      <c r="AJ108" s="14">
        <f>AI108*VLOOKUP('Données projet'!$B$10,Paramètres!$A$1:$I$89,3,0)*VLOOKUP('Données projet'!$B$10,Paramètres!$A$1:$I$89,5,0)</f>
        <v>256.05839999999955</v>
      </c>
      <c r="AK108" s="14">
        <f t="shared" si="89"/>
        <v>61.881442594256377</v>
      </c>
      <c r="AL108" s="22">
        <f t="shared" si="58"/>
        <v>553.74522585166233</v>
      </c>
      <c r="AM108" s="62">
        <f t="shared" si="59"/>
        <v>847.07855918499558</v>
      </c>
      <c r="AN108" s="62">
        <f ca="1">AVERAGE(OFFSET($AM$3,0,0,'Données projet'!$E$10+1,1))-AVERAGE(OFFSET($H$3,0,0,'Données projet'!$E$10+1,1))</f>
        <v>302.55602998433079</v>
      </c>
      <c r="AO108" s="62">
        <f t="shared" si="90"/>
        <v>172.32171001882188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5.6843418860808015E-14</v>
      </c>
      <c r="BE108" s="14">
        <f>BD108*VLOOKUP('Données projet'!$B$11,Paramètres!$A$1:$I$89,3,0)*VLOOKUP('Données projet'!$B$11,Paramètres!$A$1:$I$89,5,0)</f>
        <v>4.4337866711430253E-14</v>
      </c>
      <c r="BF108" s="14">
        <f t="shared" si="91"/>
        <v>7.3222115536967035E-13</v>
      </c>
      <c r="BG108" s="22">
        <f t="shared" si="61"/>
        <v>1.3525069634579169E-12</v>
      </c>
      <c r="BH108" s="62">
        <f t="shared" si="62"/>
        <v>293.33333333333468</v>
      </c>
      <c r="BI108" s="62">
        <f ca="1">AVERAGE(OFFSET($BH$3,0,0,'Données projet'!$E$11+1,1))-AVERAGE(OFFSET($H$3,0,0,'Données projet'!$E$11+1,1))</f>
        <v>216.95993967070063</v>
      </c>
      <c r="BJ108" s="62">
        <f t="shared" si="92"/>
        <v>208.79744153433245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4.4000000000000004</v>
      </c>
      <c r="BY108" s="13">
        <f>IF('Données projet'!$A$114&gt;35,BY107+BX108-CG107,IF(A108&lt;'Données projet'!$A$114,$BV$205^A108,IF(A108='Données projet'!$A$114,'Données projet'!$B$114,BY107+BX108-CG107)))</f>
        <v>282.99999999999949</v>
      </c>
      <c r="BZ108" s="14">
        <f>BY108*VLOOKUP('Données projet'!$B$12,Paramètres!$A$1:$I$89,3,0)*VLOOKUP('Données projet'!$B$12,Paramètres!$A$1:$I$89,5,0)</f>
        <v>273.71759999999955</v>
      </c>
      <c r="CA108" s="14">
        <f t="shared" si="93"/>
        <v>65.637608810456612</v>
      </c>
      <c r="CB108" s="22">
        <f t="shared" si="64"/>
        <v>591.04365534487772</v>
      </c>
      <c r="CC108" s="62">
        <f t="shared" si="65"/>
        <v>884.37698867821109</v>
      </c>
      <c r="CD108" s="62">
        <f ca="1">AVERAGE(OFFSET($CC$3,0,0,'Données projet'!$E$12+1,1))-AVERAGE(OFFSET($H$3,0,0,'Données projet'!$E$12+1,1))</f>
        <v>329.13617179625538</v>
      </c>
      <c r="CE108" s="62">
        <f t="shared" si="94"/>
        <v>186.45728006007261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175.05987582828078</v>
      </c>
      <c r="T109" s="62">
        <f t="shared" si="88"/>
        <v>268.54782308462387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1.1040463937433564</v>
      </c>
      <c r="AB109" s="23">
        <f>EXP(-LN(2)/2)*AB108+(1-EXP(-LN(2)/2))/(LN(2)/2)*V109*Y109*VLOOKUP('Données projet'!$B$9,Paramètres!$A$1:$I$89,3,0)*0.475*44/12</f>
        <v>4.6016657145403465E-11</v>
      </c>
      <c r="AC109" s="24">
        <f t="shared" si="57"/>
        <v>1.1040463937893732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4.4000000000000004</v>
      </c>
      <c r="AI109" s="14">
        <f>IF('Données projet'!$A$62&gt;35,AI108+AH109-AQ108,IF(A109&lt;'Données projet'!$A$62,$AF$205^A109,IF(A109='Données projet'!$A$62,'Données projet'!$B$62,AI108+AH109-AQ108)))</f>
        <v>287.39999999999947</v>
      </c>
      <c r="AJ109" s="14">
        <f>AI109*VLOOKUP('Données projet'!$B$10,Paramètres!$A$1:$I$89,3,0)*VLOOKUP('Données projet'!$B$10,Paramètres!$A$1:$I$89,5,0)</f>
        <v>260.03951999999947</v>
      </c>
      <c r="AK109" s="14">
        <f t="shared" si="89"/>
        <v>62.730801948604764</v>
      </c>
      <c r="AL109" s="22">
        <f t="shared" si="58"/>
        <v>562.1583107271523</v>
      </c>
      <c r="AM109" s="62">
        <f t="shared" si="59"/>
        <v>855.49164406048567</v>
      </c>
      <c r="AN109" s="62">
        <f ca="1">AVERAGE(OFFSET($AM$3,0,0,'Données projet'!$E$10+1,1))-AVERAGE(OFFSET($H$3,0,0,'Données projet'!$E$10+1,1))</f>
        <v>302.55602998433079</v>
      </c>
      <c r="AO109" s="62">
        <f t="shared" si="90"/>
        <v>172.32171001882188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5.6843418860808015E-14</v>
      </c>
      <c r="BE109" s="14">
        <f>BD109*VLOOKUP('Données projet'!$B$11,Paramètres!$A$1:$I$89,3,0)*VLOOKUP('Données projet'!$B$11,Paramètres!$A$1:$I$89,5,0)</f>
        <v>4.4337866711430253E-14</v>
      </c>
      <c r="BF109" s="14">
        <f t="shared" si="91"/>
        <v>7.3222115536967035E-13</v>
      </c>
      <c r="BG109" s="22">
        <f t="shared" si="61"/>
        <v>1.3525069634579169E-12</v>
      </c>
      <c r="BH109" s="62">
        <f t="shared" si="62"/>
        <v>293.33333333333468</v>
      </c>
      <c r="BI109" s="62">
        <f ca="1">AVERAGE(OFFSET($BH$3,0,0,'Données projet'!$E$11+1,1))-AVERAGE(OFFSET($H$3,0,0,'Données projet'!$E$11+1,1))</f>
        <v>216.95993967070063</v>
      </c>
      <c r="BJ109" s="62">
        <f t="shared" si="92"/>
        <v>208.79744153433245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4.4000000000000004</v>
      </c>
      <c r="BY109" s="13">
        <f>IF('Données projet'!$A$114&gt;35,BY108+BX109-CG108,IF(A109&lt;'Données projet'!$A$114,$BV$205^A109,IF(A109='Données projet'!$A$114,'Données projet'!$B$114,BY108+BX109-CG108)))</f>
        <v>287.39999999999947</v>
      </c>
      <c r="BZ109" s="14">
        <f>BY109*VLOOKUP('Données projet'!$B$12,Paramètres!$A$1:$I$89,3,0)*VLOOKUP('Données projet'!$B$12,Paramètres!$A$1:$I$89,5,0)</f>
        <v>277.97327999999948</v>
      </c>
      <c r="CA109" s="14">
        <f t="shared" si="93"/>
        <v>66.538523764973078</v>
      </c>
      <c r="CB109" s="22">
        <f t="shared" si="64"/>
        <v>600.02472489066054</v>
      </c>
      <c r="CC109" s="62">
        <f t="shared" si="65"/>
        <v>893.35805822399379</v>
      </c>
      <c r="CD109" s="62">
        <f ca="1">AVERAGE(OFFSET($CC$3,0,0,'Données projet'!$E$12+1,1))-AVERAGE(OFFSET($H$3,0,0,'Données projet'!$E$12+1,1))</f>
        <v>329.13617179625538</v>
      </c>
      <c r="CE109" s="62">
        <f t="shared" si="94"/>
        <v>186.45728006007261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175.05987582828078</v>
      </c>
      <c r="T110" s="62">
        <f t="shared" si="88"/>
        <v>268.54782308462387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1.0738561870471679</v>
      </c>
      <c r="AB110" s="23">
        <f>EXP(-LN(2)/2)*AB109+(1-EXP(-LN(2)/2))/(LN(2)/2)*V110*Y110*VLOOKUP('Données projet'!$B$9,Paramètres!$A$1:$I$89,3,0)*0.475*44/12</f>
        <v>3.2538690315051186E-11</v>
      </c>
      <c r="AC110" s="24">
        <f t="shared" si="57"/>
        <v>1.0738561870797065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4.4000000000000004</v>
      </c>
      <c r="AI110" s="14">
        <f>IF('Données projet'!$A$62&gt;35,AI109+AH110-AQ109,IF(A110&lt;'Données projet'!$A$62,$AF$205^A110,IF(A110='Données projet'!$A$62,'Données projet'!$B$62,AI109+AH110-AQ109)))</f>
        <v>291.79999999999944</v>
      </c>
      <c r="AJ110" s="14">
        <f>AI110*VLOOKUP('Données projet'!$B$10,Paramètres!$A$1:$I$89,3,0)*VLOOKUP('Données projet'!$B$10,Paramètres!$A$1:$I$89,5,0)</f>
        <v>264.0206399999995</v>
      </c>
      <c r="AK110" s="14">
        <f t="shared" si="89"/>
        <v>63.57864899095906</v>
      </c>
      <c r="AL110" s="22">
        <f t="shared" si="58"/>
        <v>570.56876165925269</v>
      </c>
      <c r="AM110" s="62">
        <f t="shared" si="59"/>
        <v>863.90209499258594</v>
      </c>
      <c r="AN110" s="62">
        <f ca="1">AVERAGE(OFFSET($AM$3,0,0,'Données projet'!$E$10+1,1))-AVERAGE(OFFSET($H$3,0,0,'Données projet'!$E$10+1,1))</f>
        <v>302.55602998433079</v>
      </c>
      <c r="AO110" s="62">
        <f t="shared" si="90"/>
        <v>172.32171001882188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5.6843418860808015E-14</v>
      </c>
      <c r="BE110" s="14">
        <f>BD110*VLOOKUP('Données projet'!$B$11,Paramètres!$A$1:$I$89,3,0)*VLOOKUP('Données projet'!$B$11,Paramètres!$A$1:$I$89,5,0)</f>
        <v>4.4337866711430253E-14</v>
      </c>
      <c r="BF110" s="14">
        <f t="shared" si="91"/>
        <v>7.3222115536967035E-13</v>
      </c>
      <c r="BG110" s="22">
        <f t="shared" si="61"/>
        <v>1.3525069634579169E-12</v>
      </c>
      <c r="BH110" s="62">
        <f t="shared" si="62"/>
        <v>293.33333333333468</v>
      </c>
      <c r="BI110" s="62">
        <f ca="1">AVERAGE(OFFSET($BH$3,0,0,'Données projet'!$E$11+1,1))-AVERAGE(OFFSET($H$3,0,0,'Données projet'!$E$11+1,1))</f>
        <v>216.95993967070063</v>
      </c>
      <c r="BJ110" s="62">
        <f t="shared" si="92"/>
        <v>208.79744153433245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4.4000000000000004</v>
      </c>
      <c r="BY110" s="13">
        <f>IF('Données projet'!$A$114&gt;35,BY109+BX110-CG109,IF(A110&lt;'Données projet'!$A$114,$BV$205^A110,IF(A110='Données projet'!$A$114,'Données projet'!$B$114,BY109+BX110-CG109)))</f>
        <v>291.79999999999944</v>
      </c>
      <c r="BZ110" s="14">
        <f>BY110*VLOOKUP('Données projet'!$B$12,Paramètres!$A$1:$I$89,3,0)*VLOOKUP('Données projet'!$B$12,Paramètres!$A$1:$I$89,5,0)</f>
        <v>282.22895999999946</v>
      </c>
      <c r="CA110" s="14">
        <f t="shared" si="93"/>
        <v>67.437834611070244</v>
      </c>
      <c r="CB110" s="22">
        <f t="shared" si="64"/>
        <v>609.0030006142797</v>
      </c>
      <c r="CC110" s="62">
        <f t="shared" si="65"/>
        <v>902.33633394761296</v>
      </c>
      <c r="CD110" s="62">
        <f ca="1">AVERAGE(OFFSET($CC$3,0,0,'Données projet'!$E$12+1,1))-AVERAGE(OFFSET($H$3,0,0,'Données projet'!$E$12+1,1))</f>
        <v>329.13617179625538</v>
      </c>
      <c r="CE110" s="62">
        <f t="shared" si="94"/>
        <v>186.45728006007261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175.05987582828078</v>
      </c>
      <c r="T111" s="62">
        <f t="shared" si="88"/>
        <v>268.54782308462387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1.0444915331407205</v>
      </c>
      <c r="AB111" s="23">
        <f>EXP(-LN(2)/2)*AB110+(1-EXP(-LN(2)/2))/(LN(2)/2)*V111*Y111*VLOOKUP('Données projet'!$B$9,Paramètres!$A$1:$I$89,3,0)*0.475*44/12</f>
        <v>2.3008328572701732E-11</v>
      </c>
      <c r="AC111" s="24">
        <f t="shared" si="57"/>
        <v>1.0444915331637288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4.4000000000000004</v>
      </c>
      <c r="AI111" s="14">
        <f>IF('Données projet'!$A$62&gt;35,AI110+AH111-AQ110,IF(A111&lt;'Données projet'!$A$62,$AF$205^A111,IF(A111='Données projet'!$A$62,'Données projet'!$B$62,AI110+AH111-AQ110)))</f>
        <v>296.19999999999942</v>
      </c>
      <c r="AJ111" s="14">
        <f>AI111*VLOOKUP('Données projet'!$B$10,Paramètres!$A$1:$I$89,3,0)*VLOOKUP('Données projet'!$B$10,Paramètres!$A$1:$I$89,5,0)</f>
        <v>268.00175999999948</v>
      </c>
      <c r="AK111" s="14">
        <f t="shared" si="89"/>
        <v>64.425009159185521</v>
      </c>
      <c r="AL111" s="22">
        <f t="shared" si="58"/>
        <v>578.97662295224723</v>
      </c>
      <c r="AM111" s="62">
        <f t="shared" si="59"/>
        <v>872.30995628558048</v>
      </c>
      <c r="AN111" s="62">
        <f ca="1">AVERAGE(OFFSET($AM$3,0,0,'Données projet'!$E$10+1,1))-AVERAGE(OFFSET($H$3,0,0,'Données projet'!$E$10+1,1))</f>
        <v>302.55602998433079</v>
      </c>
      <c r="AO111" s="62">
        <f t="shared" si="90"/>
        <v>172.32171001882188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5.6843418860808015E-14</v>
      </c>
      <c r="BE111" s="14">
        <f>BD111*VLOOKUP('Données projet'!$B$11,Paramètres!$A$1:$I$89,3,0)*VLOOKUP('Données projet'!$B$11,Paramètres!$A$1:$I$89,5,0)</f>
        <v>4.4337866711430253E-14</v>
      </c>
      <c r="BF111" s="14">
        <f t="shared" si="91"/>
        <v>7.3222115536967035E-13</v>
      </c>
      <c r="BG111" s="22">
        <f t="shared" si="61"/>
        <v>1.3525069634579169E-12</v>
      </c>
      <c r="BH111" s="62">
        <f t="shared" si="62"/>
        <v>293.33333333333468</v>
      </c>
      <c r="BI111" s="62">
        <f ca="1">AVERAGE(OFFSET($BH$3,0,0,'Données projet'!$E$11+1,1))-AVERAGE(OFFSET($H$3,0,0,'Données projet'!$E$11+1,1))</f>
        <v>216.95993967070063</v>
      </c>
      <c r="BJ111" s="62">
        <f t="shared" si="92"/>
        <v>208.79744153433245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4.4000000000000004</v>
      </c>
      <c r="BY111" s="13">
        <f>IF('Données projet'!$A$114&gt;35,BY110+BX111-CG110,IF(A111&lt;'Données projet'!$A$114,$BV$205^A111,IF(A111='Données projet'!$A$114,'Données projet'!$B$114,BY110+BX111-CG110)))</f>
        <v>296.19999999999942</v>
      </c>
      <c r="BZ111" s="14">
        <f>BY111*VLOOKUP('Données projet'!$B$12,Paramètres!$A$1:$I$89,3,0)*VLOOKUP('Données projet'!$B$12,Paramètres!$A$1:$I$89,5,0)</f>
        <v>286.48463999999944</v>
      </c>
      <c r="CA111" s="14">
        <f t="shared" si="93"/>
        <v>68.335568330677376</v>
      </c>
      <c r="CB111" s="22">
        <f t="shared" si="64"/>
        <v>617.97852950926199</v>
      </c>
      <c r="CC111" s="62">
        <f t="shared" si="65"/>
        <v>911.31186284259525</v>
      </c>
      <c r="CD111" s="62">
        <f ca="1">AVERAGE(OFFSET($CC$3,0,0,'Données projet'!$E$12+1,1))-AVERAGE(OFFSET($H$3,0,0,'Données projet'!$E$12+1,1))</f>
        <v>329.13617179625538</v>
      </c>
      <c r="CE111" s="62">
        <f t="shared" si="94"/>
        <v>186.45728006007261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175.05987582828078</v>
      </c>
      <c r="T112" s="62">
        <f t="shared" si="88"/>
        <v>268.54782308462387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1.015929857239565</v>
      </c>
      <c r="AB112" s="23">
        <f>EXP(-LN(2)/2)*AB111+(1-EXP(-LN(2)/2))/(LN(2)/2)*V112*Y112*VLOOKUP('Données projet'!$B$9,Paramètres!$A$1:$I$89,3,0)*0.475*44/12</f>
        <v>1.6269345157525593E-11</v>
      </c>
      <c r="AC112" s="24">
        <f t="shared" si="57"/>
        <v>1.0159298572558344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4.4000000000000004</v>
      </c>
      <c r="AI112" s="14">
        <f>IF('Données projet'!$A$62&gt;35,AI111+AH112-AQ111,IF(A112&lt;'Données projet'!$A$62,$AF$205^A112,IF(A112='Données projet'!$A$62,'Données projet'!$B$62,AI111+AH112-AQ111)))</f>
        <v>300.5999999999994</v>
      </c>
      <c r="AJ112" s="14">
        <f>AI112*VLOOKUP('Données projet'!$B$10,Paramètres!$A$1:$I$89,3,0)*VLOOKUP('Données projet'!$B$10,Paramètres!$A$1:$I$89,5,0)</f>
        <v>271.98287999999945</v>
      </c>
      <c r="AK112" s="14">
        <f t="shared" si="89"/>
        <v>65.269907092018627</v>
      </c>
      <c r="AL112" s="22">
        <f t="shared" si="58"/>
        <v>587.38193751859819</v>
      </c>
      <c r="AM112" s="62">
        <f t="shared" si="59"/>
        <v>880.71527085193156</v>
      </c>
      <c r="AN112" s="62">
        <f ca="1">AVERAGE(OFFSET($AM$3,0,0,'Données projet'!$E$10+1,1))-AVERAGE(OFFSET($H$3,0,0,'Données projet'!$E$10+1,1))</f>
        <v>302.55602998433079</v>
      </c>
      <c r="AO112" s="62">
        <f t="shared" si="90"/>
        <v>172.32171001882188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5.6843418860808015E-14</v>
      </c>
      <c r="BE112" s="14">
        <f>BD112*VLOOKUP('Données projet'!$B$11,Paramètres!$A$1:$I$89,3,0)*VLOOKUP('Données projet'!$B$11,Paramètres!$A$1:$I$89,5,0)</f>
        <v>4.4337866711430253E-14</v>
      </c>
      <c r="BF112" s="14">
        <f t="shared" si="91"/>
        <v>7.3222115536967035E-13</v>
      </c>
      <c r="BG112" s="22">
        <f t="shared" si="61"/>
        <v>1.3525069634579169E-12</v>
      </c>
      <c r="BH112" s="62">
        <f t="shared" si="62"/>
        <v>293.33333333333468</v>
      </c>
      <c r="BI112" s="62">
        <f ca="1">AVERAGE(OFFSET($BH$3,0,0,'Données projet'!$E$11+1,1))-AVERAGE(OFFSET($H$3,0,0,'Données projet'!$E$11+1,1))</f>
        <v>216.95993967070063</v>
      </c>
      <c r="BJ112" s="62">
        <f t="shared" si="92"/>
        <v>208.79744153433245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4.4000000000000004</v>
      </c>
      <c r="BY112" s="13">
        <f>IF('Données projet'!$A$114&gt;35,BY111+BX112-CG111,IF(A112&lt;'Données projet'!$A$114,$BV$205^A112,IF(A112='Données projet'!$A$114,'Données projet'!$B$114,BY111+BX112-CG111)))</f>
        <v>300.5999999999994</v>
      </c>
      <c r="BZ112" s="14">
        <f>BY112*VLOOKUP('Données projet'!$B$12,Paramètres!$A$1:$I$89,3,0)*VLOOKUP('Données projet'!$B$12,Paramètres!$A$1:$I$89,5,0)</f>
        <v>290.74031999999943</v>
      </c>
      <c r="CA112" s="14">
        <f t="shared" si="93"/>
        <v>69.23175105808545</v>
      </c>
      <c r="CB112" s="22">
        <f t="shared" si="64"/>
        <v>626.95135709283113</v>
      </c>
      <c r="CC112" s="62">
        <f t="shared" si="65"/>
        <v>920.28469042616439</v>
      </c>
      <c r="CD112" s="62">
        <f ca="1">AVERAGE(OFFSET($CC$3,0,0,'Données projet'!$E$12+1,1))-AVERAGE(OFFSET($H$3,0,0,'Données projet'!$E$12+1,1))</f>
        <v>329.13617179625538</v>
      </c>
      <c r="CE112" s="62">
        <f t="shared" si="94"/>
        <v>186.45728006007261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175.05987582828078</v>
      </c>
      <c r="T113" s="62">
        <f t="shared" si="88"/>
        <v>268.54782308462387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0.98814920186791977</v>
      </c>
      <c r="AB113" s="23">
        <f>EXP(-LN(2)/2)*AB112+(1-EXP(-LN(2)/2))/(LN(2)/2)*V113*Y113*VLOOKUP('Données projet'!$B$9,Paramètres!$A$1:$I$89,3,0)*0.475*44/12</f>
        <v>1.1504164286350866E-11</v>
      </c>
      <c r="AC113" s="24">
        <f t="shared" si="57"/>
        <v>0.9881492018794239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4.4000000000000004</v>
      </c>
      <c r="AH113" s="13">
        <f t="array" ref="AH113">INDEX(AG:AG,MIN(IF(ISNUMBER(AG113:AG309),ROW(AG113:AG309),"")))</f>
        <v>4.4000000000000004</v>
      </c>
      <c r="AI113" s="14">
        <f>IF('Données projet'!$A$62&gt;35,AI112+AH113-AQ112,IF(A113&lt;'Données projet'!$A$62,$AF$205^A113,IF(A113='Données projet'!$A$62,'Données projet'!$B$62,AI112+AH113-AQ112)))</f>
        <v>304.99999999999937</v>
      </c>
      <c r="AJ113" s="14">
        <f>AI113*VLOOKUP('Données projet'!$B$10,Paramètres!$A$1:$I$89,3,0)*VLOOKUP('Données projet'!$B$10,Paramètres!$A$1:$I$89,5,0)</f>
        <v>275.96399999999943</v>
      </c>
      <c r="AK113" s="14">
        <f t="shared" si="89"/>
        <v>66.113366665488797</v>
      </c>
      <c r="AL113" s="22">
        <f t="shared" si="58"/>
        <v>595.78474694239196</v>
      </c>
      <c r="AM113" s="62">
        <f t="shared" si="59"/>
        <v>889.11808027572533</v>
      </c>
      <c r="AN113" s="62">
        <f ca="1">AVERAGE(OFFSET($AM$3,0,0,'Données projet'!$E$10+1,1))-AVERAGE(OFFSET($H$3,0,0,'Données projet'!$E$10+1,1))</f>
        <v>302.55602998433079</v>
      </c>
      <c r="AO113" s="62">
        <f t="shared" si="90"/>
        <v>172.32171001882188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5.6843418860808015E-14</v>
      </c>
      <c r="BE113" s="14">
        <f>BD113*VLOOKUP('Données projet'!$B$11,Paramètres!$A$1:$I$89,3,0)*VLOOKUP('Données projet'!$B$11,Paramètres!$A$1:$I$89,5,0)</f>
        <v>4.4337866711430253E-14</v>
      </c>
      <c r="BF113" s="14">
        <f t="shared" si="91"/>
        <v>7.3222115536967035E-13</v>
      </c>
      <c r="BG113" s="22">
        <f t="shared" si="61"/>
        <v>1.3525069634579169E-12</v>
      </c>
      <c r="BH113" s="62">
        <f t="shared" si="62"/>
        <v>293.33333333333468</v>
      </c>
      <c r="BI113" s="62">
        <f ca="1">AVERAGE(OFFSET($BH$3,0,0,'Données projet'!$E$11+1,1))-AVERAGE(OFFSET($H$3,0,0,'Données projet'!$E$11+1,1))</f>
        <v>216.95993967070063</v>
      </c>
      <c r="BJ113" s="62">
        <f t="shared" si="92"/>
        <v>208.79744153433245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305</v>
      </c>
      <c r="BW113" s="13">
        <f>VLOOKUP(A113,'Données projet'!$A$113:$I$133,9,0)</f>
        <v>4.4000000000000004</v>
      </c>
      <c r="BX113" s="13">
        <f t="array" ref="BX113">INDEX(BW:BW,MIN(IF(ISNUMBER(BW113:BW309),ROW(BW113:BW309),"")))</f>
        <v>4.4000000000000004</v>
      </c>
      <c r="BY113" s="13">
        <f>IF('Données projet'!$A$114&gt;35,BY112+BX113-CG112,IF(A113&lt;'Données projet'!$A$114,$BV$205^A113,IF(A113='Données projet'!$A$114,'Données projet'!$B$114,BY112+BX113-CG112)))</f>
        <v>304.99999999999937</v>
      </c>
      <c r="BZ113" s="14">
        <f>BY113*VLOOKUP('Données projet'!$B$12,Paramètres!$A$1:$I$89,3,0)*VLOOKUP('Données projet'!$B$12,Paramètres!$A$1:$I$89,5,0)</f>
        <v>294.99599999999941</v>
      </c>
      <c r="CA113" s="14">
        <f t="shared" si="93"/>
        <v>70.12640811858526</v>
      </c>
      <c r="CB113" s="22">
        <f t="shared" si="64"/>
        <v>635.92152747320154</v>
      </c>
      <c r="CC113" s="62">
        <f t="shared" si="65"/>
        <v>929.25486080653491</v>
      </c>
      <c r="CD113" s="62">
        <f ca="1">AVERAGE(OFFSET($CC$3,0,0,'Données projet'!$E$12+1,1))-AVERAGE(OFFSET($H$3,0,0,'Données projet'!$E$12+1,1))</f>
        <v>329.13617179625538</v>
      </c>
      <c r="CE113" s="62">
        <f t="shared" si="94"/>
        <v>186.45728006007261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39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175.05987582828078</v>
      </c>
      <c r="T114" s="62">
        <f t="shared" si="88"/>
        <v>268.54782308462387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0.96112820997833337</v>
      </c>
      <c r="AB114" s="23">
        <f>EXP(-LN(2)/2)*AB113+(1-EXP(-LN(2)/2))/(LN(2)/2)*V114*Y114*VLOOKUP('Données projet'!$B$9,Paramètres!$A$1:$I$89,3,0)*0.475*44/12</f>
        <v>8.1346725787627965E-12</v>
      </c>
      <c r="AC114" s="24">
        <f t="shared" si="57"/>
        <v>0.96112820998646809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3.7</v>
      </c>
      <c r="AI114" s="14">
        <f>IF('Données projet'!$A$62&gt;35,AI113+AH114-AQ113,IF(A114&lt;'Données projet'!$A$62,$AF$205^A114,IF(A114='Données projet'!$A$62,'Données projet'!$B$62,AI113+AH114-AQ113)))</f>
        <v>269.69999999999936</v>
      </c>
      <c r="AJ114" s="14">
        <f>AI114*VLOOKUP('Données projet'!$B$10,Paramètres!$A$1:$I$89,3,0)*VLOOKUP('Données projet'!$B$10,Paramètres!$A$1:$I$89,5,0)</f>
        <v>244.02455999999941</v>
      </c>
      <c r="AK114" s="14">
        <f t="shared" si="89"/>
        <v>59.304594314969179</v>
      </c>
      <c r="AL114" s="22">
        <f t="shared" si="58"/>
        <v>528.29827709857034</v>
      </c>
      <c r="AM114" s="62">
        <f t="shared" si="59"/>
        <v>821.63161043190371</v>
      </c>
      <c r="AN114" s="62">
        <f ca="1">AVERAGE(OFFSET($AM$3,0,0,'Données projet'!$E$10+1,1))-AVERAGE(OFFSET($H$3,0,0,'Données projet'!$E$10+1,1))</f>
        <v>302.55602998433079</v>
      </c>
      <c r="AO114" s="62">
        <f t="shared" si="90"/>
        <v>172.32171001882188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5.6843418860808015E-14</v>
      </c>
      <c r="BE114" s="14">
        <f>BD114*VLOOKUP('Données projet'!$B$11,Paramètres!$A$1:$I$89,3,0)*VLOOKUP('Données projet'!$B$11,Paramètres!$A$1:$I$89,5,0)</f>
        <v>4.4337866711430253E-14</v>
      </c>
      <c r="BF114" s="14">
        <f t="shared" si="91"/>
        <v>7.3222115536967035E-13</v>
      </c>
      <c r="BG114" s="22">
        <f t="shared" si="61"/>
        <v>1.3525069634579169E-12</v>
      </c>
      <c r="BH114" s="62">
        <f t="shared" si="62"/>
        <v>293.33333333333468</v>
      </c>
      <c r="BI114" s="62">
        <f ca="1">AVERAGE(OFFSET($BH$3,0,0,'Données projet'!$E$11+1,1))-AVERAGE(OFFSET($H$3,0,0,'Données projet'!$E$11+1,1))</f>
        <v>216.95993967070063</v>
      </c>
      <c r="BJ114" s="62">
        <f t="shared" si="92"/>
        <v>208.79744153433245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3.7</v>
      </c>
      <c r="BY114" s="13">
        <f>IF('Données projet'!$A$114&gt;35,BY113+BX114-CG113,IF(A114&lt;'Données projet'!$A$114,$BV$205^A114,IF(A114='Données projet'!$A$114,'Données projet'!$B$114,BY113+BX114-CG113)))</f>
        <v>269.69999999999936</v>
      </c>
      <c r="BZ114" s="14">
        <f>BY114*VLOOKUP('Données projet'!$B$12,Paramètres!$A$1:$I$89,3,0)*VLOOKUP('Données projet'!$B$12,Paramètres!$A$1:$I$89,5,0)</f>
        <v>260.85383999999937</v>
      </c>
      <c r="CA114" s="14">
        <f t="shared" si="93"/>
        <v>62.904347395903592</v>
      </c>
      <c r="CB114" s="22">
        <f t="shared" si="64"/>
        <v>563.87884304786428</v>
      </c>
      <c r="CC114" s="62">
        <f t="shared" si="65"/>
        <v>857.21217638119765</v>
      </c>
      <c r="CD114" s="62">
        <f ca="1">AVERAGE(OFFSET($CC$3,0,0,'Données projet'!$E$12+1,1))-AVERAGE(OFFSET($H$3,0,0,'Données projet'!$E$12+1,1))</f>
        <v>329.13617179625538</v>
      </c>
      <c r="CE114" s="62">
        <f t="shared" si="94"/>
        <v>186.45728006007261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175.05987582828078</v>
      </c>
      <c r="T115" s="62">
        <f t="shared" si="88"/>
        <v>268.54782308462387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0.93484610853293992</v>
      </c>
      <c r="AB115" s="23">
        <f>EXP(-LN(2)/2)*AB114+(1-EXP(-LN(2)/2))/(LN(2)/2)*V115*Y115*VLOOKUP('Données projet'!$B$9,Paramètres!$A$1:$I$89,3,0)*0.475*44/12</f>
        <v>5.7520821431754331E-12</v>
      </c>
      <c r="AC115" s="24">
        <f t="shared" si="57"/>
        <v>0.93484610853869199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3.7</v>
      </c>
      <c r="AI115" s="14">
        <f>IF('Données projet'!$A$62&gt;35,AI114+AH115-AQ114,IF(A115&lt;'Données projet'!$A$62,$AF$205^A115,IF(A115='Données projet'!$A$62,'Données projet'!$B$62,AI114+AH115-AQ114)))</f>
        <v>273.39999999999935</v>
      </c>
      <c r="AJ115" s="14">
        <f>AI115*VLOOKUP('Données projet'!$B$10,Paramètres!$A$1:$I$89,3,0)*VLOOKUP('Données projet'!$B$10,Paramètres!$A$1:$I$89,5,0)</f>
        <v>247.37231999999941</v>
      </c>
      <c r="AK115" s="14">
        <f t="shared" si="89"/>
        <v>60.022917171130885</v>
      </c>
      <c r="AL115" s="22">
        <f t="shared" si="58"/>
        <v>535.38003807305199</v>
      </c>
      <c r="AM115" s="62">
        <f t="shared" si="59"/>
        <v>828.71337140638525</v>
      </c>
      <c r="AN115" s="62">
        <f ca="1">AVERAGE(OFFSET($AM$3,0,0,'Données projet'!$E$10+1,1))-AVERAGE(OFFSET($H$3,0,0,'Données projet'!$E$10+1,1))</f>
        <v>302.55602998433079</v>
      </c>
      <c r="AO115" s="62">
        <f t="shared" si="90"/>
        <v>172.32171001882188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5.6843418860808015E-14</v>
      </c>
      <c r="BE115" s="14">
        <f>BD115*VLOOKUP('Données projet'!$B$11,Paramètres!$A$1:$I$89,3,0)*VLOOKUP('Données projet'!$B$11,Paramètres!$A$1:$I$89,5,0)</f>
        <v>4.4337866711430253E-14</v>
      </c>
      <c r="BF115" s="14">
        <f t="shared" si="91"/>
        <v>7.3222115536967035E-13</v>
      </c>
      <c r="BG115" s="22">
        <f t="shared" si="61"/>
        <v>1.3525069634579169E-12</v>
      </c>
      <c r="BH115" s="62">
        <f t="shared" si="62"/>
        <v>293.33333333333468</v>
      </c>
      <c r="BI115" s="62">
        <f ca="1">AVERAGE(OFFSET($BH$3,0,0,'Données projet'!$E$11+1,1))-AVERAGE(OFFSET($H$3,0,0,'Données projet'!$E$11+1,1))</f>
        <v>216.95993967070063</v>
      </c>
      <c r="BJ115" s="62">
        <f t="shared" si="92"/>
        <v>208.79744153433245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3.7</v>
      </c>
      <c r="BY115" s="13">
        <f>IF('Données projet'!$A$114&gt;35,BY114+BX115-CG114,IF(A115&lt;'Données projet'!$A$114,$BV$205^A115,IF(A115='Données projet'!$A$114,'Données projet'!$B$114,BY114+BX115-CG114)))</f>
        <v>273.39999999999935</v>
      </c>
      <c r="BZ115" s="14">
        <f>BY115*VLOOKUP('Données projet'!$B$12,Paramètres!$A$1:$I$89,3,0)*VLOOKUP('Données projet'!$B$12,Paramètres!$A$1:$I$89,5,0)</f>
        <v>264.43247999999937</v>
      </c>
      <c r="CA115" s="14">
        <f t="shared" si="93"/>
        <v>63.666272015882235</v>
      </c>
      <c r="CB115" s="22">
        <f t="shared" si="64"/>
        <v>571.4386597609938</v>
      </c>
      <c r="CC115" s="62">
        <f t="shared" si="65"/>
        <v>864.77199309432717</v>
      </c>
      <c r="CD115" s="62">
        <f ca="1">AVERAGE(OFFSET($CC$3,0,0,'Données projet'!$E$12+1,1))-AVERAGE(OFFSET($H$3,0,0,'Données projet'!$E$12+1,1))</f>
        <v>329.13617179625538</v>
      </c>
      <c r="CE115" s="62">
        <f t="shared" si="94"/>
        <v>186.45728006007261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175.05987582828078</v>
      </c>
      <c r="T116" s="62">
        <f t="shared" si="88"/>
        <v>268.54782308462387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0.90928269253368643</v>
      </c>
      <c r="AB116" s="23">
        <f>EXP(-LN(2)/2)*AB115+(1-EXP(-LN(2)/2))/(LN(2)/2)*V116*Y116*VLOOKUP('Données projet'!$B$9,Paramètres!$A$1:$I$89,3,0)*0.475*44/12</f>
        <v>4.0673362893813983E-12</v>
      </c>
      <c r="AC116" s="24">
        <f t="shared" si="57"/>
        <v>0.90928269253775373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3.7</v>
      </c>
      <c r="AI116" s="14">
        <f>IF('Données projet'!$A$62&gt;35,AI115+AH116-AQ115,IF(A116&lt;'Données projet'!$A$62,$AF$205^A116,IF(A116='Données projet'!$A$62,'Données projet'!$B$62,AI115+AH116-AQ115)))</f>
        <v>277.09999999999934</v>
      </c>
      <c r="AJ116" s="14">
        <f>AI116*VLOOKUP('Données projet'!$B$10,Paramètres!$A$1:$I$89,3,0)*VLOOKUP('Données projet'!$B$10,Paramètres!$A$1:$I$89,5,0)</f>
        <v>250.72007999999943</v>
      </c>
      <c r="AK116" s="14">
        <f t="shared" si="89"/>
        <v>60.740109326032709</v>
      </c>
      <c r="AL116" s="22">
        <f t="shared" si="58"/>
        <v>542.45982974283925</v>
      </c>
      <c r="AM116" s="62">
        <f t="shared" si="59"/>
        <v>835.7931630761725</v>
      </c>
      <c r="AN116" s="62">
        <f ca="1">AVERAGE(OFFSET($AM$3,0,0,'Données projet'!$E$10+1,1))-AVERAGE(OFFSET($H$3,0,0,'Données projet'!$E$10+1,1))</f>
        <v>302.55602998433079</v>
      </c>
      <c r="AO116" s="62">
        <f t="shared" si="90"/>
        <v>172.32171001882188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5.6843418860808015E-14</v>
      </c>
      <c r="BE116" s="14">
        <f>BD116*VLOOKUP('Données projet'!$B$11,Paramètres!$A$1:$I$89,3,0)*VLOOKUP('Données projet'!$B$11,Paramètres!$A$1:$I$89,5,0)</f>
        <v>4.4337866711430253E-14</v>
      </c>
      <c r="BF116" s="14">
        <f t="shared" si="91"/>
        <v>7.3222115536967035E-13</v>
      </c>
      <c r="BG116" s="22">
        <f t="shared" si="61"/>
        <v>1.3525069634579169E-12</v>
      </c>
      <c r="BH116" s="62">
        <f t="shared" si="62"/>
        <v>293.33333333333468</v>
      </c>
      <c r="BI116" s="62">
        <f ca="1">AVERAGE(OFFSET($BH$3,0,0,'Données projet'!$E$11+1,1))-AVERAGE(OFFSET($H$3,0,0,'Données projet'!$E$11+1,1))</f>
        <v>216.95993967070063</v>
      </c>
      <c r="BJ116" s="62">
        <f t="shared" si="92"/>
        <v>208.79744153433245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3.7</v>
      </c>
      <c r="BY116" s="13">
        <f>IF('Données projet'!$A$114&gt;35,BY115+BX116-CG115,IF(A116&lt;'Données projet'!$A$114,$BV$205^A116,IF(A116='Données projet'!$A$114,'Données projet'!$B$114,BY115+BX116-CG115)))</f>
        <v>277.09999999999934</v>
      </c>
      <c r="BZ116" s="14">
        <f>BY116*VLOOKUP('Données projet'!$B$12,Paramètres!$A$1:$I$89,3,0)*VLOOKUP('Données projet'!$B$12,Paramètres!$A$1:$I$89,5,0)</f>
        <v>268.01111999999938</v>
      </c>
      <c r="CA116" s="14">
        <f t="shared" si="93"/>
        <v>64.426997301716739</v>
      </c>
      <c r="CB116" s="22">
        <f t="shared" si="64"/>
        <v>578.99638763382234</v>
      </c>
      <c r="CC116" s="62">
        <f t="shared" si="65"/>
        <v>872.32972096715571</v>
      </c>
      <c r="CD116" s="62">
        <f ca="1">AVERAGE(OFFSET($CC$3,0,0,'Données projet'!$E$12+1,1))-AVERAGE(OFFSET($H$3,0,0,'Données projet'!$E$12+1,1))</f>
        <v>329.13617179625538</v>
      </c>
      <c r="CE116" s="62">
        <f t="shared" si="94"/>
        <v>186.45728006007261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175.05987582828078</v>
      </c>
      <c r="T117" s="62">
        <f t="shared" si="88"/>
        <v>268.54782308462387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0.88441830948925415</v>
      </c>
      <c r="AB117" s="23">
        <f>EXP(-LN(2)/2)*AB116+(1-EXP(-LN(2)/2))/(LN(2)/2)*V117*Y117*VLOOKUP('Données projet'!$B$9,Paramètres!$A$1:$I$89,3,0)*0.475*44/12</f>
        <v>2.8760410715877165E-12</v>
      </c>
      <c r="AC117" s="24">
        <f t="shared" si="57"/>
        <v>0.88441830949213018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3.7</v>
      </c>
      <c r="AI117" s="14">
        <f>IF('Données projet'!$A$62&gt;35,AI116+AH117-AQ116,IF(A117&lt;'Données projet'!$A$62,$AF$205^A117,IF(A117='Données projet'!$A$62,'Données projet'!$B$62,AI116+AH117-AQ116)))</f>
        <v>280.79999999999933</v>
      </c>
      <c r="AJ117" s="14">
        <f>AI117*VLOOKUP('Données projet'!$B$10,Paramètres!$A$1:$I$89,3,0)*VLOOKUP('Données projet'!$B$10,Paramètres!$A$1:$I$89,5,0)</f>
        <v>254.06783999999939</v>
      </c>
      <c r="AK117" s="14">
        <f t="shared" si="89"/>
        <v>61.456187622750612</v>
      </c>
      <c r="AL117" s="22">
        <f t="shared" si="58"/>
        <v>549.53768144295623</v>
      </c>
      <c r="AM117" s="62">
        <f t="shared" si="59"/>
        <v>842.87101477628948</v>
      </c>
      <c r="AN117" s="62">
        <f ca="1">AVERAGE(OFFSET($AM$3,0,0,'Données projet'!$E$10+1,1))-AVERAGE(OFFSET($H$3,0,0,'Données projet'!$E$10+1,1))</f>
        <v>302.55602998433079</v>
      </c>
      <c r="AO117" s="62">
        <f t="shared" si="90"/>
        <v>172.32171001882188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5.6843418860808015E-14</v>
      </c>
      <c r="BE117" s="14">
        <f>BD117*VLOOKUP('Données projet'!$B$11,Paramètres!$A$1:$I$89,3,0)*VLOOKUP('Données projet'!$B$11,Paramètres!$A$1:$I$89,5,0)</f>
        <v>4.4337866711430253E-14</v>
      </c>
      <c r="BF117" s="14">
        <f t="shared" si="91"/>
        <v>7.3222115536967035E-13</v>
      </c>
      <c r="BG117" s="22">
        <f t="shared" si="61"/>
        <v>1.3525069634579169E-12</v>
      </c>
      <c r="BH117" s="62">
        <f t="shared" si="62"/>
        <v>293.33333333333468</v>
      </c>
      <c r="BI117" s="62">
        <f ca="1">AVERAGE(OFFSET($BH$3,0,0,'Données projet'!$E$11+1,1))-AVERAGE(OFFSET($H$3,0,0,'Données projet'!$E$11+1,1))</f>
        <v>216.95993967070063</v>
      </c>
      <c r="BJ117" s="62">
        <f t="shared" si="92"/>
        <v>208.79744153433245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3.7</v>
      </c>
      <c r="BY117" s="13">
        <f>IF('Données projet'!$A$114&gt;35,BY116+BX117-CG116,IF(A117&lt;'Données projet'!$A$114,$BV$205^A117,IF(A117='Données projet'!$A$114,'Données projet'!$B$114,BY116+BX117-CG116)))</f>
        <v>280.79999999999933</v>
      </c>
      <c r="BZ117" s="14">
        <f>BY117*VLOOKUP('Données projet'!$B$12,Paramètres!$A$1:$I$89,3,0)*VLOOKUP('Données projet'!$B$12,Paramètres!$A$1:$I$89,5,0)</f>
        <v>271.58975999999933</v>
      </c>
      <c r="CA117" s="14">
        <f t="shared" si="93"/>
        <v>65.186541118848012</v>
      </c>
      <c r="CB117" s="22">
        <f t="shared" si="64"/>
        <v>586.5520577819924</v>
      </c>
      <c r="CC117" s="62">
        <f t="shared" si="65"/>
        <v>879.88539111532577</v>
      </c>
      <c r="CD117" s="62">
        <f ca="1">AVERAGE(OFFSET($CC$3,0,0,'Données projet'!$E$12+1,1))-AVERAGE(OFFSET($H$3,0,0,'Données projet'!$E$12+1,1))</f>
        <v>329.13617179625538</v>
      </c>
      <c r="CE117" s="62">
        <f t="shared" si="94"/>
        <v>186.45728006007261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175.05987582828078</v>
      </c>
      <c r="T118" s="62">
        <f t="shared" si="88"/>
        <v>268.54782308462387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0.860233844306733</v>
      </c>
      <c r="AB118" s="23">
        <f>EXP(-LN(2)/2)*AB117+(1-EXP(-LN(2)/2))/(LN(2)/2)*V118*Y118*VLOOKUP('Données projet'!$B$9,Paramètres!$A$1:$I$89,3,0)*0.475*44/12</f>
        <v>2.0336681446906991E-12</v>
      </c>
      <c r="AC118" s="24">
        <f t="shared" si="57"/>
        <v>0.8602338443087667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3.7</v>
      </c>
      <c r="AI118" s="14">
        <f>IF('Données projet'!$A$62&gt;35,AI117+AH118-AQ117,IF(A118&lt;'Données projet'!$A$62,$AF$205^A118,IF(A118='Données projet'!$A$62,'Données projet'!$B$62,AI117+AH118-AQ117)))</f>
        <v>284.49999999999932</v>
      </c>
      <c r="AJ118" s="14">
        <f>AI118*VLOOKUP('Données projet'!$B$10,Paramètres!$A$1:$I$89,3,0)*VLOOKUP('Données projet'!$B$10,Paramètres!$A$1:$I$89,5,0)</f>
        <v>257.41559999999936</v>
      </c>
      <c r="AK118" s="14">
        <f t="shared" si="89"/>
        <v>62.171168434977012</v>
      </c>
      <c r="AL118" s="22">
        <f t="shared" si="58"/>
        <v>556.61362169091717</v>
      </c>
      <c r="AM118" s="62">
        <f t="shared" si="59"/>
        <v>849.94695502425043</v>
      </c>
      <c r="AN118" s="62">
        <f ca="1">AVERAGE(OFFSET($AM$3,0,0,'Données projet'!$E$10+1,1))-AVERAGE(OFFSET($H$3,0,0,'Données projet'!$E$10+1,1))</f>
        <v>302.55602998433079</v>
      </c>
      <c r="AO118" s="62">
        <f t="shared" si="90"/>
        <v>172.32171001882188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5.6843418860808015E-14</v>
      </c>
      <c r="BE118" s="14">
        <f>BD118*VLOOKUP('Données projet'!$B$11,Paramètres!$A$1:$I$89,3,0)*VLOOKUP('Données projet'!$B$11,Paramètres!$A$1:$I$89,5,0)</f>
        <v>4.4337866711430253E-14</v>
      </c>
      <c r="BF118" s="14">
        <f t="shared" si="91"/>
        <v>7.3222115536967035E-13</v>
      </c>
      <c r="BG118" s="22">
        <f t="shared" si="61"/>
        <v>1.3525069634579169E-12</v>
      </c>
      <c r="BH118" s="62">
        <f t="shared" si="62"/>
        <v>293.33333333333468</v>
      </c>
      <c r="BI118" s="62">
        <f ca="1">AVERAGE(OFFSET($BH$3,0,0,'Données projet'!$E$11+1,1))-AVERAGE(OFFSET($H$3,0,0,'Données projet'!$E$11+1,1))</f>
        <v>216.95993967070063</v>
      </c>
      <c r="BJ118" s="62">
        <f t="shared" si="92"/>
        <v>208.79744153433245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3.7</v>
      </c>
      <c r="BY118" s="13">
        <f>IF('Données projet'!$A$114&gt;35,BY117+BX118-CG117,IF(A118&lt;'Données projet'!$A$114,$BV$205^A118,IF(A118='Données projet'!$A$114,'Données projet'!$B$114,BY117+BX118-CG117)))</f>
        <v>284.49999999999932</v>
      </c>
      <c r="BZ118" s="14">
        <f>BY118*VLOOKUP('Données projet'!$B$12,Paramètres!$A$1:$I$89,3,0)*VLOOKUP('Données projet'!$B$12,Paramètres!$A$1:$I$89,5,0)</f>
        <v>275.16839999999939</v>
      </c>
      <c r="CA118" s="14">
        <f t="shared" si="93"/>
        <v>65.944920834841554</v>
      </c>
      <c r="CB118" s="22">
        <f t="shared" si="64"/>
        <v>594.10570045401448</v>
      </c>
      <c r="CC118" s="62">
        <f t="shared" si="65"/>
        <v>887.43903378734785</v>
      </c>
      <c r="CD118" s="62">
        <f ca="1">AVERAGE(OFFSET($CC$3,0,0,'Données projet'!$E$12+1,1))-AVERAGE(OFFSET($H$3,0,0,'Données projet'!$E$12+1,1))</f>
        <v>329.13617179625538</v>
      </c>
      <c r="CE118" s="62">
        <f t="shared" si="94"/>
        <v>186.45728006007261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175.05987582828078</v>
      </c>
      <c r="T119" s="62">
        <f t="shared" si="88"/>
        <v>268.54782308462387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0.8367107045964336</v>
      </c>
      <c r="AB119" s="23">
        <f>EXP(-LN(2)/2)*AB118+(1-EXP(-LN(2)/2))/(LN(2)/2)*V119*Y119*VLOOKUP('Données projet'!$B$9,Paramètres!$A$1:$I$89,3,0)*0.475*44/12</f>
        <v>1.4380205357938583E-12</v>
      </c>
      <c r="AC119" s="24">
        <f t="shared" si="57"/>
        <v>0.83671070459787167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3.7</v>
      </c>
      <c r="AI119" s="14">
        <f>IF('Données projet'!$A$62&gt;35,AI118+AH119-AQ118,IF(A119&lt;'Données projet'!$A$62,$AF$205^A119,IF(A119='Données projet'!$A$62,'Données projet'!$B$62,AI118+AH119-AQ118)))</f>
        <v>288.19999999999931</v>
      </c>
      <c r="AJ119" s="14">
        <f>AI119*VLOOKUP('Données projet'!$B$10,Paramètres!$A$1:$I$89,3,0)*VLOOKUP('Données projet'!$B$10,Paramètres!$A$1:$I$89,5,0)</f>
        <v>260.76335999999935</v>
      </c>
      <c r="AK119" s="14">
        <f t="shared" si="89"/>
        <v>62.885067686031846</v>
      </c>
      <c r="AL119" s="22">
        <f t="shared" si="58"/>
        <v>563.68767821983772</v>
      </c>
      <c r="AM119" s="62">
        <f t="shared" si="59"/>
        <v>857.02101155317109</v>
      </c>
      <c r="AN119" s="62">
        <f ca="1">AVERAGE(OFFSET($AM$3,0,0,'Données projet'!$E$10+1,1))-AVERAGE(OFFSET($H$3,0,0,'Données projet'!$E$10+1,1))</f>
        <v>302.55602998433079</v>
      </c>
      <c r="AO119" s="62">
        <f t="shared" si="90"/>
        <v>172.32171001882188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5.6843418860808015E-14</v>
      </c>
      <c r="BE119" s="14">
        <f>BD119*VLOOKUP('Données projet'!$B$11,Paramètres!$A$1:$I$89,3,0)*VLOOKUP('Données projet'!$B$11,Paramètres!$A$1:$I$89,5,0)</f>
        <v>4.4337866711430253E-14</v>
      </c>
      <c r="BF119" s="14">
        <f t="shared" si="91"/>
        <v>7.3222115536967035E-13</v>
      </c>
      <c r="BG119" s="22">
        <f t="shared" si="61"/>
        <v>1.3525069634579169E-12</v>
      </c>
      <c r="BH119" s="62">
        <f t="shared" si="62"/>
        <v>293.33333333333468</v>
      </c>
      <c r="BI119" s="62">
        <f ca="1">AVERAGE(OFFSET($BH$3,0,0,'Données projet'!$E$11+1,1))-AVERAGE(OFFSET($H$3,0,0,'Données projet'!$E$11+1,1))</f>
        <v>216.95993967070063</v>
      </c>
      <c r="BJ119" s="62">
        <f t="shared" si="92"/>
        <v>208.79744153433245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3.7</v>
      </c>
      <c r="BY119" s="13">
        <f>IF('Données projet'!$A$114&gt;35,BY118+BX119-CG118,IF(A119&lt;'Données projet'!$A$114,$BV$205^A119,IF(A119='Données projet'!$A$114,'Données projet'!$B$114,BY118+BX119-CG118)))</f>
        <v>288.19999999999931</v>
      </c>
      <c r="BZ119" s="14">
        <f>BY119*VLOOKUP('Données projet'!$B$12,Paramètres!$A$1:$I$89,3,0)*VLOOKUP('Données projet'!$B$12,Paramètres!$A$1:$I$89,5,0)</f>
        <v>278.74703999999934</v>
      </c>
      <c r="CA119" s="14">
        <f t="shared" si="93"/>
        <v>66.702153339553135</v>
      </c>
      <c r="CB119" s="22">
        <f t="shared" si="64"/>
        <v>601.65734506638728</v>
      </c>
      <c r="CC119" s="62">
        <f t="shared" si="65"/>
        <v>894.99067839972054</v>
      </c>
      <c r="CD119" s="62">
        <f ca="1">AVERAGE(OFFSET($CC$3,0,0,'Données projet'!$E$12+1,1))-AVERAGE(OFFSET($H$3,0,0,'Données projet'!$E$12+1,1))</f>
        <v>329.13617179625538</v>
      </c>
      <c r="CE119" s="62">
        <f t="shared" si="94"/>
        <v>186.45728006007261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175.05987582828078</v>
      </c>
      <c r="T120" s="62">
        <f t="shared" si="88"/>
        <v>268.54782308462387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0.81383080637854044</v>
      </c>
      <c r="AB120" s="23">
        <f>EXP(-LN(2)/2)*AB119+(1-EXP(-LN(2)/2))/(LN(2)/2)*V120*Y120*VLOOKUP('Données projet'!$B$9,Paramètres!$A$1:$I$89,3,0)*0.475*44/12</f>
        <v>1.0168340723453496E-12</v>
      </c>
      <c r="AC120" s="24">
        <f t="shared" si="57"/>
        <v>0.81383080637955729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3.7</v>
      </c>
      <c r="AI120" s="14">
        <f>IF('Données projet'!$A$62&gt;35,AI119+AH120-AQ119,IF(A120&lt;'Données projet'!$A$62,$AF$205^A120,IF(A120='Données projet'!$A$62,'Données projet'!$B$62,AI119+AH120-AQ119)))</f>
        <v>291.8999999999993</v>
      </c>
      <c r="AJ120" s="14">
        <f>AI120*VLOOKUP('Données projet'!$B$10,Paramètres!$A$1:$I$89,3,0)*VLOOKUP('Données projet'!$B$10,Paramètres!$A$1:$I$89,5,0)</f>
        <v>264.11111999999935</v>
      </c>
      <c r="AK120" s="14">
        <f t="shared" si="89"/>
        <v>63.597900866870489</v>
      </c>
      <c r="AL120" s="22">
        <f t="shared" si="58"/>
        <v>570.75987800979829</v>
      </c>
      <c r="AM120" s="62">
        <f t="shared" si="59"/>
        <v>864.09321134313154</v>
      </c>
      <c r="AN120" s="62">
        <f ca="1">AVERAGE(OFFSET($AM$3,0,0,'Données projet'!$E$10+1,1))-AVERAGE(OFFSET($H$3,0,0,'Données projet'!$E$10+1,1))</f>
        <v>302.55602998433079</v>
      </c>
      <c r="AO120" s="62">
        <f t="shared" si="90"/>
        <v>172.32171001882188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5.6843418860808015E-14</v>
      </c>
      <c r="BE120" s="14">
        <f>BD120*VLOOKUP('Données projet'!$B$11,Paramètres!$A$1:$I$89,3,0)*VLOOKUP('Données projet'!$B$11,Paramètres!$A$1:$I$89,5,0)</f>
        <v>4.4337866711430253E-14</v>
      </c>
      <c r="BF120" s="14">
        <f t="shared" si="91"/>
        <v>7.3222115536967035E-13</v>
      </c>
      <c r="BG120" s="22">
        <f t="shared" si="61"/>
        <v>1.3525069634579169E-12</v>
      </c>
      <c r="BH120" s="62">
        <f t="shared" si="62"/>
        <v>293.33333333333468</v>
      </c>
      <c r="BI120" s="62">
        <f ca="1">AVERAGE(OFFSET($BH$3,0,0,'Données projet'!$E$11+1,1))-AVERAGE(OFFSET($H$3,0,0,'Données projet'!$E$11+1,1))</f>
        <v>216.95993967070063</v>
      </c>
      <c r="BJ120" s="62">
        <f t="shared" si="92"/>
        <v>208.79744153433245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3.7</v>
      </c>
      <c r="BY120" s="13">
        <f>IF('Données projet'!$A$114&gt;35,BY119+BX120-CG119,IF(A120&lt;'Données projet'!$A$114,$BV$205^A120,IF(A120='Données projet'!$A$114,'Données projet'!$B$114,BY119+BX120-CG119)))</f>
        <v>291.8999999999993</v>
      </c>
      <c r="BZ120" s="14">
        <f>BY120*VLOOKUP('Données projet'!$B$12,Paramètres!$A$1:$I$89,3,0)*VLOOKUP('Données projet'!$B$12,Paramètres!$A$1:$I$89,5,0)</f>
        <v>282.32567999999929</v>
      </c>
      <c r="CA120" s="14">
        <f t="shared" si="93"/>
        <v>67.45825506422986</v>
      </c>
      <c r="CB120" s="22">
        <f t="shared" si="64"/>
        <v>609.20702023686579</v>
      </c>
      <c r="CC120" s="62">
        <f t="shared" si="65"/>
        <v>902.54035357019916</v>
      </c>
      <c r="CD120" s="62">
        <f ca="1">AVERAGE(OFFSET($CC$3,0,0,'Données projet'!$E$12+1,1))-AVERAGE(OFFSET($H$3,0,0,'Données projet'!$E$12+1,1))</f>
        <v>329.13617179625538</v>
      </c>
      <c r="CE120" s="62">
        <f t="shared" si="94"/>
        <v>186.45728006007261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175.05987582828078</v>
      </c>
      <c r="T121" s="62">
        <f t="shared" si="88"/>
        <v>268.54782308462387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0.79157656018061717</v>
      </c>
      <c r="AB121" s="23">
        <f>EXP(-LN(2)/2)*AB120+(1-EXP(-LN(2)/2))/(LN(2)/2)*V121*Y121*VLOOKUP('Données projet'!$B$9,Paramètres!$A$1:$I$89,3,0)*0.475*44/12</f>
        <v>7.1901026789692914E-13</v>
      </c>
      <c r="AC121" s="24">
        <f t="shared" si="57"/>
        <v>0.79157656018133615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3.7</v>
      </c>
      <c r="AI121" s="14">
        <f>IF('Données projet'!$A$62&gt;35,AI120+AH121-AQ120,IF(A121&lt;'Données projet'!$A$62,$AF$205^A121,IF(A121='Données projet'!$A$62,'Données projet'!$B$62,AI120+AH121-AQ120)))</f>
        <v>295.59999999999928</v>
      </c>
      <c r="AJ121" s="14">
        <f>AI121*VLOOKUP('Données projet'!$B$10,Paramètres!$A$1:$I$89,3,0)*VLOOKUP('Données projet'!$B$10,Paramètres!$A$1:$I$89,5,0)</f>
        <v>267.45887999999934</v>
      </c>
      <c r="AK121" s="14">
        <f t="shared" si="89"/>
        <v>64.30968305315227</v>
      </c>
      <c r="AL121" s="22">
        <f t="shared" si="58"/>
        <v>577.83024731757246</v>
      </c>
      <c r="AM121" s="62">
        <f t="shared" si="59"/>
        <v>871.16358065090571</v>
      </c>
      <c r="AN121" s="62">
        <f ca="1">AVERAGE(OFFSET($AM$3,0,0,'Données projet'!$E$10+1,1))-AVERAGE(OFFSET($H$3,0,0,'Données projet'!$E$10+1,1))</f>
        <v>302.55602998433079</v>
      </c>
      <c r="AO121" s="62">
        <f t="shared" si="90"/>
        <v>172.32171001882188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5.6843418860808015E-14</v>
      </c>
      <c r="BE121" s="14">
        <f>BD121*VLOOKUP('Données projet'!$B$11,Paramètres!$A$1:$I$89,3,0)*VLOOKUP('Données projet'!$B$11,Paramètres!$A$1:$I$89,5,0)</f>
        <v>4.4337866711430253E-14</v>
      </c>
      <c r="BF121" s="14">
        <f t="shared" si="91"/>
        <v>7.3222115536967035E-13</v>
      </c>
      <c r="BG121" s="22">
        <f t="shared" si="61"/>
        <v>1.3525069634579169E-12</v>
      </c>
      <c r="BH121" s="62">
        <f t="shared" si="62"/>
        <v>293.33333333333468</v>
      </c>
      <c r="BI121" s="62">
        <f ca="1">AVERAGE(OFFSET($BH$3,0,0,'Données projet'!$E$11+1,1))-AVERAGE(OFFSET($H$3,0,0,'Données projet'!$E$11+1,1))</f>
        <v>216.95993967070063</v>
      </c>
      <c r="BJ121" s="62">
        <f t="shared" si="92"/>
        <v>208.79744153433245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3.7</v>
      </c>
      <c r="BY121" s="13">
        <f>IF('Données projet'!$A$114&gt;35,BY120+BX121-CG120,IF(A121&lt;'Données projet'!$A$114,$BV$205^A121,IF(A121='Données projet'!$A$114,'Données projet'!$B$114,BY120+BX121-CG120)))</f>
        <v>295.59999999999928</v>
      </c>
      <c r="BZ121" s="14">
        <f>BY121*VLOOKUP('Données projet'!$B$12,Paramètres!$A$1:$I$89,3,0)*VLOOKUP('Données projet'!$B$12,Paramètres!$A$1:$I$89,5,0)</f>
        <v>285.90431999999936</v>
      </c>
      <c r="CA121" s="14">
        <f t="shared" si="93"/>
        <v>68.213241999614453</v>
      </c>
      <c r="CB121" s="22">
        <f t="shared" si="64"/>
        <v>616.75475381599415</v>
      </c>
      <c r="CC121" s="62">
        <f t="shared" si="65"/>
        <v>910.08808714932752</v>
      </c>
      <c r="CD121" s="62">
        <f ca="1">AVERAGE(OFFSET($CC$3,0,0,'Données projet'!$E$12+1,1))-AVERAGE(OFFSET($H$3,0,0,'Données projet'!$E$12+1,1))</f>
        <v>329.13617179625538</v>
      </c>
      <c r="CE121" s="62">
        <f t="shared" si="94"/>
        <v>186.45728006007261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175.05987582828078</v>
      </c>
      <c r="T122" s="62">
        <f t="shared" si="88"/>
        <v>268.54782308462387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0.76993085751527612</v>
      </c>
      <c r="AB122" s="23">
        <f>EXP(-LN(2)/2)*AB121+(1-EXP(-LN(2)/2))/(LN(2)/2)*V122*Y122*VLOOKUP('Données projet'!$B$9,Paramètres!$A$1:$I$89,3,0)*0.475*44/12</f>
        <v>5.0841703617267478E-13</v>
      </c>
      <c r="AC122" s="24">
        <f t="shared" si="57"/>
        <v>0.76993085751578449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3.7</v>
      </c>
      <c r="AI122" s="14">
        <f>IF('Données projet'!$A$62&gt;35,AI121+AH122-AQ121,IF(A122&lt;'Données projet'!$A$62,$AF$205^A122,IF(A122='Données projet'!$A$62,'Données projet'!$B$62,AI121+AH122-AQ121)))</f>
        <v>299.29999999999927</v>
      </c>
      <c r="AJ122" s="14">
        <f>AI122*VLOOKUP('Données projet'!$B$10,Paramètres!$A$1:$I$89,3,0)*VLOOKUP('Données projet'!$B$10,Paramètres!$A$1:$I$89,5,0)</f>
        <v>270.80663999999933</v>
      </c>
      <c r="AK122" s="14">
        <f t="shared" si="89"/>
        <v>65.020428921429854</v>
      </c>
      <c r="AL122" s="22">
        <f t="shared" si="58"/>
        <v>584.89881170482249</v>
      </c>
      <c r="AM122" s="62">
        <f t="shared" si="59"/>
        <v>878.23214503815575</v>
      </c>
      <c r="AN122" s="62">
        <f ca="1">AVERAGE(OFFSET($AM$3,0,0,'Données projet'!$E$10+1,1))-AVERAGE(OFFSET($H$3,0,0,'Données projet'!$E$10+1,1))</f>
        <v>302.55602998433079</v>
      </c>
      <c r="AO122" s="62">
        <f t="shared" si="90"/>
        <v>172.32171001882188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5.6843418860808015E-14</v>
      </c>
      <c r="BE122" s="14">
        <f>BD122*VLOOKUP('Données projet'!$B$11,Paramètres!$A$1:$I$89,3,0)*VLOOKUP('Données projet'!$B$11,Paramètres!$A$1:$I$89,5,0)</f>
        <v>4.4337866711430253E-14</v>
      </c>
      <c r="BF122" s="14">
        <f t="shared" si="91"/>
        <v>7.3222115536967035E-13</v>
      </c>
      <c r="BG122" s="22">
        <f t="shared" si="61"/>
        <v>1.3525069634579169E-12</v>
      </c>
      <c r="BH122" s="62">
        <f t="shared" si="62"/>
        <v>293.33333333333468</v>
      </c>
      <c r="BI122" s="62">
        <f ca="1">AVERAGE(OFFSET($BH$3,0,0,'Données projet'!$E$11+1,1))-AVERAGE(OFFSET($H$3,0,0,'Données projet'!$E$11+1,1))</f>
        <v>216.95993967070063</v>
      </c>
      <c r="BJ122" s="62">
        <f t="shared" si="92"/>
        <v>208.79744153433245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3.7</v>
      </c>
      <c r="BY122" s="13">
        <f>IF('Données projet'!$A$114&gt;35,BY121+BX122-CG121,IF(A122&lt;'Données projet'!$A$114,$BV$205^A122,IF(A122='Données projet'!$A$114,'Données projet'!$B$114,BY121+BX122-CG121)))</f>
        <v>299.29999999999927</v>
      </c>
      <c r="BZ122" s="14">
        <f>BY122*VLOOKUP('Données projet'!$B$12,Paramètres!$A$1:$I$89,3,0)*VLOOKUP('Données projet'!$B$12,Paramètres!$A$1:$I$89,5,0)</f>
        <v>289.48295999999931</v>
      </c>
      <c r="CA122" s="14">
        <f t="shared" si="93"/>
        <v>68.967129713117345</v>
      </c>
      <c r="CB122" s="22">
        <f t="shared" si="64"/>
        <v>624.30057291701144</v>
      </c>
      <c r="CC122" s="62">
        <f t="shared" si="65"/>
        <v>917.63390625034481</v>
      </c>
      <c r="CD122" s="62">
        <f ca="1">AVERAGE(OFFSET($CC$3,0,0,'Données projet'!$E$12+1,1))-AVERAGE(OFFSET($H$3,0,0,'Données projet'!$E$12+1,1))</f>
        <v>329.13617179625538</v>
      </c>
      <c r="CE122" s="62">
        <f t="shared" si="94"/>
        <v>186.45728006007261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175.05987582828078</v>
      </c>
      <c r="T123" s="62">
        <f t="shared" si="88"/>
        <v>268.54782308462387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0.74887705772761681</v>
      </c>
      <c r="AB123" s="23">
        <f>EXP(-LN(2)/2)*AB122+(1-EXP(-LN(2)/2))/(LN(2)/2)*V123*Y123*VLOOKUP('Données projet'!$B$9,Paramètres!$A$1:$I$89,3,0)*0.475*44/12</f>
        <v>3.5950513394846457E-13</v>
      </c>
      <c r="AC123" s="24">
        <f t="shared" si="57"/>
        <v>0.7488770577279763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303</v>
      </c>
      <c r="AG123" s="13">
        <f>VLOOKUP(A123,'Données projet'!$A$61:$I$81,9,0)</f>
        <v>3.7</v>
      </c>
      <c r="AH123" s="13">
        <f t="array" ref="AH123">INDEX(AG:AG,MIN(IF(ISNUMBER(AG123:AG319),ROW(AG123:AG319),"")))</f>
        <v>3.7</v>
      </c>
      <c r="AI123" s="14">
        <f>IF('Données projet'!$A$62&gt;35,AI122+AH123-AQ122,IF(A123&lt;'Données projet'!$A$62,$AF$205^A123,IF(A123='Données projet'!$A$62,'Données projet'!$B$62,AI122+AH123-AQ122)))</f>
        <v>302.99999999999926</v>
      </c>
      <c r="AJ123" s="14">
        <f>AI123*VLOOKUP('Données projet'!$B$10,Paramètres!$A$1:$I$89,3,0)*VLOOKUP('Données projet'!$B$10,Paramètres!$A$1:$I$89,5,0)</f>
        <v>274.15439999999933</v>
      </c>
      <c r="AK123" s="14">
        <f t="shared" si="89"/>
        <v>65.730152764515722</v>
      </c>
      <c r="AL123" s="22">
        <f t="shared" si="58"/>
        <v>591.96559606486369</v>
      </c>
      <c r="AM123" s="62">
        <f t="shared" si="59"/>
        <v>885.29892939819706</v>
      </c>
      <c r="AN123" s="62">
        <f ca="1">AVERAGE(OFFSET($AM$3,0,0,'Données projet'!$E$10+1,1))-AVERAGE(OFFSET($H$3,0,0,'Données projet'!$E$10+1,1))</f>
        <v>302.55602998433079</v>
      </c>
      <c r="AO123" s="62">
        <f t="shared" si="90"/>
        <v>172.32171001882188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5.6843418860808015E-14</v>
      </c>
      <c r="BE123" s="14">
        <f>BD123*VLOOKUP('Données projet'!$B$11,Paramètres!$A$1:$I$89,3,0)*VLOOKUP('Données projet'!$B$11,Paramètres!$A$1:$I$89,5,0)</f>
        <v>4.4337866711430253E-14</v>
      </c>
      <c r="BF123" s="14">
        <f t="shared" si="91"/>
        <v>7.3222115536967035E-13</v>
      </c>
      <c r="BG123" s="22">
        <f t="shared" si="61"/>
        <v>1.3525069634579169E-12</v>
      </c>
      <c r="BH123" s="62">
        <f t="shared" si="62"/>
        <v>293.33333333333468</v>
      </c>
      <c r="BI123" s="62">
        <f ca="1">AVERAGE(OFFSET($BH$3,0,0,'Données projet'!$E$11+1,1))-AVERAGE(OFFSET($H$3,0,0,'Données projet'!$E$11+1,1))</f>
        <v>216.95993967070063</v>
      </c>
      <c r="BJ123" s="62">
        <f t="shared" si="92"/>
        <v>208.79744153433245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303</v>
      </c>
      <c r="BW123" s="13">
        <f>VLOOKUP(A123,'Données projet'!$A$113:$I$133,9,0)</f>
        <v>3.7</v>
      </c>
      <c r="BX123" s="13">
        <f t="array" ref="BX123">INDEX(BW:BW,MIN(IF(ISNUMBER(BW123:BW319),ROW(BW123:BW319),"")))</f>
        <v>3.7</v>
      </c>
      <c r="BY123" s="13">
        <f>IF('Données projet'!$A$114&gt;35,BY122+BX123-CG122,IF(A123&lt;'Données projet'!$A$114,$BV$205^A123,IF(A123='Données projet'!$A$114,'Données projet'!$B$114,BY122+BX123-CG122)))</f>
        <v>302.99999999999926</v>
      </c>
      <c r="BZ123" s="14">
        <f>BY123*VLOOKUP('Données projet'!$B$12,Paramètres!$A$1:$I$89,3,0)*VLOOKUP('Données projet'!$B$12,Paramètres!$A$1:$I$89,5,0)</f>
        <v>293.06159999999926</v>
      </c>
      <c r="CA123" s="14">
        <f t="shared" si="93"/>
        <v>69.719933365116361</v>
      </c>
      <c r="CB123" s="22">
        <f t="shared" si="64"/>
        <v>631.844503944243</v>
      </c>
      <c r="CC123" s="62">
        <f t="shared" si="65"/>
        <v>925.17783727757637</v>
      </c>
      <c r="CD123" s="62">
        <f ca="1">AVERAGE(OFFSET($CC$3,0,0,'Données projet'!$E$12+1,1))-AVERAGE(OFFSET($H$3,0,0,'Données projet'!$E$12+1,1))</f>
        <v>329.13617179625538</v>
      </c>
      <c r="CE123" s="62">
        <f t="shared" si="94"/>
        <v>186.45728006007261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35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175.05987582828078</v>
      </c>
      <c r="T124" s="62">
        <f t="shared" si="88"/>
        <v>268.54782308462387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0.72839897520232222</v>
      </c>
      <c r="AB124" s="23">
        <f>EXP(-LN(2)/2)*AB123+(1-EXP(-LN(2)/2))/(LN(2)/2)*V124*Y124*VLOOKUP('Données projet'!$B$9,Paramètres!$A$1:$I$89,3,0)*0.475*44/12</f>
        <v>2.5420851808633739E-13</v>
      </c>
      <c r="AC124" s="24">
        <f t="shared" si="57"/>
        <v>0.72839897520257646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3.2</v>
      </c>
      <c r="AI124" s="14">
        <f>IF('Données projet'!$A$62&gt;35,AI123+AH124-AQ123,IF(A124&lt;'Données projet'!$A$62,$AF$205^A124,IF(A124='Données projet'!$A$62,'Données projet'!$B$62,AI123+AH124-AQ123)))</f>
        <v>271.19999999999925</v>
      </c>
      <c r="AJ124" s="14">
        <f>AI124*VLOOKUP('Données projet'!$B$10,Paramètres!$A$1:$I$89,3,0)*VLOOKUP('Données projet'!$B$10,Paramètres!$A$1:$I$89,5,0)</f>
        <v>245.38175999999933</v>
      </c>
      <c r="AK124" s="14">
        <f t="shared" si="89"/>
        <v>59.595943661626606</v>
      </c>
      <c r="AL124" s="22">
        <f t="shared" si="58"/>
        <v>531.16950054399842</v>
      </c>
      <c r="AM124" s="62">
        <f t="shared" si="59"/>
        <v>824.5028338773318</v>
      </c>
      <c r="AN124" s="62">
        <f ca="1">AVERAGE(OFFSET($AM$3,0,0,'Données projet'!$E$10+1,1))-AVERAGE(OFFSET($H$3,0,0,'Données projet'!$E$10+1,1))</f>
        <v>302.55602998433079</v>
      </c>
      <c r="AO124" s="62">
        <f t="shared" si="90"/>
        <v>172.32171001882188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projet'!$B$11,Paramètres!$A$1:$I$89,3,0)*VLOOKUP('Données projet'!$B$11,Paramètres!$A$1:$I$89,5,0)</f>
        <v>4.4337866711430253E-14</v>
      </c>
      <c r="BF124" s="14">
        <f t="shared" si="91"/>
        <v>7.3222115536967035E-13</v>
      </c>
      <c r="BG124" s="22">
        <f t="shared" si="61"/>
        <v>1.3525069634579169E-12</v>
      </c>
      <c r="BH124" s="62">
        <f t="shared" si="62"/>
        <v>293.33333333333468</v>
      </c>
      <c r="BI124" s="62">
        <f ca="1">AVERAGE(OFFSET($BH$3,0,0,'Données projet'!$E$11+1,1))-AVERAGE(OFFSET($H$3,0,0,'Données projet'!$E$11+1,1))</f>
        <v>216.95993967070063</v>
      </c>
      <c r="BJ124" s="62">
        <f t="shared" si="92"/>
        <v>208.79744153433245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3.2</v>
      </c>
      <c r="BY124" s="13">
        <f>IF('Données projet'!$A$114&gt;35,BY123+BX124-CG123,IF(A124&lt;'Données projet'!$A$114,$BV$205^A124,IF(A124='Données projet'!$A$114,'Données projet'!$B$114,BY123+BX124-CG123)))</f>
        <v>271.19999999999925</v>
      </c>
      <c r="BZ124" s="14">
        <f>BY124*VLOOKUP('Données projet'!$B$12,Paramètres!$A$1:$I$89,3,0)*VLOOKUP('Données projet'!$B$12,Paramètres!$A$1:$I$89,5,0)</f>
        <v>262.30463999999927</v>
      </c>
      <c r="CA124" s="14">
        <f t="shared" si="93"/>
        <v>63.213381472055929</v>
      </c>
      <c r="CB124" s="22">
        <f t="shared" si="64"/>
        <v>566.94388739716271</v>
      </c>
      <c r="CC124" s="62">
        <f t="shared" si="65"/>
        <v>860.27722073049608</v>
      </c>
      <c r="CD124" s="62">
        <f ca="1">AVERAGE(OFFSET($CC$3,0,0,'Données projet'!$E$12+1,1))-AVERAGE(OFFSET($H$3,0,0,'Données projet'!$E$12+1,1))</f>
        <v>329.13617179625538</v>
      </c>
      <c r="CE124" s="62">
        <f t="shared" si="94"/>
        <v>186.45728006007261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175.05987582828078</v>
      </c>
      <c r="T125" s="62">
        <f t="shared" si="88"/>
        <v>268.54782308462387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0.70848086692057743</v>
      </c>
      <c r="AB125" s="23">
        <f>EXP(-LN(2)/2)*AB124+(1-EXP(-LN(2)/2))/(LN(2)/2)*V125*Y125*VLOOKUP('Données projet'!$B$9,Paramètres!$A$1:$I$89,3,0)*0.475*44/12</f>
        <v>1.7975256697423228E-13</v>
      </c>
      <c r="AC125" s="24">
        <f t="shared" si="57"/>
        <v>0.70848086692075718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3.2</v>
      </c>
      <c r="AI125" s="14">
        <f>IF('Données projet'!$A$62&gt;35,AI124+AH125-AQ124,IF(A125&lt;'Données projet'!$A$62,$AF$205^A125,IF(A125='Données projet'!$A$62,'Données projet'!$B$62,AI124+AH125-AQ124)))</f>
        <v>274.39999999999924</v>
      </c>
      <c r="AJ125" s="14">
        <f>AI125*VLOOKUP('Données projet'!$B$10,Paramètres!$A$1:$I$89,3,0)*VLOOKUP('Données projet'!$B$10,Paramètres!$A$1:$I$89,5,0)</f>
        <v>248.27711999999931</v>
      </c>
      <c r="AK125" s="14">
        <f t="shared" si="89"/>
        <v>60.216863677580257</v>
      </c>
      <c r="AL125" s="22">
        <f t="shared" si="58"/>
        <v>537.29368823845107</v>
      </c>
      <c r="AM125" s="62">
        <f t="shared" si="59"/>
        <v>830.62702157178433</v>
      </c>
      <c r="AN125" s="62">
        <f ca="1">AVERAGE(OFFSET($AM$3,0,0,'Données projet'!$E$10+1,1))-AVERAGE(OFFSET($H$3,0,0,'Données projet'!$E$10+1,1))</f>
        <v>302.55602998433079</v>
      </c>
      <c r="AO125" s="62">
        <f t="shared" si="90"/>
        <v>172.32171001882188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projet'!$B$11,Paramètres!$A$1:$I$89,3,0)*VLOOKUP('Données projet'!$B$11,Paramètres!$A$1:$I$89,5,0)</f>
        <v>4.4337866711430253E-14</v>
      </c>
      <c r="BF125" s="14">
        <f t="shared" si="91"/>
        <v>7.3222115536967035E-13</v>
      </c>
      <c r="BG125" s="22">
        <f t="shared" si="61"/>
        <v>1.3525069634579169E-12</v>
      </c>
      <c r="BH125" s="62">
        <f t="shared" si="62"/>
        <v>293.33333333333468</v>
      </c>
      <c r="BI125" s="62">
        <f ca="1">AVERAGE(OFFSET($BH$3,0,0,'Données projet'!$E$11+1,1))-AVERAGE(OFFSET($H$3,0,0,'Données projet'!$E$11+1,1))</f>
        <v>216.95993967070063</v>
      </c>
      <c r="BJ125" s="62">
        <f t="shared" si="92"/>
        <v>208.79744153433245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3.2</v>
      </c>
      <c r="BY125" s="13">
        <f>IF('Données projet'!$A$114&gt;35,BY124+BX125-CG124,IF(A125&lt;'Données projet'!$A$114,$BV$205^A125,IF(A125='Données projet'!$A$114,'Données projet'!$B$114,BY124+BX125-CG124)))</f>
        <v>274.39999999999924</v>
      </c>
      <c r="BZ125" s="14">
        <f>BY125*VLOOKUP('Données projet'!$B$12,Paramètres!$A$1:$I$89,3,0)*VLOOKUP('Données projet'!$B$12,Paramètres!$A$1:$I$89,5,0)</f>
        <v>265.39967999999925</v>
      </c>
      <c r="CA125" s="14">
        <f t="shared" si="93"/>
        <v>63.871990958214283</v>
      </c>
      <c r="CB125" s="22">
        <f t="shared" si="64"/>
        <v>573.4814935855552</v>
      </c>
      <c r="CC125" s="62">
        <f t="shared" si="65"/>
        <v>866.81482691888846</v>
      </c>
      <c r="CD125" s="62">
        <f ca="1">AVERAGE(OFFSET($CC$3,0,0,'Données projet'!$E$12+1,1))-AVERAGE(OFFSET($H$3,0,0,'Données projet'!$E$12+1,1))</f>
        <v>329.13617179625538</v>
      </c>
      <c r="CE125" s="62">
        <f t="shared" si="94"/>
        <v>186.45728006007261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175.05987582828078</v>
      </c>
      <c r="T126" s="62">
        <f t="shared" si="88"/>
        <v>268.54782308462387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0.6891074203572447</v>
      </c>
      <c r="AB126" s="23">
        <f>EXP(-LN(2)/2)*AB125+(1-EXP(-LN(2)/2))/(LN(2)/2)*V126*Y126*VLOOKUP('Données projet'!$B$9,Paramètres!$A$1:$I$89,3,0)*0.475*44/12</f>
        <v>1.271042590431687E-13</v>
      </c>
      <c r="AC126" s="24">
        <f t="shared" si="57"/>
        <v>0.68910742035737182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3.2</v>
      </c>
      <c r="AI126" s="14">
        <f>IF('Données projet'!$A$62&gt;35,AI125+AH126-AQ125,IF(A126&lt;'Données projet'!$A$62,$AF$205^A126,IF(A126='Données projet'!$A$62,'Données projet'!$B$62,AI125+AH126-AQ125)))</f>
        <v>277.59999999999923</v>
      </c>
      <c r="AJ126" s="14">
        <f>AI126*VLOOKUP('Données projet'!$B$10,Paramètres!$A$1:$I$89,3,0)*VLOOKUP('Données projet'!$B$10,Paramètres!$A$1:$I$89,5,0)</f>
        <v>251.17247999999927</v>
      </c>
      <c r="AK126" s="14">
        <f t="shared" si="89"/>
        <v>60.836941386956575</v>
      </c>
      <c r="AL126" s="22">
        <f t="shared" si="58"/>
        <v>543.41640891561474</v>
      </c>
      <c r="AM126" s="62">
        <f t="shared" si="59"/>
        <v>836.749742248948</v>
      </c>
      <c r="AN126" s="62">
        <f ca="1">AVERAGE(OFFSET($AM$3,0,0,'Données projet'!$E$10+1,1))-AVERAGE(OFFSET($H$3,0,0,'Données projet'!$E$10+1,1))</f>
        <v>302.55602998433079</v>
      </c>
      <c r="AO126" s="62">
        <f t="shared" si="90"/>
        <v>172.32171001882188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projet'!$B$11,Paramètres!$A$1:$I$89,3,0)*VLOOKUP('Données projet'!$B$11,Paramètres!$A$1:$I$89,5,0)</f>
        <v>4.4337866711430253E-14</v>
      </c>
      <c r="BF126" s="14">
        <f t="shared" si="91"/>
        <v>7.3222115536967035E-13</v>
      </c>
      <c r="BG126" s="22">
        <f t="shared" si="61"/>
        <v>1.3525069634579169E-12</v>
      </c>
      <c r="BH126" s="62">
        <f t="shared" si="62"/>
        <v>293.33333333333468</v>
      </c>
      <c r="BI126" s="62">
        <f ca="1">AVERAGE(OFFSET($BH$3,0,0,'Données projet'!$E$11+1,1))-AVERAGE(OFFSET($H$3,0,0,'Données projet'!$E$11+1,1))</f>
        <v>216.95993967070063</v>
      </c>
      <c r="BJ126" s="62">
        <f t="shared" si="92"/>
        <v>208.79744153433245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3.2</v>
      </c>
      <c r="BY126" s="13">
        <f>IF('Données projet'!$A$114&gt;35,BY125+BX126-CG125,IF(A126&lt;'Données projet'!$A$114,$BV$205^A126,IF(A126='Données projet'!$A$114,'Données projet'!$B$114,BY125+BX126-CG125)))</f>
        <v>277.59999999999923</v>
      </c>
      <c r="BZ126" s="14">
        <f>BY126*VLOOKUP('Données projet'!$B$12,Paramètres!$A$1:$I$89,3,0)*VLOOKUP('Données projet'!$B$12,Paramètres!$A$1:$I$89,5,0)</f>
        <v>268.49471999999923</v>
      </c>
      <c r="CA126" s="14">
        <f t="shared" si="93"/>
        <v>64.529707010294558</v>
      </c>
      <c r="CB126" s="22">
        <f t="shared" si="64"/>
        <v>580.01754370959486</v>
      </c>
      <c r="CC126" s="62">
        <f t="shared" si="65"/>
        <v>873.35087704292823</v>
      </c>
      <c r="CD126" s="62">
        <f ca="1">AVERAGE(OFFSET($CC$3,0,0,'Données projet'!$E$12+1,1))-AVERAGE(OFFSET($H$3,0,0,'Données projet'!$E$12+1,1))</f>
        <v>329.13617179625538</v>
      </c>
      <c r="CE126" s="62">
        <f t="shared" si="94"/>
        <v>186.45728006007261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175.05987582828078</v>
      </c>
      <c r="T127" s="62">
        <f t="shared" si="88"/>
        <v>268.54782308462387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0.67026374170899161</v>
      </c>
      <c r="AB127" s="23">
        <f>EXP(-LN(2)/2)*AB126+(1-EXP(-LN(2)/2))/(LN(2)/2)*V127*Y127*VLOOKUP('Données projet'!$B$9,Paramètres!$A$1:$I$89,3,0)*0.475*44/12</f>
        <v>8.9876283487116142E-14</v>
      </c>
      <c r="AC127" s="24">
        <f t="shared" si="57"/>
        <v>0.67026374170908154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3.2</v>
      </c>
      <c r="AI127" s="14">
        <f>IF('Données projet'!$A$62&gt;35,AI126+AH127-AQ126,IF(A127&lt;'Données projet'!$A$62,$AF$205^A127,IF(A127='Données projet'!$A$62,'Données projet'!$B$62,AI126+AH127-AQ126)))</f>
        <v>280.79999999999922</v>
      </c>
      <c r="AJ127" s="14">
        <f>AI127*VLOOKUP('Données projet'!$B$10,Paramètres!$A$1:$I$89,3,0)*VLOOKUP('Données projet'!$B$10,Paramètres!$A$1:$I$89,5,0)</f>
        <v>254.06783999999925</v>
      </c>
      <c r="AK127" s="14">
        <f t="shared" si="89"/>
        <v>61.456187622750555</v>
      </c>
      <c r="AL127" s="22">
        <f t="shared" si="58"/>
        <v>549.53768144295589</v>
      </c>
      <c r="AM127" s="62">
        <f t="shared" si="59"/>
        <v>842.87101477628926</v>
      </c>
      <c r="AN127" s="62">
        <f ca="1">AVERAGE(OFFSET($AM$3,0,0,'Données projet'!$E$10+1,1))-AVERAGE(OFFSET($H$3,0,0,'Données projet'!$E$10+1,1))</f>
        <v>302.55602998433079</v>
      </c>
      <c r="AO127" s="62">
        <f t="shared" si="90"/>
        <v>172.32171001882188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projet'!$B$11,Paramètres!$A$1:$I$89,3,0)*VLOOKUP('Données projet'!$B$11,Paramètres!$A$1:$I$89,5,0)</f>
        <v>4.4337866711430253E-14</v>
      </c>
      <c r="BF127" s="14">
        <f t="shared" si="91"/>
        <v>7.3222115536967035E-13</v>
      </c>
      <c r="BG127" s="22">
        <f t="shared" si="61"/>
        <v>1.3525069634579169E-12</v>
      </c>
      <c r="BH127" s="62">
        <f t="shared" si="62"/>
        <v>293.33333333333468</v>
      </c>
      <c r="BI127" s="62">
        <f ca="1">AVERAGE(OFFSET($BH$3,0,0,'Données projet'!$E$11+1,1))-AVERAGE(OFFSET($H$3,0,0,'Données projet'!$E$11+1,1))</f>
        <v>216.95993967070063</v>
      </c>
      <c r="BJ127" s="62">
        <f t="shared" si="92"/>
        <v>208.79744153433245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3.2</v>
      </c>
      <c r="BY127" s="13">
        <f>IF('Données projet'!$A$114&gt;35,BY126+BX127-CG126,IF(A127&lt;'Données projet'!$A$114,$BV$205^A127,IF(A127='Données projet'!$A$114,'Données projet'!$B$114,BY126+BX127-CG126)))</f>
        <v>280.79999999999922</v>
      </c>
      <c r="BZ127" s="14">
        <f>BY127*VLOOKUP('Données projet'!$B$12,Paramètres!$A$1:$I$89,3,0)*VLOOKUP('Données projet'!$B$12,Paramètres!$A$1:$I$89,5,0)</f>
        <v>271.58975999999927</v>
      </c>
      <c r="CA127" s="14">
        <f t="shared" si="93"/>
        <v>65.186541118848012</v>
      </c>
      <c r="CB127" s="22">
        <f t="shared" si="64"/>
        <v>586.55205778199229</v>
      </c>
      <c r="CC127" s="62">
        <f t="shared" si="65"/>
        <v>879.88539111532555</v>
      </c>
      <c r="CD127" s="62">
        <f ca="1">AVERAGE(OFFSET($CC$3,0,0,'Données projet'!$E$12+1,1))-AVERAGE(OFFSET($H$3,0,0,'Données projet'!$E$12+1,1))</f>
        <v>329.13617179625538</v>
      </c>
      <c r="CE127" s="62">
        <f t="shared" si="94"/>
        <v>186.45728006007261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175.05987582828078</v>
      </c>
      <c r="T128" s="62">
        <f t="shared" si="88"/>
        <v>268.54782308462387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0.651935344444321</v>
      </c>
      <c r="AB128" s="23">
        <f>EXP(-LN(2)/2)*AB127+(1-EXP(-LN(2)/2))/(LN(2)/2)*V128*Y128*VLOOKUP('Données projet'!$B$9,Paramètres!$A$1:$I$89,3,0)*0.475*44/12</f>
        <v>6.3552129521584348E-14</v>
      </c>
      <c r="AC128" s="24">
        <f t="shared" si="57"/>
        <v>0.6519353444443845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3.2</v>
      </c>
      <c r="AI128" s="14">
        <f>IF('Données projet'!$A$62&gt;35,AI127+AH128-AQ127,IF(A128&lt;'Données projet'!$A$62,$AF$205^A128,IF(A128='Données projet'!$A$62,'Données projet'!$B$62,AI127+AH128-AQ127)))</f>
        <v>283.9999999999992</v>
      </c>
      <c r="AJ128" s="14">
        <f>AI128*VLOOKUP('Données projet'!$B$10,Paramètres!$A$1:$I$89,3,0)*VLOOKUP('Données projet'!$B$10,Paramètres!$A$1:$I$89,5,0)</f>
        <v>256.96319999999923</v>
      </c>
      <c r="AK128" s="14">
        <f t="shared" si="89"/>
        <v>62.074612956837854</v>
      </c>
      <c r="AL128" s="22">
        <f t="shared" si="58"/>
        <v>555.65752423315791</v>
      </c>
      <c r="AM128" s="62">
        <f t="shared" si="59"/>
        <v>848.99085756649129</v>
      </c>
      <c r="AN128" s="62">
        <f ca="1">AVERAGE(OFFSET($AM$3,0,0,'Données projet'!$E$10+1,1))-AVERAGE(OFFSET($H$3,0,0,'Données projet'!$E$10+1,1))</f>
        <v>302.55602998433079</v>
      </c>
      <c r="AO128" s="62">
        <f t="shared" si="90"/>
        <v>172.32171001882188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projet'!$B$11,Paramètres!$A$1:$I$89,3,0)*VLOOKUP('Données projet'!$B$11,Paramètres!$A$1:$I$89,5,0)</f>
        <v>4.4337866711430253E-14</v>
      </c>
      <c r="BF128" s="14">
        <f t="shared" si="91"/>
        <v>7.3222115536967035E-13</v>
      </c>
      <c r="BG128" s="22">
        <f t="shared" si="61"/>
        <v>1.3525069634579169E-12</v>
      </c>
      <c r="BH128" s="62">
        <f t="shared" si="62"/>
        <v>293.33333333333468</v>
      </c>
      <c r="BI128" s="62">
        <f ca="1">AVERAGE(OFFSET($BH$3,0,0,'Données projet'!$E$11+1,1))-AVERAGE(OFFSET($H$3,0,0,'Données projet'!$E$11+1,1))</f>
        <v>216.95993967070063</v>
      </c>
      <c r="BJ128" s="62">
        <f t="shared" si="92"/>
        <v>208.79744153433245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3.2</v>
      </c>
      <c r="BY128" s="13">
        <f>IF('Données projet'!$A$114&gt;35,BY127+BX128-CG127,IF(A128&lt;'Données projet'!$A$114,$BV$205^A128,IF(A128='Données projet'!$A$114,'Données projet'!$B$114,BY127+BX128-CG127)))</f>
        <v>283.9999999999992</v>
      </c>
      <c r="BZ128" s="14">
        <f>BY128*VLOOKUP('Données projet'!$B$12,Paramètres!$A$1:$I$89,3,0)*VLOOKUP('Données projet'!$B$12,Paramètres!$A$1:$I$89,5,0)</f>
        <v>274.68479999999926</v>
      </c>
      <c r="CA128" s="14">
        <f t="shared" si="93"/>
        <v>65.842504497456545</v>
      </c>
      <c r="CB128" s="22">
        <f t="shared" si="64"/>
        <v>593.08505533306891</v>
      </c>
      <c r="CC128" s="62">
        <f t="shared" si="65"/>
        <v>886.41838866640228</v>
      </c>
      <c r="CD128" s="62">
        <f ca="1">AVERAGE(OFFSET($CC$3,0,0,'Données projet'!$E$12+1,1))-AVERAGE(OFFSET($H$3,0,0,'Données projet'!$E$12+1,1))</f>
        <v>329.13617179625538</v>
      </c>
      <c r="CE128" s="62">
        <f t="shared" si="94"/>
        <v>186.45728006007261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175.05987582828078</v>
      </c>
      <c r="T129" s="62">
        <f t="shared" si="88"/>
        <v>268.54782308462387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0.63410813816670131</v>
      </c>
      <c r="AB129" s="23">
        <f>EXP(-LN(2)/2)*AB128+(1-EXP(-LN(2)/2))/(LN(2)/2)*V129*Y129*VLOOKUP('Données projet'!$B$9,Paramètres!$A$1:$I$89,3,0)*0.475*44/12</f>
        <v>4.4938141743558071E-14</v>
      </c>
      <c r="AC129" s="24">
        <f t="shared" si="57"/>
        <v>0.63410813816674627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3.2</v>
      </c>
      <c r="AI129" s="14">
        <f>IF('Données projet'!$A$62&gt;35,AI128+AH129-AQ128,IF(A129&lt;'Données projet'!$A$62,$AF$205^A129,IF(A129='Données projet'!$A$62,'Données projet'!$B$62,AI128+AH129-AQ128)))</f>
        <v>287.19999999999919</v>
      </c>
      <c r="AJ129" s="14">
        <f>AI129*VLOOKUP('Données projet'!$B$10,Paramètres!$A$1:$I$89,3,0)*VLOOKUP('Données projet'!$B$10,Paramètres!$A$1:$I$89,5,0)</f>
        <v>259.85855999999927</v>
      </c>
      <c r="AK129" s="14">
        <f t="shared" si="89"/>
        <v>62.692227709138365</v>
      </c>
      <c r="AL129" s="22">
        <f t="shared" si="58"/>
        <v>561.77595526008133</v>
      </c>
      <c r="AM129" s="62">
        <f t="shared" si="59"/>
        <v>855.1092885934147</v>
      </c>
      <c r="AN129" s="62">
        <f ca="1">AVERAGE(OFFSET($AM$3,0,0,'Données projet'!$E$10+1,1))-AVERAGE(OFFSET($H$3,0,0,'Données projet'!$E$10+1,1))</f>
        <v>302.55602998433079</v>
      </c>
      <c r="AO129" s="62">
        <f t="shared" si="90"/>
        <v>172.32171001882188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projet'!$B$11,Paramètres!$A$1:$I$89,3,0)*VLOOKUP('Données projet'!$B$11,Paramètres!$A$1:$I$89,5,0)</f>
        <v>4.4337866711430253E-14</v>
      </c>
      <c r="BF129" s="14">
        <f t="shared" si="91"/>
        <v>7.3222115536967035E-13</v>
      </c>
      <c r="BG129" s="22">
        <f t="shared" si="61"/>
        <v>1.3525069634579169E-12</v>
      </c>
      <c r="BH129" s="62">
        <f t="shared" si="62"/>
        <v>293.33333333333468</v>
      </c>
      <c r="BI129" s="62">
        <f ca="1">AVERAGE(OFFSET($BH$3,0,0,'Données projet'!$E$11+1,1))-AVERAGE(OFFSET($H$3,0,0,'Données projet'!$E$11+1,1))</f>
        <v>216.95993967070063</v>
      </c>
      <c r="BJ129" s="62">
        <f t="shared" si="92"/>
        <v>208.79744153433245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3.2</v>
      </c>
      <c r="BY129" s="13">
        <f>IF('Données projet'!$A$114&gt;35,BY128+BX129-CG128,IF(A129&lt;'Données projet'!$A$114,$BV$205^A129,IF(A129='Données projet'!$A$114,'Données projet'!$B$114,BY128+BX129-CG128)))</f>
        <v>287.19999999999919</v>
      </c>
      <c r="BZ129" s="14">
        <f>BY129*VLOOKUP('Données projet'!$B$12,Paramètres!$A$1:$I$89,3,0)*VLOOKUP('Données projet'!$B$12,Paramètres!$A$1:$I$89,5,0)</f>
        <v>277.77983999999924</v>
      </c>
      <c r="CA129" s="14">
        <f t="shared" si="93"/>
        <v>66.497608092453007</v>
      </c>
      <c r="CB129" s="22">
        <f t="shared" si="64"/>
        <v>599.61655542768756</v>
      </c>
      <c r="CC129" s="62">
        <f t="shared" si="65"/>
        <v>892.94988876102093</v>
      </c>
      <c r="CD129" s="62">
        <f ca="1">AVERAGE(OFFSET($CC$3,0,0,'Données projet'!$E$12+1,1))-AVERAGE(OFFSET($H$3,0,0,'Données projet'!$E$12+1,1))</f>
        <v>329.13617179625538</v>
      </c>
      <c r="CE129" s="62">
        <f t="shared" si="94"/>
        <v>186.45728006007261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175.05987582828078</v>
      </c>
      <c r="T130" s="62">
        <f t="shared" si="88"/>
        <v>268.54782308462387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0.61676841778223512</v>
      </c>
      <c r="AB130" s="23">
        <f>EXP(-LN(2)/2)*AB129+(1-EXP(-LN(2)/2))/(LN(2)/2)*V130*Y130*VLOOKUP('Données projet'!$B$9,Paramètres!$A$1:$I$89,3,0)*0.475*44/12</f>
        <v>3.1776064760792174E-14</v>
      </c>
      <c r="AC130" s="24">
        <f t="shared" si="57"/>
        <v>0.61676841778226688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3.2</v>
      </c>
      <c r="AI130" s="14">
        <f>IF('Données projet'!$A$62&gt;35,AI129+AH130-AQ129,IF(A130&lt;'Données projet'!$A$62,$AF$205^A130,IF(A130='Données projet'!$A$62,'Données projet'!$B$62,AI129+AH130-AQ129)))</f>
        <v>290.39999999999918</v>
      </c>
      <c r="AJ130" s="14">
        <f>AI130*VLOOKUP('Données projet'!$B$10,Paramètres!$A$1:$I$89,3,0)*VLOOKUP('Données projet'!$B$10,Paramètres!$A$1:$I$89,5,0)</f>
        <v>262.75391999999925</v>
      </c>
      <c r="AK130" s="14">
        <f t="shared" si="89"/>
        <v>63.309041956360154</v>
      </c>
      <c r="AL130" s="22">
        <f t="shared" si="58"/>
        <v>567.89299207399256</v>
      </c>
      <c r="AM130" s="62">
        <f t="shared" si="59"/>
        <v>861.22632540732593</v>
      </c>
      <c r="AN130" s="62">
        <f ca="1">AVERAGE(OFFSET($AM$3,0,0,'Données projet'!$E$10+1,1))-AVERAGE(OFFSET($H$3,0,0,'Données projet'!$E$10+1,1))</f>
        <v>302.55602998433079</v>
      </c>
      <c r="AO130" s="62">
        <f t="shared" si="90"/>
        <v>172.32171001882188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projet'!$B$11,Paramètres!$A$1:$I$89,3,0)*VLOOKUP('Données projet'!$B$11,Paramètres!$A$1:$I$89,5,0)</f>
        <v>4.4337866711430253E-14</v>
      </c>
      <c r="BF130" s="14">
        <f t="shared" si="91"/>
        <v>7.3222115536967035E-13</v>
      </c>
      <c r="BG130" s="22">
        <f t="shared" si="61"/>
        <v>1.3525069634579169E-12</v>
      </c>
      <c r="BH130" s="62">
        <f t="shared" si="62"/>
        <v>293.33333333333468</v>
      </c>
      <c r="BI130" s="62">
        <f ca="1">AVERAGE(OFFSET($BH$3,0,0,'Données projet'!$E$11+1,1))-AVERAGE(OFFSET($H$3,0,0,'Données projet'!$E$11+1,1))</f>
        <v>216.95993967070063</v>
      </c>
      <c r="BJ130" s="62">
        <f t="shared" si="92"/>
        <v>208.79744153433245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3.2</v>
      </c>
      <c r="BY130" s="13">
        <f>IF('Données projet'!$A$114&gt;35,BY129+BX130-CG129,IF(A130&lt;'Données projet'!$A$114,$BV$205^A130,IF(A130='Données projet'!$A$114,'Données projet'!$B$114,BY129+BX130-CG129)))</f>
        <v>290.39999999999918</v>
      </c>
      <c r="BZ130" s="14">
        <f>BY130*VLOOKUP('Données projet'!$B$12,Paramètres!$A$1:$I$89,3,0)*VLOOKUP('Données projet'!$B$12,Paramètres!$A$1:$I$89,5,0)</f>
        <v>280.87487999999922</v>
      </c>
      <c r="CA130" s="14">
        <f t="shared" si="93"/>
        <v>67.151862592195727</v>
      </c>
      <c r="CB130" s="22">
        <f t="shared" si="64"/>
        <v>606.14657668140615</v>
      </c>
      <c r="CC130" s="62">
        <f t="shared" si="65"/>
        <v>899.47991001473952</v>
      </c>
      <c r="CD130" s="62">
        <f ca="1">AVERAGE(OFFSET($CC$3,0,0,'Données projet'!$E$12+1,1))-AVERAGE(OFFSET($H$3,0,0,'Données projet'!$E$12+1,1))</f>
        <v>329.13617179625538</v>
      </c>
      <c r="CE130" s="62">
        <f t="shared" si="94"/>
        <v>186.45728006007261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175.05987582828078</v>
      </c>
      <c r="T131" s="62">
        <f t="shared" si="88"/>
        <v>268.54782308462387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0.5999028529635384</v>
      </c>
      <c r="AB131" s="23">
        <f>EXP(-LN(2)/2)*AB130+(1-EXP(-LN(2)/2))/(LN(2)/2)*V131*Y131*VLOOKUP('Données projet'!$B$9,Paramètres!$A$1:$I$89,3,0)*0.475*44/12</f>
        <v>2.2469070871779035E-14</v>
      </c>
      <c r="AC131" s="24">
        <f t="shared" si="57"/>
        <v>0.59990285296356083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3.2</v>
      </c>
      <c r="AI131" s="14">
        <f>IF('Données projet'!$A$62&gt;35,AI130+AH131-AQ130,IF(A131&lt;'Données projet'!$A$62,$AF$205^A131,IF(A131='Données projet'!$A$62,'Données projet'!$B$62,AI130+AH131-AQ130)))</f>
        <v>293.59999999999917</v>
      </c>
      <c r="AJ131" s="14">
        <f>AI131*VLOOKUP('Données projet'!$B$10,Paramètres!$A$1:$I$89,3,0)*VLOOKUP('Données projet'!$B$10,Paramètres!$A$1:$I$89,5,0)</f>
        <v>265.64927999999924</v>
      </c>
      <c r="AK131" s="14">
        <f t="shared" si="89"/>
        <v>63.92506554034685</v>
      </c>
      <c r="AL131" s="22">
        <f t="shared" si="58"/>
        <v>574.00865181610277</v>
      </c>
      <c r="AM131" s="62">
        <f t="shared" si="59"/>
        <v>867.34198514943614</v>
      </c>
      <c r="AN131" s="62">
        <f ca="1">AVERAGE(OFFSET($AM$3,0,0,'Données projet'!$E$10+1,1))-AVERAGE(OFFSET($H$3,0,0,'Données projet'!$E$10+1,1))</f>
        <v>302.55602998433079</v>
      </c>
      <c r="AO131" s="62">
        <f t="shared" si="90"/>
        <v>172.32171001882188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projet'!$B$11,Paramètres!$A$1:$I$89,3,0)*VLOOKUP('Données projet'!$B$11,Paramètres!$A$1:$I$89,5,0)</f>
        <v>4.4337866711430253E-14</v>
      </c>
      <c r="BF131" s="14">
        <f t="shared" si="91"/>
        <v>7.3222115536967035E-13</v>
      </c>
      <c r="BG131" s="22">
        <f t="shared" si="61"/>
        <v>1.3525069634579169E-12</v>
      </c>
      <c r="BH131" s="62">
        <f t="shared" si="62"/>
        <v>293.33333333333468</v>
      </c>
      <c r="BI131" s="62">
        <f ca="1">AVERAGE(OFFSET($BH$3,0,0,'Données projet'!$E$11+1,1))-AVERAGE(OFFSET($H$3,0,0,'Données projet'!$E$11+1,1))</f>
        <v>216.95993967070063</v>
      </c>
      <c r="BJ131" s="62">
        <f t="shared" si="92"/>
        <v>208.79744153433245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3.2</v>
      </c>
      <c r="BY131" s="13">
        <f>IF('Données projet'!$A$114&gt;35,BY130+BX131-CG130,IF(A131&lt;'Données projet'!$A$114,$BV$205^A131,IF(A131='Données projet'!$A$114,'Données projet'!$B$114,BY130+BX131-CG130)))</f>
        <v>293.59999999999917</v>
      </c>
      <c r="BZ131" s="14">
        <f>BY131*VLOOKUP('Données projet'!$B$12,Paramètres!$A$1:$I$89,3,0)*VLOOKUP('Données projet'!$B$12,Paramètres!$A$1:$I$89,5,0)</f>
        <v>283.96991999999921</v>
      </c>
      <c r="CA131" s="14">
        <f t="shared" si="93"/>
        <v>67.805278435922091</v>
      </c>
      <c r="CB131" s="22">
        <f t="shared" si="64"/>
        <v>612.6751372758963</v>
      </c>
      <c r="CC131" s="62">
        <f t="shared" si="65"/>
        <v>906.00847060922956</v>
      </c>
      <c r="CD131" s="62">
        <f ca="1">AVERAGE(OFFSET($CC$3,0,0,'Données projet'!$E$12+1,1))-AVERAGE(OFFSET($H$3,0,0,'Données projet'!$E$12+1,1))</f>
        <v>329.13617179625538</v>
      </c>
      <c r="CE131" s="62">
        <f t="shared" si="94"/>
        <v>186.45728006007261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175.05987582828078</v>
      </c>
      <c r="T132" s="62">
        <f t="shared" si="88"/>
        <v>268.54782308462387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0.58349847790173048</v>
      </c>
      <c r="AB132" s="23">
        <f>EXP(-LN(2)/2)*AB131+(1-EXP(-LN(2)/2))/(LN(2)/2)*V132*Y132*VLOOKUP('Données projet'!$B$9,Paramètres!$A$1:$I$89,3,0)*0.475*44/12</f>
        <v>1.5888032380396087E-14</v>
      </c>
      <c r="AC132" s="24">
        <f t="shared" ref="AC132:AC153" si="111">SUM(Z132:AB132)</f>
        <v>0.58349847790174636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3.2</v>
      </c>
      <c r="AI132" s="14">
        <f>IF('Données projet'!$A$62&gt;35,AI131+AH132-AQ131,IF(A132&lt;'Données projet'!$A$62,$AF$205^A132,IF(A132='Données projet'!$A$62,'Données projet'!$B$62,AI131+AH132-AQ131)))</f>
        <v>296.79999999999916</v>
      </c>
      <c r="AJ132" s="14">
        <f>AI132*VLOOKUP('Données projet'!$B$10,Paramètres!$A$1:$I$89,3,0)*VLOOKUP('Données projet'!$B$10,Paramètres!$A$1:$I$89,5,0)</f>
        <v>268.54463999999922</v>
      </c>
      <c r="AK132" s="14">
        <f t="shared" si="89"/>
        <v>64.540308076050536</v>
      </c>
      <c r="AL132" s="22">
        <f t="shared" ref="AL132:AL153" si="112">(AJ132+AK132)*0.475*44/12</f>
        <v>580.12295123245315</v>
      </c>
      <c r="AM132" s="62">
        <f t="shared" ref="AM132:AM195" si="113">AL132+(AD132+AE132)*44/12</f>
        <v>873.45628456578652</v>
      </c>
      <c r="AN132" s="62">
        <f ca="1">AVERAGE(OFFSET($AM$3,0,0,'Données projet'!$E$10+1,1))-AVERAGE(OFFSET($H$3,0,0,'Données projet'!$E$10+1,1))</f>
        <v>302.55602998433079</v>
      </c>
      <c r="AO132" s="62">
        <f t="shared" si="90"/>
        <v>172.32171001882188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projet'!$B$11,Paramètres!$A$1:$I$89,3,0)*VLOOKUP('Données projet'!$B$11,Paramètres!$A$1:$I$89,5,0)</f>
        <v>4.4337866711430253E-14</v>
      </c>
      <c r="BF132" s="14">
        <f t="shared" si="91"/>
        <v>7.3222115536967035E-13</v>
      </c>
      <c r="BG132" s="22">
        <f t="shared" ref="BG132:BG153" si="115">(BE132+BF132)*0.475*44/12</f>
        <v>1.3525069634579169E-12</v>
      </c>
      <c r="BH132" s="62">
        <f t="shared" ref="BH132:BH195" si="116">BG132+(AY132+AZ132)*44/12</f>
        <v>293.33333333333468</v>
      </c>
      <c r="BI132" s="62">
        <f ca="1">AVERAGE(OFFSET($BH$3,0,0,'Données projet'!$E$11+1,1))-AVERAGE(OFFSET($H$3,0,0,'Données projet'!$E$11+1,1))</f>
        <v>216.95993967070063</v>
      </c>
      <c r="BJ132" s="62">
        <f t="shared" si="92"/>
        <v>208.79744153433245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3.2</v>
      </c>
      <c r="BY132" s="13">
        <f>IF('Données projet'!$A$114&gt;35,BY131+BX132-CG131,IF(A132&lt;'Données projet'!$A$114,$BV$205^A132,IF(A132='Données projet'!$A$114,'Données projet'!$B$114,BY131+BX132-CG131)))</f>
        <v>296.79999999999916</v>
      </c>
      <c r="BZ132" s="14">
        <f>BY132*VLOOKUP('Données projet'!$B$12,Paramètres!$A$1:$I$89,3,0)*VLOOKUP('Données projet'!$B$12,Paramètres!$A$1:$I$89,5,0)</f>
        <v>287.06495999999919</v>
      </c>
      <c r="CA132" s="14">
        <f t="shared" si="93"/>
        <v>68.457865822206131</v>
      </c>
      <c r="CB132" s="22">
        <f t="shared" ref="CB132:CB153" si="118">(BZ132+CA132)*0.475*44/12</f>
        <v>619.20225497367426</v>
      </c>
      <c r="CC132" s="62">
        <f t="shared" ref="CC132:CC195" si="119">CB132+(BT132+BU132)*44/12</f>
        <v>912.53558830700763</v>
      </c>
      <c r="CD132" s="62">
        <f ca="1">AVERAGE(OFFSET($CC$3,0,0,'Données projet'!$E$12+1,1))-AVERAGE(OFFSET($H$3,0,0,'Données projet'!$E$12+1,1))</f>
        <v>329.13617179625538</v>
      </c>
      <c r="CE132" s="62">
        <f t="shared" si="94"/>
        <v>186.45728006007261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175.05987582828078</v>
      </c>
      <c r="T133" s="62">
        <f t="shared" ref="T133:T196" si="142">$T$3</f>
        <v>268.54782308462387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0.56754268133865626</v>
      </c>
      <c r="AB133" s="23">
        <f>EXP(-LN(2)/2)*AB132+(1-EXP(-LN(2)/2))/(LN(2)/2)*V133*Y133*VLOOKUP('Données projet'!$B$9,Paramètres!$A$1:$I$89,3,0)*0.475*44/12</f>
        <v>1.1234535435889518E-14</v>
      </c>
      <c r="AC133" s="24">
        <f t="shared" si="111"/>
        <v>0.56754268133866748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300</v>
      </c>
      <c r="AG133" s="13">
        <f>VLOOKUP(A133,'Données projet'!$A$61:$I$81,9,0)</f>
        <v>3.2</v>
      </c>
      <c r="AH133" s="13">
        <f t="array" ref="AH133">INDEX(AG:AG,MIN(IF(ISNUMBER(AG133:AG329),ROW(AG133:AG329),"")))</f>
        <v>3.2</v>
      </c>
      <c r="AI133" s="14">
        <f>IF('Données projet'!$A$62&gt;35,AI132+AH133-AQ132,IF(A133&lt;'Données projet'!$A$62,$AF$205^A133,IF(A133='Données projet'!$A$62,'Données projet'!$B$62,AI132+AH133-AQ132)))</f>
        <v>299.99999999999915</v>
      </c>
      <c r="AJ133" s="14">
        <f>AI133*VLOOKUP('Données projet'!$B$10,Paramètres!$A$1:$I$89,3,0)*VLOOKUP('Données projet'!$B$10,Paramètres!$A$1:$I$89,5,0)</f>
        <v>271.4399999999992</v>
      </c>
      <c r="AK133" s="14">
        <f t="shared" ref="AK133:AK153" si="143">EXP(-1.0587+0.8836*LN(AJ133)+0.284)</f>
        <v>65.154778959151059</v>
      </c>
      <c r="AL133" s="22">
        <f t="shared" si="112"/>
        <v>586.23590668718668</v>
      </c>
      <c r="AM133" s="62">
        <f t="shared" si="113"/>
        <v>879.56924002052006</v>
      </c>
      <c r="AN133" s="62">
        <f ca="1">AVERAGE(OFFSET($AM$3,0,0,'Données projet'!$E$10+1,1))-AVERAGE(OFFSET($H$3,0,0,'Données projet'!$E$10+1,1))</f>
        <v>302.55602998433079</v>
      </c>
      <c r="AO133" s="62">
        <f t="shared" ref="AO133:AO196" si="144">$AO$3</f>
        <v>172.32171001882188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projet'!$B$11,Paramètres!$A$1:$I$89,3,0)*VLOOKUP('Données projet'!$B$11,Paramètres!$A$1:$I$89,5,0)</f>
        <v>4.4337866711430253E-14</v>
      </c>
      <c r="BF133" s="14">
        <f t="shared" ref="BF133:BF153" si="145">EXP(-1.0587+0.8836*LN(BE133)+0.284)</f>
        <v>7.3222115536967035E-13</v>
      </c>
      <c r="BG133" s="22">
        <f t="shared" si="115"/>
        <v>1.3525069634579169E-12</v>
      </c>
      <c r="BH133" s="62">
        <f t="shared" si="116"/>
        <v>293.33333333333468</v>
      </c>
      <c r="BI133" s="62">
        <f ca="1">AVERAGE(OFFSET($BH$3,0,0,'Données projet'!$E$11+1,1))-AVERAGE(OFFSET($H$3,0,0,'Données projet'!$E$11+1,1))</f>
        <v>216.95993967070063</v>
      </c>
      <c r="BJ133" s="62">
        <f t="shared" ref="BJ133:BJ196" si="146">$BJ$3</f>
        <v>208.79744153433245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300</v>
      </c>
      <c r="BW133" s="13">
        <f>VLOOKUP(A133,'Données projet'!$A$113:$I$133,9,0)</f>
        <v>3.2</v>
      </c>
      <c r="BX133" s="13">
        <f t="array" ref="BX133">INDEX(BW:BW,MIN(IF(ISNUMBER(BW133:BW329),ROW(BW133:BW329),"")))</f>
        <v>3.2</v>
      </c>
      <c r="BY133" s="13">
        <f>IF('Données projet'!$A$114&gt;35,BY132+BX133-CG132,IF(A133&lt;'Données projet'!$A$114,$BV$205^A133,IF(A133='Données projet'!$A$114,'Données projet'!$B$114,BY132+BX133-CG132)))</f>
        <v>299.99999999999915</v>
      </c>
      <c r="BZ133" s="14">
        <f>BY133*VLOOKUP('Données projet'!$B$12,Paramètres!$A$1:$I$89,3,0)*VLOOKUP('Données projet'!$B$12,Paramètres!$A$1:$I$89,5,0)</f>
        <v>290.15999999999917</v>
      </c>
      <c r="CA133" s="14">
        <f t="shared" ref="CA133:CA153" si="147">EXP(-1.0587+0.8836*LN(BZ133)+0.284)</f>
        <v>69.109634717039754</v>
      </c>
      <c r="CB133" s="22">
        <f t="shared" si="118"/>
        <v>625.72794713217604</v>
      </c>
      <c r="CC133" s="62">
        <f t="shared" si="119"/>
        <v>919.0612804655093</v>
      </c>
      <c r="CD133" s="62">
        <f ca="1">AVERAGE(OFFSET($CC$3,0,0,'Données projet'!$E$12+1,1))-AVERAGE(OFFSET($H$3,0,0,'Données projet'!$E$12+1,1))</f>
        <v>329.13617179625538</v>
      </c>
      <c r="CE133" s="62">
        <f t="shared" ref="CE133:CE196" si="148">$CE$3</f>
        <v>186.45728006007261</v>
      </c>
      <c r="CF133" s="16">
        <f>IF(ISNA(VLOOKUP(A133,'Données projet'!$A$113:$I$133,3,0)),0,VLOOKUP(A133,'Données projet'!$A$113:$I$133,3,0))</f>
        <v>11</v>
      </c>
      <c r="CG133" s="16">
        <f>IF(ISNA(VLOOKUP(A133,'Données projet'!$A$113:$I$133,4,0)),0,VLOOKUP(A133,'Données projet'!$A$113:$I$133,4,0))</f>
        <v>31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175.05987582828078</v>
      </c>
      <c r="T134" s="62">
        <f t="shared" si="142"/>
        <v>268.54782308462387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0.55202319687167822</v>
      </c>
      <c r="AB134" s="23">
        <f>EXP(-LN(2)/2)*AB133+(1-EXP(-LN(2)/2))/(LN(2)/2)*V134*Y134*VLOOKUP('Données projet'!$B$9,Paramètres!$A$1:$I$89,3,0)*0.475*44/12</f>
        <v>7.9440161901980435E-15</v>
      </c>
      <c r="AC134" s="24">
        <f t="shared" si="111"/>
        <v>0.55202319687168622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2.7</v>
      </c>
      <c r="AI134" s="14">
        <f>IF('Données projet'!$A$62&gt;35,AI133+AH134-AQ133,IF(A134&lt;'Données projet'!$A$62,$AF$205^A134,IF(A134='Données projet'!$A$62,'Données projet'!$B$62,AI133+AH134-AQ133)))</f>
        <v>271.69999999999914</v>
      </c>
      <c r="AJ134" s="14">
        <f>AI134*VLOOKUP('Données projet'!$B$10,Paramètres!$A$1:$I$89,3,0)*VLOOKUP('Données projet'!$B$10,Paramètres!$A$1:$I$89,5,0)</f>
        <v>245.83415999999923</v>
      </c>
      <c r="AK134" s="14">
        <f t="shared" si="143"/>
        <v>59.693018383856618</v>
      </c>
      <c r="AL134" s="22">
        <f t="shared" si="112"/>
        <v>532.12650235188221</v>
      </c>
      <c r="AM134" s="62">
        <f t="shared" si="113"/>
        <v>825.45983568521547</v>
      </c>
      <c r="AN134" s="62">
        <f ca="1">AVERAGE(OFFSET($AM$3,0,0,'Données projet'!$E$10+1,1))-AVERAGE(OFFSET($H$3,0,0,'Données projet'!$E$10+1,1))</f>
        <v>302.55602998433079</v>
      </c>
      <c r="AO134" s="62">
        <f t="shared" si="144"/>
        <v>172.32171001882188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projet'!$B$11,Paramètres!$A$1:$I$89,3,0)*VLOOKUP('Données projet'!$B$11,Paramètres!$A$1:$I$89,5,0)</f>
        <v>4.4337866711430253E-14</v>
      </c>
      <c r="BF134" s="14">
        <f t="shared" si="145"/>
        <v>7.3222115536967035E-13</v>
      </c>
      <c r="BG134" s="22">
        <f t="shared" si="115"/>
        <v>1.3525069634579169E-12</v>
      </c>
      <c r="BH134" s="62">
        <f t="shared" si="116"/>
        <v>293.33333333333468</v>
      </c>
      <c r="BI134" s="62">
        <f ca="1">AVERAGE(OFFSET($BH$3,0,0,'Données projet'!$E$11+1,1))-AVERAGE(OFFSET($H$3,0,0,'Données projet'!$E$11+1,1))</f>
        <v>216.95993967070063</v>
      </c>
      <c r="BJ134" s="62">
        <f t="shared" si="146"/>
        <v>208.79744153433245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2.7</v>
      </c>
      <c r="BY134" s="13">
        <f>IF('Données projet'!$A$114&gt;35,BY133+BX134-CG133,IF(A134&lt;'Données projet'!$A$114,$BV$205^A134,IF(A134='Données projet'!$A$114,'Données projet'!$B$114,BY133+BX134-CG133)))</f>
        <v>271.69999999999914</v>
      </c>
      <c r="BZ134" s="14">
        <f>BY134*VLOOKUP('Données projet'!$B$12,Paramètres!$A$1:$I$89,3,0)*VLOOKUP('Données projet'!$B$12,Paramètres!$A$1:$I$89,5,0)</f>
        <v>262.78823999999918</v>
      </c>
      <c r="CA134" s="14">
        <f t="shared" si="147"/>
        <v>63.316348571334714</v>
      </c>
      <c r="CB134" s="22">
        <f t="shared" si="118"/>
        <v>567.96549176173994</v>
      </c>
      <c r="CC134" s="62">
        <f t="shared" si="119"/>
        <v>861.2988250950732</v>
      </c>
      <c r="CD134" s="62">
        <f ca="1">AVERAGE(OFFSET($CC$3,0,0,'Données projet'!$E$12+1,1))-AVERAGE(OFFSET($H$3,0,0,'Données projet'!$E$12+1,1))</f>
        <v>329.13617179625538</v>
      </c>
      <c r="CE134" s="62">
        <f t="shared" si="148"/>
        <v>186.45728006007261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175.05987582828078</v>
      </c>
      <c r="T135" s="62">
        <f t="shared" si="142"/>
        <v>268.54782308462387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0.53692809352358395</v>
      </c>
      <c r="AB135" s="23">
        <f>EXP(-LN(2)/2)*AB134+(1-EXP(-LN(2)/2))/(LN(2)/2)*V135*Y135*VLOOKUP('Données projet'!$B$9,Paramètres!$A$1:$I$89,3,0)*0.475*44/12</f>
        <v>5.6172677179447589E-15</v>
      </c>
      <c r="AC135" s="24">
        <f t="shared" si="111"/>
        <v>0.53692809352358961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2.7</v>
      </c>
      <c r="AI135" s="14">
        <f>IF('Données projet'!$A$62&gt;35,AI134+AH135-AQ134,IF(A135&lt;'Données projet'!$A$62,$AF$205^A135,IF(A135='Données projet'!$A$62,'Données projet'!$B$62,AI134+AH135-AQ134)))</f>
        <v>274.39999999999912</v>
      </c>
      <c r="AJ135" s="14">
        <f>AI135*VLOOKUP('Données projet'!$B$10,Paramètres!$A$1:$I$89,3,0)*VLOOKUP('Données projet'!$B$10,Paramètres!$A$1:$I$89,5,0)</f>
        <v>248.2771199999992</v>
      </c>
      <c r="AK135" s="14">
        <f t="shared" si="143"/>
        <v>60.2168636775802</v>
      </c>
      <c r="AL135" s="22">
        <f t="shared" si="112"/>
        <v>537.29368823845073</v>
      </c>
      <c r="AM135" s="62">
        <f t="shared" si="113"/>
        <v>830.6270215717841</v>
      </c>
      <c r="AN135" s="62">
        <f ca="1">AVERAGE(OFFSET($AM$3,0,0,'Données projet'!$E$10+1,1))-AVERAGE(OFFSET($H$3,0,0,'Données projet'!$E$10+1,1))</f>
        <v>302.55602998433079</v>
      </c>
      <c r="AO135" s="62">
        <f t="shared" si="144"/>
        <v>172.32171001882188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4.4337866711430253E-14</v>
      </c>
      <c r="BF135" s="14">
        <f t="shared" si="145"/>
        <v>7.3222115536967035E-13</v>
      </c>
      <c r="BG135" s="22">
        <f t="shared" si="115"/>
        <v>1.3525069634579169E-12</v>
      </c>
      <c r="BH135" s="62">
        <f t="shared" si="116"/>
        <v>293.33333333333468</v>
      </c>
      <c r="BI135" s="62">
        <f ca="1">AVERAGE(OFFSET($BH$3,0,0,'Données projet'!$E$11+1,1))-AVERAGE(OFFSET($H$3,0,0,'Données projet'!$E$11+1,1))</f>
        <v>216.95993967070063</v>
      </c>
      <c r="BJ135" s="62">
        <f t="shared" si="146"/>
        <v>208.79744153433245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2.7</v>
      </c>
      <c r="BY135" s="13">
        <f>IF('Données projet'!$A$114&gt;35,BY134+BX135-CG134,IF(A135&lt;'Données projet'!$A$114,$BV$205^A135,IF(A135='Données projet'!$A$114,'Données projet'!$B$114,BY134+BX135-CG134)))</f>
        <v>274.39999999999912</v>
      </c>
      <c r="BZ135" s="14">
        <f>BY135*VLOOKUP('Données projet'!$B$12,Paramètres!$A$1:$I$89,3,0)*VLOOKUP('Données projet'!$B$12,Paramètres!$A$1:$I$89,5,0)</f>
        <v>265.39967999999914</v>
      </c>
      <c r="CA135" s="14">
        <f t="shared" si="147"/>
        <v>63.871990958214283</v>
      </c>
      <c r="CB135" s="22">
        <f t="shared" si="118"/>
        <v>573.48149358555509</v>
      </c>
      <c r="CC135" s="62">
        <f t="shared" si="119"/>
        <v>866.81482691888846</v>
      </c>
      <c r="CD135" s="62">
        <f ca="1">AVERAGE(OFFSET($CC$3,0,0,'Données projet'!$E$12+1,1))-AVERAGE(OFFSET($H$3,0,0,'Données projet'!$E$12+1,1))</f>
        <v>329.13617179625538</v>
      </c>
      <c r="CE135" s="62">
        <f t="shared" si="148"/>
        <v>186.45728006007261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175.05987582828078</v>
      </c>
      <c r="T136" s="62">
        <f t="shared" si="142"/>
        <v>268.54782308462387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0.52224576657036026</v>
      </c>
      <c r="AB136" s="23">
        <f>EXP(-LN(2)/2)*AB135+(1-EXP(-LN(2)/2))/(LN(2)/2)*V136*Y136*VLOOKUP('Données projet'!$B$9,Paramètres!$A$1:$I$89,3,0)*0.475*44/12</f>
        <v>3.9720080950990217E-15</v>
      </c>
      <c r="AC136" s="24">
        <f t="shared" si="111"/>
        <v>0.52224576657036426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2.7</v>
      </c>
      <c r="AI136" s="14">
        <f>IF('Données projet'!$A$62&gt;35,AI135+AH136-AQ135,IF(A136&lt;'Données projet'!$A$62,$AF$205^A136,IF(A136='Données projet'!$A$62,'Données projet'!$B$62,AI135+AH136-AQ135)))</f>
        <v>277.09999999999911</v>
      </c>
      <c r="AJ136" s="14">
        <f>AI136*VLOOKUP('Données projet'!$B$10,Paramètres!$A$1:$I$89,3,0)*VLOOKUP('Données projet'!$B$10,Paramètres!$A$1:$I$89,5,0)</f>
        <v>250.7200799999992</v>
      </c>
      <c r="AK136" s="14">
        <f t="shared" si="143"/>
        <v>60.740109326032652</v>
      </c>
      <c r="AL136" s="22">
        <f t="shared" si="112"/>
        <v>542.45982974283891</v>
      </c>
      <c r="AM136" s="62">
        <f t="shared" si="113"/>
        <v>835.79316307617228</v>
      </c>
      <c r="AN136" s="62">
        <f ca="1">AVERAGE(OFFSET($AM$3,0,0,'Données projet'!$E$10+1,1))-AVERAGE(OFFSET($H$3,0,0,'Données projet'!$E$10+1,1))</f>
        <v>302.55602998433079</v>
      </c>
      <c r="AO136" s="62">
        <f t="shared" si="144"/>
        <v>172.32171001882188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4.4337866711430253E-14</v>
      </c>
      <c r="BF136" s="14">
        <f t="shared" si="145"/>
        <v>7.3222115536967035E-13</v>
      </c>
      <c r="BG136" s="22">
        <f t="shared" si="115"/>
        <v>1.3525069634579169E-12</v>
      </c>
      <c r="BH136" s="62">
        <f t="shared" si="116"/>
        <v>293.33333333333468</v>
      </c>
      <c r="BI136" s="62">
        <f ca="1">AVERAGE(OFFSET($BH$3,0,0,'Données projet'!$E$11+1,1))-AVERAGE(OFFSET($H$3,0,0,'Données projet'!$E$11+1,1))</f>
        <v>216.95993967070063</v>
      </c>
      <c r="BJ136" s="62">
        <f t="shared" si="146"/>
        <v>208.79744153433245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2.7</v>
      </c>
      <c r="BY136" s="13">
        <f>IF('Données projet'!$A$114&gt;35,BY135+BX136-CG135,IF(A136&lt;'Données projet'!$A$114,$BV$205^A136,IF(A136='Données projet'!$A$114,'Données projet'!$B$114,BY135+BX136-CG135)))</f>
        <v>277.09999999999911</v>
      </c>
      <c r="BZ136" s="14">
        <f>BY136*VLOOKUP('Données projet'!$B$12,Paramètres!$A$1:$I$89,3,0)*VLOOKUP('Données projet'!$B$12,Paramètres!$A$1:$I$89,5,0)</f>
        <v>268.01111999999915</v>
      </c>
      <c r="CA136" s="14">
        <f t="shared" si="147"/>
        <v>64.426997301716682</v>
      </c>
      <c r="CB136" s="22">
        <f t="shared" si="118"/>
        <v>578.99638763382166</v>
      </c>
      <c r="CC136" s="62">
        <f t="shared" si="119"/>
        <v>872.32972096715503</v>
      </c>
      <c r="CD136" s="62">
        <f ca="1">AVERAGE(OFFSET($CC$3,0,0,'Données projet'!$E$12+1,1))-AVERAGE(OFFSET($H$3,0,0,'Données projet'!$E$12+1,1))</f>
        <v>329.13617179625538</v>
      </c>
      <c r="CE136" s="62">
        <f t="shared" si="148"/>
        <v>186.45728006007261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175.05987582828078</v>
      </c>
      <c r="T137" s="62">
        <f t="shared" si="142"/>
        <v>268.54782308462387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0.50796492861978249</v>
      </c>
      <c r="AB137" s="23">
        <f>EXP(-LN(2)/2)*AB136+(1-EXP(-LN(2)/2))/(LN(2)/2)*V137*Y137*VLOOKUP('Données projet'!$B$9,Paramètres!$A$1:$I$89,3,0)*0.475*44/12</f>
        <v>2.8086338589723794E-15</v>
      </c>
      <c r="AC137" s="24">
        <f t="shared" si="111"/>
        <v>0.50796492861978526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2.7</v>
      </c>
      <c r="AI137" s="14">
        <f>IF('Données projet'!$A$62&gt;35,AI136+AH137-AQ136,IF(A137&lt;'Données projet'!$A$62,$AF$205^A137,IF(A137='Données projet'!$A$62,'Données projet'!$B$62,AI136+AH137-AQ136)))</f>
        <v>279.7999999999991</v>
      </c>
      <c r="AJ137" s="14">
        <f>AI137*VLOOKUP('Données projet'!$B$10,Paramètres!$A$1:$I$89,3,0)*VLOOKUP('Données projet'!$B$10,Paramètres!$A$1:$I$89,5,0)</f>
        <v>253.1630399999992</v>
      </c>
      <c r="AK137" s="14">
        <f t="shared" si="143"/>
        <v>61.262761848634874</v>
      </c>
      <c r="AL137" s="22">
        <f t="shared" si="112"/>
        <v>547.62493821970429</v>
      </c>
      <c r="AM137" s="62">
        <f t="shared" si="113"/>
        <v>840.95827155303755</v>
      </c>
      <c r="AN137" s="62">
        <f ca="1">AVERAGE(OFFSET($AM$3,0,0,'Données projet'!$E$10+1,1))-AVERAGE(OFFSET($H$3,0,0,'Données projet'!$E$10+1,1))</f>
        <v>302.55602998433079</v>
      </c>
      <c r="AO137" s="62">
        <f t="shared" si="144"/>
        <v>172.32171001882188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4.4337866711430253E-14</v>
      </c>
      <c r="BF137" s="14">
        <f t="shared" si="145"/>
        <v>7.3222115536967035E-13</v>
      </c>
      <c r="BG137" s="22">
        <f t="shared" si="115"/>
        <v>1.3525069634579169E-12</v>
      </c>
      <c r="BH137" s="62">
        <f t="shared" si="116"/>
        <v>293.33333333333468</v>
      </c>
      <c r="BI137" s="62">
        <f ca="1">AVERAGE(OFFSET($BH$3,0,0,'Données projet'!$E$11+1,1))-AVERAGE(OFFSET($H$3,0,0,'Données projet'!$E$11+1,1))</f>
        <v>216.95993967070063</v>
      </c>
      <c r="BJ137" s="62">
        <f t="shared" si="146"/>
        <v>208.79744153433245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2.7</v>
      </c>
      <c r="BY137" s="13">
        <f>IF('Données projet'!$A$114&gt;35,BY136+BX137-CG136,IF(A137&lt;'Données projet'!$A$114,$BV$205^A137,IF(A137='Données projet'!$A$114,'Données projet'!$B$114,BY136+BX137-CG136)))</f>
        <v>279.7999999999991</v>
      </c>
      <c r="BZ137" s="14">
        <f>BY137*VLOOKUP('Données projet'!$B$12,Paramètres!$A$1:$I$89,3,0)*VLOOKUP('Données projet'!$B$12,Paramètres!$A$1:$I$89,5,0)</f>
        <v>270.62255999999911</v>
      </c>
      <c r="CA137" s="14">
        <f t="shared" si="147"/>
        <v>64.981374516987842</v>
      </c>
      <c r="CB137" s="22">
        <f t="shared" si="118"/>
        <v>584.51018595041899</v>
      </c>
      <c r="CC137" s="62">
        <f t="shared" si="119"/>
        <v>877.84351928375236</v>
      </c>
      <c r="CD137" s="62">
        <f ca="1">AVERAGE(OFFSET($CC$3,0,0,'Données projet'!$E$12+1,1))-AVERAGE(OFFSET($H$3,0,0,'Données projet'!$E$12+1,1))</f>
        <v>329.13617179625538</v>
      </c>
      <c r="CE137" s="62">
        <f t="shared" si="148"/>
        <v>186.45728006007261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175.05987582828078</v>
      </c>
      <c r="T138" s="62">
        <f t="shared" si="142"/>
        <v>268.54782308462387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0.49407460093395988</v>
      </c>
      <c r="AB138" s="23">
        <f>EXP(-LN(2)/2)*AB137+(1-EXP(-LN(2)/2))/(LN(2)/2)*V138*Y138*VLOOKUP('Données projet'!$B$9,Paramètres!$A$1:$I$89,3,0)*0.475*44/12</f>
        <v>1.9860040475495109E-15</v>
      </c>
      <c r="AC138" s="24">
        <f t="shared" si="111"/>
        <v>0.49407460093396188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2.7</v>
      </c>
      <c r="AI138" s="14">
        <f>IF('Données projet'!$A$62&gt;35,AI137+AH138-AQ137,IF(A138&lt;'Données projet'!$A$62,$AF$205^A138,IF(A138='Données projet'!$A$62,'Données projet'!$B$62,AI137+AH138-AQ137)))</f>
        <v>282.49999999999909</v>
      </c>
      <c r="AJ138" s="14">
        <f>AI138*VLOOKUP('Données projet'!$B$10,Paramètres!$A$1:$I$89,3,0)*VLOOKUP('Données projet'!$B$10,Paramètres!$A$1:$I$89,5,0)</f>
        <v>255.60599999999917</v>
      </c>
      <c r="AK138" s="14">
        <f t="shared" si="143"/>
        <v>61.784827631732135</v>
      </c>
      <c r="AL138" s="22">
        <f t="shared" si="112"/>
        <v>552.78902479193198</v>
      </c>
      <c r="AM138" s="62">
        <f t="shared" si="113"/>
        <v>846.12235812526524</v>
      </c>
      <c r="AN138" s="62">
        <f ca="1">AVERAGE(OFFSET($AM$3,0,0,'Données projet'!$E$10+1,1))-AVERAGE(OFFSET($H$3,0,0,'Données projet'!$E$10+1,1))</f>
        <v>302.55602998433079</v>
      </c>
      <c r="AO138" s="62">
        <f t="shared" si="144"/>
        <v>172.32171001882188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4.4337866711430253E-14</v>
      </c>
      <c r="BF138" s="14">
        <f t="shared" si="145"/>
        <v>7.3222115536967035E-13</v>
      </c>
      <c r="BG138" s="22">
        <f t="shared" si="115"/>
        <v>1.3525069634579169E-12</v>
      </c>
      <c r="BH138" s="62">
        <f t="shared" si="116"/>
        <v>293.33333333333468</v>
      </c>
      <c r="BI138" s="62">
        <f ca="1">AVERAGE(OFFSET($BH$3,0,0,'Données projet'!$E$11+1,1))-AVERAGE(OFFSET($H$3,0,0,'Données projet'!$E$11+1,1))</f>
        <v>216.95993967070063</v>
      </c>
      <c r="BJ138" s="62">
        <f t="shared" si="146"/>
        <v>208.79744153433245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2.7</v>
      </c>
      <c r="BY138" s="13">
        <f>IF('Données projet'!$A$114&gt;35,BY137+BX138-CG137,IF(A138&lt;'Données projet'!$A$114,$BV$205^A138,IF(A138='Données projet'!$A$114,'Données projet'!$B$114,BY137+BX138-CG137)))</f>
        <v>282.49999999999909</v>
      </c>
      <c r="BZ138" s="14">
        <f>BY138*VLOOKUP('Données projet'!$B$12,Paramètres!$A$1:$I$89,3,0)*VLOOKUP('Données projet'!$B$12,Paramètres!$A$1:$I$89,5,0)</f>
        <v>273.23399999999913</v>
      </c>
      <c r="CA138" s="14">
        <f t="shared" si="147"/>
        <v>65.535129378020244</v>
      </c>
      <c r="CB138" s="22">
        <f t="shared" si="118"/>
        <v>590.02290033338375</v>
      </c>
      <c r="CC138" s="62">
        <f t="shared" si="119"/>
        <v>883.35623366671712</v>
      </c>
      <c r="CD138" s="62">
        <f ca="1">AVERAGE(OFFSET($CC$3,0,0,'Données projet'!$E$12+1,1))-AVERAGE(OFFSET($H$3,0,0,'Données projet'!$E$12+1,1))</f>
        <v>329.13617179625538</v>
      </c>
      <c r="CE138" s="62">
        <f t="shared" si="148"/>
        <v>186.45728006007261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175.05987582828078</v>
      </c>
      <c r="T139" s="62">
        <f t="shared" si="142"/>
        <v>268.54782308462387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0.48056410498916668</v>
      </c>
      <c r="AB139" s="23">
        <f>EXP(-LN(2)/2)*AB138+(1-EXP(-LN(2)/2))/(LN(2)/2)*V139*Y139*VLOOKUP('Données projet'!$B$9,Paramètres!$A$1:$I$89,3,0)*0.475*44/12</f>
        <v>1.4043169294861897E-15</v>
      </c>
      <c r="AC139" s="24">
        <f t="shared" si="111"/>
        <v>0.48056410498916807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2.7</v>
      </c>
      <c r="AI139" s="14">
        <f>IF('Données projet'!$A$62&gt;35,AI138+AH139-AQ138,IF(A139&lt;'Données projet'!$A$62,$AF$205^A139,IF(A139='Données projet'!$A$62,'Données projet'!$B$62,AI138+AH139-AQ138)))</f>
        <v>285.19999999999908</v>
      </c>
      <c r="AJ139" s="14">
        <f>AI139*VLOOKUP('Données projet'!$B$10,Paramètres!$A$1:$I$89,3,0)*VLOOKUP('Données projet'!$B$10,Paramètres!$A$1:$I$89,5,0)</f>
        <v>258.04895999999917</v>
      </c>
      <c r="AK139" s="14">
        <f t="shared" si="143"/>
        <v>62.306312932555592</v>
      </c>
      <c r="AL139" s="22">
        <f t="shared" si="112"/>
        <v>557.95210035753291</v>
      </c>
      <c r="AM139" s="62">
        <f t="shared" si="113"/>
        <v>851.28543369086628</v>
      </c>
      <c r="AN139" s="62">
        <f ca="1">AVERAGE(OFFSET($AM$3,0,0,'Données projet'!$E$10+1,1))-AVERAGE(OFFSET($H$3,0,0,'Données projet'!$E$10+1,1))</f>
        <v>302.55602998433079</v>
      </c>
      <c r="AO139" s="62">
        <f t="shared" si="144"/>
        <v>172.32171001882188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4.4337866711430253E-14</v>
      </c>
      <c r="BF139" s="14">
        <f t="shared" si="145"/>
        <v>7.3222115536967035E-13</v>
      </c>
      <c r="BG139" s="22">
        <f t="shared" si="115"/>
        <v>1.3525069634579169E-12</v>
      </c>
      <c r="BH139" s="62">
        <f t="shared" si="116"/>
        <v>293.33333333333468</v>
      </c>
      <c r="BI139" s="62">
        <f ca="1">AVERAGE(OFFSET($BH$3,0,0,'Données projet'!$E$11+1,1))-AVERAGE(OFFSET($H$3,0,0,'Données projet'!$E$11+1,1))</f>
        <v>216.95993967070063</v>
      </c>
      <c r="BJ139" s="62">
        <f t="shared" si="146"/>
        <v>208.79744153433245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2.7</v>
      </c>
      <c r="BY139" s="13">
        <f>IF('Données projet'!$A$114&gt;35,BY138+BX139-CG138,IF(A139&lt;'Données projet'!$A$114,$BV$205^A139,IF(A139='Données projet'!$A$114,'Données projet'!$B$114,BY138+BX139-CG138)))</f>
        <v>285.19999999999908</v>
      </c>
      <c r="BZ139" s="14">
        <f>BY139*VLOOKUP('Données projet'!$B$12,Paramètres!$A$1:$I$89,3,0)*VLOOKUP('Données projet'!$B$12,Paramètres!$A$1:$I$89,5,0)</f>
        <v>275.84543999999909</v>
      </c>
      <c r="CA139" s="14">
        <f t="shared" si="147"/>
        <v>66.088268521855056</v>
      </c>
      <c r="CB139" s="22">
        <f t="shared" si="118"/>
        <v>595.5345423422292</v>
      </c>
      <c r="CC139" s="62">
        <f t="shared" si="119"/>
        <v>888.86787567556257</v>
      </c>
      <c r="CD139" s="62">
        <f ca="1">AVERAGE(OFFSET($CC$3,0,0,'Données projet'!$E$12+1,1))-AVERAGE(OFFSET($H$3,0,0,'Données projet'!$E$12+1,1))</f>
        <v>329.13617179625538</v>
      </c>
      <c r="CE139" s="62">
        <f t="shared" si="148"/>
        <v>186.45728006007261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175.05987582828078</v>
      </c>
      <c r="T140" s="62">
        <f t="shared" si="142"/>
        <v>268.54782308462387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0.46742305426646996</v>
      </c>
      <c r="AB140" s="23">
        <f>EXP(-LN(2)/2)*AB139+(1-EXP(-LN(2)/2))/(LN(2)/2)*V140*Y140*VLOOKUP('Données projet'!$B$9,Paramètres!$A$1:$I$89,3,0)*0.475*44/12</f>
        <v>9.9300202377475544E-16</v>
      </c>
      <c r="AC140" s="24">
        <f t="shared" si="111"/>
        <v>0.46742305426647096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2.7</v>
      </c>
      <c r="AI140" s="14">
        <f>IF('Données projet'!$A$62&gt;35,AI139+AH140-AQ139,IF(A140&lt;'Données projet'!$A$62,$AF$205^A140,IF(A140='Données projet'!$A$62,'Données projet'!$B$62,AI139+AH140-AQ139)))</f>
        <v>287.89999999999907</v>
      </c>
      <c r="AJ140" s="14">
        <f>AI140*VLOOKUP('Données projet'!$B$10,Paramètres!$A$1:$I$89,3,0)*VLOOKUP('Données projet'!$B$10,Paramètres!$A$1:$I$89,5,0)</f>
        <v>260.49191999999914</v>
      </c>
      <c r="AK140" s="14">
        <f t="shared" si="143"/>
        <v>62.827223883029625</v>
      </c>
      <c r="AL140" s="22">
        <f t="shared" si="112"/>
        <v>563.114175596275</v>
      </c>
      <c r="AM140" s="62">
        <f t="shared" si="113"/>
        <v>856.44750892960838</v>
      </c>
      <c r="AN140" s="62">
        <f ca="1">AVERAGE(OFFSET($AM$3,0,0,'Données projet'!$E$10+1,1))-AVERAGE(OFFSET($H$3,0,0,'Données projet'!$E$10+1,1))</f>
        <v>302.55602998433079</v>
      </c>
      <c r="AO140" s="62">
        <f t="shared" si="144"/>
        <v>172.32171001882188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4.4337866711430253E-14</v>
      </c>
      <c r="BF140" s="14">
        <f t="shared" si="145"/>
        <v>7.3222115536967035E-13</v>
      </c>
      <c r="BG140" s="22">
        <f t="shared" si="115"/>
        <v>1.3525069634579169E-12</v>
      </c>
      <c r="BH140" s="62">
        <f t="shared" si="116"/>
        <v>293.33333333333468</v>
      </c>
      <c r="BI140" s="62">
        <f ca="1">AVERAGE(OFFSET($BH$3,0,0,'Données projet'!$E$11+1,1))-AVERAGE(OFFSET($H$3,0,0,'Données projet'!$E$11+1,1))</f>
        <v>216.95993967070063</v>
      </c>
      <c r="BJ140" s="62">
        <f t="shared" si="146"/>
        <v>208.79744153433245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2.7</v>
      </c>
      <c r="BY140" s="13">
        <f>IF('Données projet'!$A$114&gt;35,BY139+BX140-CG139,IF(A140&lt;'Données projet'!$A$114,$BV$205^A140,IF(A140='Données projet'!$A$114,'Données projet'!$B$114,BY139+BX140-CG139)))</f>
        <v>287.89999999999907</v>
      </c>
      <c r="BZ140" s="14">
        <f>BY140*VLOOKUP('Données projet'!$B$12,Paramètres!$A$1:$I$89,3,0)*VLOOKUP('Données projet'!$B$12,Paramètres!$A$1:$I$89,5,0)</f>
        <v>278.4568799999991</v>
      </c>
      <c r="CA140" s="14">
        <f t="shared" si="147"/>
        <v>66.640798452620942</v>
      </c>
      <c r="CB140" s="22">
        <f t="shared" si="118"/>
        <v>601.04512330497994</v>
      </c>
      <c r="CC140" s="62">
        <f t="shared" si="119"/>
        <v>894.37845663831331</v>
      </c>
      <c r="CD140" s="62">
        <f ca="1">AVERAGE(OFFSET($CC$3,0,0,'Données projet'!$E$12+1,1))-AVERAGE(OFFSET($H$3,0,0,'Données projet'!$E$12+1,1))</f>
        <v>329.13617179625538</v>
      </c>
      <c r="CE140" s="62">
        <f t="shared" si="148"/>
        <v>186.45728006007261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175.05987582828078</v>
      </c>
      <c r="T141" s="62">
        <f t="shared" si="142"/>
        <v>268.54782308462387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0.45464134626684322</v>
      </c>
      <c r="AB141" s="23">
        <f>EXP(-LN(2)/2)*AB140+(1-EXP(-LN(2)/2))/(LN(2)/2)*V141*Y141*VLOOKUP('Données projet'!$B$9,Paramètres!$A$1:$I$89,3,0)*0.475*44/12</f>
        <v>7.0215846474309486E-16</v>
      </c>
      <c r="AC141" s="24">
        <f t="shared" si="111"/>
        <v>0.45464134626684394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2.7</v>
      </c>
      <c r="AI141" s="14">
        <f>IF('Données projet'!$A$62&gt;35,AI140+AH141-AQ140,IF(A141&lt;'Données projet'!$A$62,$AF$205^A141,IF(A141='Données projet'!$A$62,'Données projet'!$B$62,AI140+AH141-AQ140)))</f>
        <v>290.59999999999906</v>
      </c>
      <c r="AJ141" s="14">
        <f>AI141*VLOOKUP('Données projet'!$B$10,Paramètres!$A$1:$I$89,3,0)*VLOOKUP('Données projet'!$B$10,Paramètres!$A$1:$I$89,5,0)</f>
        <v>262.93487999999911</v>
      </c>
      <c r="AK141" s="14">
        <f t="shared" si="143"/>
        <v>63.347566493432595</v>
      </c>
      <c r="AL141" s="22">
        <f t="shared" si="112"/>
        <v>568.27526097606028</v>
      </c>
      <c r="AM141" s="62">
        <f t="shared" si="113"/>
        <v>861.60859430939354</v>
      </c>
      <c r="AN141" s="62">
        <f ca="1">AVERAGE(OFFSET($AM$3,0,0,'Données projet'!$E$10+1,1))-AVERAGE(OFFSET($H$3,0,0,'Données projet'!$E$10+1,1))</f>
        <v>302.55602998433079</v>
      </c>
      <c r="AO141" s="62">
        <f t="shared" si="144"/>
        <v>172.32171001882188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4.4337866711430253E-14</v>
      </c>
      <c r="BF141" s="14">
        <f t="shared" si="145"/>
        <v>7.3222115536967035E-13</v>
      </c>
      <c r="BG141" s="22">
        <f t="shared" si="115"/>
        <v>1.3525069634579169E-12</v>
      </c>
      <c r="BH141" s="62">
        <f t="shared" si="116"/>
        <v>293.33333333333468</v>
      </c>
      <c r="BI141" s="62">
        <f ca="1">AVERAGE(OFFSET($BH$3,0,0,'Données projet'!$E$11+1,1))-AVERAGE(OFFSET($H$3,0,0,'Données projet'!$E$11+1,1))</f>
        <v>216.95993967070063</v>
      </c>
      <c r="BJ141" s="62">
        <f t="shared" si="146"/>
        <v>208.79744153433245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2.7</v>
      </c>
      <c r="BY141" s="13">
        <f>IF('Données projet'!$A$114&gt;35,BY140+BX141-CG140,IF(A141&lt;'Données projet'!$A$114,$BV$205^A141,IF(A141='Données projet'!$A$114,'Données projet'!$B$114,BY140+BX141-CG140)))</f>
        <v>290.59999999999906</v>
      </c>
      <c r="BZ141" s="14">
        <f>BY141*VLOOKUP('Données projet'!$B$12,Paramètres!$A$1:$I$89,3,0)*VLOOKUP('Données projet'!$B$12,Paramètres!$A$1:$I$89,5,0)</f>
        <v>281.06831999999906</v>
      </c>
      <c r="CA141" s="14">
        <f t="shared" si="147"/>
        <v>67.192725545416479</v>
      </c>
      <c r="CB141" s="22">
        <f t="shared" si="118"/>
        <v>606.55465432493213</v>
      </c>
      <c r="CC141" s="62">
        <f t="shared" si="119"/>
        <v>899.8879876582655</v>
      </c>
      <c r="CD141" s="62">
        <f ca="1">AVERAGE(OFFSET($CC$3,0,0,'Données projet'!$E$12+1,1))-AVERAGE(OFFSET($H$3,0,0,'Données projet'!$E$12+1,1))</f>
        <v>329.13617179625538</v>
      </c>
      <c r="CE141" s="62">
        <f t="shared" si="148"/>
        <v>186.45728006007261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175.05987582828078</v>
      </c>
      <c r="T142" s="62">
        <f t="shared" si="142"/>
        <v>268.54782308462387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0.44220915474462708</v>
      </c>
      <c r="AB142" s="23">
        <f>EXP(-LN(2)/2)*AB141+(1-EXP(-LN(2)/2))/(LN(2)/2)*V142*Y142*VLOOKUP('Données projet'!$B$9,Paramètres!$A$1:$I$89,3,0)*0.475*44/12</f>
        <v>4.9650101188737772E-16</v>
      </c>
      <c r="AC142" s="24">
        <f t="shared" si="111"/>
        <v>0.44220915474462757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2.7</v>
      </c>
      <c r="AI142" s="14">
        <f>IF('Données projet'!$A$62&gt;35,AI141+AH142-AQ141,IF(A142&lt;'Données projet'!$A$62,$AF$205^A142,IF(A142='Données projet'!$A$62,'Données projet'!$B$62,AI141+AH142-AQ141)))</f>
        <v>293.29999999999905</v>
      </c>
      <c r="AJ142" s="14">
        <f>AI142*VLOOKUP('Données projet'!$B$10,Paramètres!$A$1:$I$89,3,0)*VLOOKUP('Données projet'!$B$10,Paramètres!$A$1:$I$89,5,0)</f>
        <v>265.37783999999914</v>
      </c>
      <c r="AK142" s="14">
        <f t="shared" si="143"/>
        <v>63.867346655917032</v>
      </c>
      <c r="AL142" s="22">
        <f t="shared" si="112"/>
        <v>573.43536675905398</v>
      </c>
      <c r="AM142" s="62">
        <f t="shared" si="113"/>
        <v>866.76870009238723</v>
      </c>
      <c r="AN142" s="62">
        <f ca="1">AVERAGE(OFFSET($AM$3,0,0,'Données projet'!$E$10+1,1))-AVERAGE(OFFSET($H$3,0,0,'Données projet'!$E$10+1,1))</f>
        <v>302.55602998433079</v>
      </c>
      <c r="AO142" s="62">
        <f t="shared" si="144"/>
        <v>172.32171001882188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4.4337866711430253E-14</v>
      </c>
      <c r="BF142" s="14">
        <f t="shared" si="145"/>
        <v>7.3222115536967035E-13</v>
      </c>
      <c r="BG142" s="22">
        <f t="shared" si="115"/>
        <v>1.3525069634579169E-12</v>
      </c>
      <c r="BH142" s="62">
        <f t="shared" si="116"/>
        <v>293.33333333333468</v>
      </c>
      <c r="BI142" s="62">
        <f ca="1">AVERAGE(OFFSET($BH$3,0,0,'Données projet'!$E$11+1,1))-AVERAGE(OFFSET($H$3,0,0,'Données projet'!$E$11+1,1))</f>
        <v>216.95993967070063</v>
      </c>
      <c r="BJ142" s="62">
        <f t="shared" si="146"/>
        <v>208.79744153433245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2.7</v>
      </c>
      <c r="BY142" s="13">
        <f>IF('Données projet'!$A$114&gt;35,BY141+BX142-CG141,IF(A142&lt;'Données projet'!$A$114,$BV$205^A142,IF(A142='Données projet'!$A$114,'Données projet'!$B$114,BY141+BX142-CG141)))</f>
        <v>293.29999999999905</v>
      </c>
      <c r="BZ142" s="14">
        <f>BY142*VLOOKUP('Données projet'!$B$12,Paramètres!$A$1:$I$89,3,0)*VLOOKUP('Données projet'!$B$12,Paramètres!$A$1:$I$89,5,0)</f>
        <v>283.67975999999908</v>
      </c>
      <c r="CA142" s="14">
        <f t="shared" si="147"/>
        <v>67.74405605004435</v>
      </c>
      <c r="CB142" s="22">
        <f t="shared" si="118"/>
        <v>612.06314628715893</v>
      </c>
      <c r="CC142" s="62">
        <f t="shared" si="119"/>
        <v>905.3964796204923</v>
      </c>
      <c r="CD142" s="62">
        <f ca="1">AVERAGE(OFFSET($CC$3,0,0,'Données projet'!$E$12+1,1))-AVERAGE(OFFSET($H$3,0,0,'Données projet'!$E$12+1,1))</f>
        <v>329.13617179625538</v>
      </c>
      <c r="CE142" s="62">
        <f t="shared" si="148"/>
        <v>186.45728006007261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175.05987582828078</v>
      </c>
      <c r="T143" s="62">
        <f t="shared" si="142"/>
        <v>268.54782308462387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0.4301169221533665</v>
      </c>
      <c r="AB143" s="23">
        <f>EXP(-LN(2)/2)*AB142+(1-EXP(-LN(2)/2))/(LN(2)/2)*V143*Y143*VLOOKUP('Données projet'!$B$9,Paramètres!$A$1:$I$89,3,0)*0.475*44/12</f>
        <v>3.5107923237154743E-16</v>
      </c>
      <c r="AC143" s="24">
        <f t="shared" si="111"/>
        <v>0.43011692215336683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296</v>
      </c>
      <c r="AG143" s="13">
        <f>VLOOKUP(A143,'Données projet'!$A$61:$I$81,9,0)</f>
        <v>2.7</v>
      </c>
      <c r="AH143" s="13">
        <f t="array" ref="AH143">INDEX(AG:AG,MIN(IF(ISNUMBER(AG143:AG339),ROW(AG143:AG339),"")))</f>
        <v>2.7</v>
      </c>
      <c r="AI143" s="14">
        <f>IF('Données projet'!$A$62&gt;35,AI142+AH143-AQ142,IF(A143&lt;'Données projet'!$A$62,$AF$205^A143,IF(A143='Données projet'!$A$62,'Données projet'!$B$62,AI142+AH143-AQ142)))</f>
        <v>295.99999999999903</v>
      </c>
      <c r="AJ143" s="14">
        <f>AI143*VLOOKUP('Données projet'!$B$10,Paramètres!$A$1:$I$89,3,0)*VLOOKUP('Données projet'!$B$10,Paramètres!$A$1:$I$89,5,0)</f>
        <v>267.82079999999911</v>
      </c>
      <c r="AK143" s="14">
        <f t="shared" si="143"/>
        <v>64.386570147897189</v>
      </c>
      <c r="AL143" s="22">
        <f t="shared" si="112"/>
        <v>578.59450300758601</v>
      </c>
      <c r="AM143" s="62">
        <f t="shared" si="113"/>
        <v>871.92783634091938</v>
      </c>
      <c r="AN143" s="62">
        <f ca="1">AVERAGE(OFFSET($AM$3,0,0,'Données projet'!$E$10+1,1))-AVERAGE(OFFSET($H$3,0,0,'Données projet'!$E$10+1,1))</f>
        <v>302.55602998433079</v>
      </c>
      <c r="AO143" s="62">
        <f t="shared" si="144"/>
        <v>172.32171001882188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27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4.4337866711430253E-14</v>
      </c>
      <c r="BF143" s="14">
        <f t="shared" si="145"/>
        <v>7.3222115536967035E-13</v>
      </c>
      <c r="BG143" s="22">
        <f t="shared" si="115"/>
        <v>1.3525069634579169E-12</v>
      </c>
      <c r="BH143" s="62">
        <f t="shared" si="116"/>
        <v>293.33333333333468</v>
      </c>
      <c r="BI143" s="62">
        <f ca="1">AVERAGE(OFFSET($BH$3,0,0,'Données projet'!$E$11+1,1))-AVERAGE(OFFSET($H$3,0,0,'Données projet'!$E$11+1,1))</f>
        <v>216.95993967070063</v>
      </c>
      <c r="BJ143" s="62">
        <f t="shared" si="146"/>
        <v>208.79744153433245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296</v>
      </c>
      <c r="BW143" s="13">
        <f>VLOOKUP(A143,'Données projet'!$A$113:$I$133,9,0)</f>
        <v>2.7</v>
      </c>
      <c r="BX143" s="13">
        <f t="array" ref="BX143">INDEX(BW:BW,MIN(IF(ISNUMBER(BW143:BW339),ROW(BW143:BW339),"")))</f>
        <v>2.7</v>
      </c>
      <c r="BY143" s="13">
        <f>IF('Données projet'!$A$114&gt;35,BY142+BX143-CG142,IF(A143&lt;'Données projet'!$A$114,$BV$205^A143,IF(A143='Données projet'!$A$114,'Données projet'!$B$114,BY142+BX143-CG142)))</f>
        <v>295.99999999999903</v>
      </c>
      <c r="BZ143" s="14">
        <f>BY143*VLOOKUP('Données projet'!$B$12,Paramètres!$A$1:$I$89,3,0)*VLOOKUP('Données projet'!$B$12,Paramètres!$A$1:$I$89,5,0)</f>
        <v>286.29119999999909</v>
      </c>
      <c r="CA143" s="14">
        <f t="shared" si="147"/>
        <v>68.294796094604223</v>
      </c>
      <c r="CB143" s="22">
        <f t="shared" si="118"/>
        <v>617.57060986476733</v>
      </c>
      <c r="CC143" s="62">
        <f t="shared" si="119"/>
        <v>910.90394319810071</v>
      </c>
      <c r="CD143" s="62">
        <f ca="1">AVERAGE(OFFSET($CC$3,0,0,'Données projet'!$E$12+1,1))-AVERAGE(OFFSET($H$3,0,0,'Données projet'!$E$12+1,1))</f>
        <v>329.13617179625538</v>
      </c>
      <c r="CE143" s="62">
        <f t="shared" si="148"/>
        <v>186.45728006007261</v>
      </c>
      <c r="CF143" s="16">
        <f>IF(ISNA(VLOOKUP(A143,'Données projet'!$A$113:$I$133,3,0)),0,VLOOKUP(A143,'Données projet'!$A$113:$I$133,3,0))</f>
        <v>12</v>
      </c>
      <c r="CG143" s="16">
        <f>IF(ISNA(VLOOKUP(A143,'Données projet'!$A$113:$I$133,4,0)),0,VLOOKUP(A143,'Données projet'!$A$113:$I$133,4,0))</f>
        <v>27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175.05987582828078</v>
      </c>
      <c r="T144" s="62">
        <f t="shared" si="142"/>
        <v>268.54782308462387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0.4183553522982168</v>
      </c>
      <c r="AB144" s="23">
        <f>EXP(-LN(2)/2)*AB143+(1-EXP(-LN(2)/2))/(LN(2)/2)*V144*Y144*VLOOKUP('Données projet'!$B$9,Paramètres!$A$1:$I$89,3,0)*0.475*44/12</f>
        <v>2.4825050594368886E-16</v>
      </c>
      <c r="AC144" s="24">
        <f t="shared" si="111"/>
        <v>0.41835535229821702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</v>
      </c>
      <c r="AI144" s="14">
        <f>IF('Données projet'!$A$62&gt;35,AI143+AH144-AQ143,IF(A144&lt;'Données projet'!$A$62,$AF$205^A144,IF(A144='Données projet'!$A$62,'Données projet'!$B$62,AI143+AH144-AQ143)))</f>
        <v>271.39999999999901</v>
      </c>
      <c r="AJ144" s="14">
        <f>AI144*VLOOKUP('Données projet'!$B$10,Paramètres!$A$1:$I$89,3,0)*VLOOKUP('Données projet'!$B$10,Paramètres!$A$1:$I$89,5,0)</f>
        <v>245.56271999999908</v>
      </c>
      <c r="AK144" s="14">
        <f t="shared" si="143"/>
        <v>59.634776048276741</v>
      </c>
      <c r="AL144" s="22">
        <f t="shared" si="112"/>
        <v>531.55230561741371</v>
      </c>
      <c r="AM144" s="62">
        <f t="shared" si="113"/>
        <v>824.88563895074708</v>
      </c>
      <c r="AN144" s="62">
        <f ca="1">AVERAGE(OFFSET($AM$3,0,0,'Données projet'!$E$10+1,1))-AVERAGE(OFFSET($H$3,0,0,'Données projet'!$E$10+1,1))</f>
        <v>302.55602998433079</v>
      </c>
      <c r="AO144" s="62">
        <f t="shared" si="144"/>
        <v>172.32171001882188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4.4337866711430253E-14</v>
      </c>
      <c r="BF144" s="14">
        <f t="shared" si="145"/>
        <v>7.3222115536967035E-13</v>
      </c>
      <c r="BG144" s="22">
        <f t="shared" si="115"/>
        <v>1.3525069634579169E-12</v>
      </c>
      <c r="BH144" s="62">
        <f t="shared" si="116"/>
        <v>293.33333333333468</v>
      </c>
      <c r="BI144" s="62">
        <f ca="1">AVERAGE(OFFSET($BH$3,0,0,'Données projet'!$E$11+1,1))-AVERAGE(OFFSET($H$3,0,0,'Données projet'!$E$11+1,1))</f>
        <v>216.95993967070063</v>
      </c>
      <c r="BJ144" s="62">
        <f t="shared" si="146"/>
        <v>208.79744153433245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2.4</v>
      </c>
      <c r="BY144" s="13">
        <f>IF('Données projet'!$A$114&gt;35,BY143+BX144-CG143,IF(A144&lt;'Données projet'!$A$114,$BV$205^A144,IF(A144='Données projet'!$A$114,'Données projet'!$B$114,BY143+BX144-CG143)))</f>
        <v>271.39999999999901</v>
      </c>
      <c r="BZ144" s="14">
        <f>BY144*VLOOKUP('Données projet'!$B$12,Paramètres!$A$1:$I$89,3,0)*VLOOKUP('Données projet'!$B$12,Paramètres!$A$1:$I$89,5,0)</f>
        <v>262.49807999999905</v>
      </c>
      <c r="CA144" s="14">
        <f t="shared" si="147"/>
        <v>63.254570961137922</v>
      </c>
      <c r="CB144" s="22">
        <f t="shared" si="118"/>
        <v>567.35253375731349</v>
      </c>
      <c r="CC144" s="62">
        <f t="shared" si="119"/>
        <v>860.68586709064675</v>
      </c>
      <c r="CD144" s="62">
        <f ca="1">AVERAGE(OFFSET($CC$3,0,0,'Données projet'!$E$12+1,1))-AVERAGE(OFFSET($H$3,0,0,'Données projet'!$E$12+1,1))</f>
        <v>329.13617179625538</v>
      </c>
      <c r="CE144" s="62">
        <f t="shared" si="148"/>
        <v>186.45728006007261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175.05987582828078</v>
      </c>
      <c r="T145" s="62">
        <f t="shared" si="142"/>
        <v>268.54782308462387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0.40691540318927022</v>
      </c>
      <c r="AB145" s="23">
        <f>EXP(-LN(2)/2)*AB144+(1-EXP(-LN(2)/2))/(LN(2)/2)*V145*Y145*VLOOKUP('Données projet'!$B$9,Paramètres!$A$1:$I$89,3,0)*0.475*44/12</f>
        <v>1.7553961618577371E-16</v>
      </c>
      <c r="AC145" s="24">
        <f t="shared" si="111"/>
        <v>0.40691540318927039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</v>
      </c>
      <c r="AI145" s="14">
        <f>IF('Données projet'!$A$62&gt;35,AI144+AH145-AQ144,IF(A145&lt;'Données projet'!$A$62,$AF$205^A145,IF(A145='Données projet'!$A$62,'Données projet'!$B$62,AI144+AH145-AQ144)))</f>
        <v>273.79999999999899</v>
      </c>
      <c r="AJ145" s="14">
        <f>AI145*VLOOKUP('Données projet'!$B$10,Paramètres!$A$1:$I$89,3,0)*VLOOKUP('Données projet'!$B$10,Paramètres!$A$1:$I$89,5,0)</f>
        <v>247.73423999999909</v>
      </c>
      <c r="AK145" s="14">
        <f t="shared" si="143"/>
        <v>60.100505665694953</v>
      </c>
      <c r="AL145" s="22">
        <f t="shared" si="112"/>
        <v>536.14551536775048</v>
      </c>
      <c r="AM145" s="62">
        <f t="shared" si="113"/>
        <v>829.47884870108373</v>
      </c>
      <c r="AN145" s="62">
        <f ca="1">AVERAGE(OFFSET($AM$3,0,0,'Données projet'!$E$10+1,1))-AVERAGE(OFFSET($H$3,0,0,'Données projet'!$E$10+1,1))</f>
        <v>302.55602998433079</v>
      </c>
      <c r="AO145" s="62">
        <f t="shared" si="144"/>
        <v>172.32171001882188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4.4337866711430253E-14</v>
      </c>
      <c r="BF145" s="14">
        <f t="shared" si="145"/>
        <v>7.3222115536967035E-13</v>
      </c>
      <c r="BG145" s="22">
        <f t="shared" si="115"/>
        <v>1.3525069634579169E-12</v>
      </c>
      <c r="BH145" s="62">
        <f t="shared" si="116"/>
        <v>293.33333333333468</v>
      </c>
      <c r="BI145" s="62">
        <f ca="1">AVERAGE(OFFSET($BH$3,0,0,'Données projet'!$E$11+1,1))-AVERAGE(OFFSET($H$3,0,0,'Données projet'!$E$11+1,1))</f>
        <v>216.95993967070063</v>
      </c>
      <c r="BJ145" s="62">
        <f t="shared" si="146"/>
        <v>208.79744153433245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2.4</v>
      </c>
      <c r="BY145" s="13">
        <f>IF('Données projet'!$A$114&gt;35,BY144+BX145-CG144,IF(A145&lt;'Données projet'!$A$114,$BV$205^A145,IF(A145='Données projet'!$A$114,'Données projet'!$B$114,BY144+BX145-CG144)))</f>
        <v>273.79999999999899</v>
      </c>
      <c r="BZ145" s="14">
        <f>BY145*VLOOKUP('Données projet'!$B$12,Paramètres!$A$1:$I$89,3,0)*VLOOKUP('Données projet'!$B$12,Paramètres!$A$1:$I$89,5,0)</f>
        <v>264.81935999999905</v>
      </c>
      <c r="CA145" s="14">
        <f t="shared" si="147"/>
        <v>63.748570085236835</v>
      </c>
      <c r="CB145" s="22">
        <f t="shared" si="118"/>
        <v>572.25581156511919</v>
      </c>
      <c r="CC145" s="62">
        <f t="shared" si="119"/>
        <v>865.58914489845256</v>
      </c>
      <c r="CD145" s="62">
        <f ca="1">AVERAGE(OFFSET($CC$3,0,0,'Données projet'!$E$12+1,1))-AVERAGE(OFFSET($H$3,0,0,'Données projet'!$E$12+1,1))</f>
        <v>329.13617179625538</v>
      </c>
      <c r="CE145" s="62">
        <f t="shared" si="148"/>
        <v>186.45728006007261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175.05987582828078</v>
      </c>
      <c r="T146" s="62">
        <f t="shared" si="142"/>
        <v>268.54782308462387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0.39578828009030859</v>
      </c>
      <c r="AB146" s="23">
        <f>EXP(-LN(2)/2)*AB145+(1-EXP(-LN(2)/2))/(LN(2)/2)*V146*Y146*VLOOKUP('Données projet'!$B$9,Paramètres!$A$1:$I$89,3,0)*0.475*44/12</f>
        <v>1.2412525297184443E-16</v>
      </c>
      <c r="AC146" s="24">
        <f t="shared" si="111"/>
        <v>0.3957882800903087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</v>
      </c>
      <c r="AI146" s="14">
        <f>IF('Données projet'!$A$62&gt;35,AI145+AH146-AQ145,IF(A146&lt;'Données projet'!$A$62,$AF$205^A146,IF(A146='Données projet'!$A$62,'Données projet'!$B$62,AI145+AH146-AQ145)))</f>
        <v>276.19999999999897</v>
      </c>
      <c r="AJ146" s="14">
        <f>AI146*VLOOKUP('Données projet'!$B$10,Paramètres!$A$1:$I$89,3,0)*VLOOKUP('Données projet'!$B$10,Paramètres!$A$1:$I$89,5,0)</f>
        <v>249.90575999999908</v>
      </c>
      <c r="AK146" s="14">
        <f t="shared" si="143"/>
        <v>60.56576033192367</v>
      </c>
      <c r="AL146" s="22">
        <f t="shared" si="112"/>
        <v>540.73789791143201</v>
      </c>
      <c r="AM146" s="62">
        <f t="shared" si="113"/>
        <v>834.07123124476539</v>
      </c>
      <c r="AN146" s="62">
        <f ca="1">AVERAGE(OFFSET($AM$3,0,0,'Données projet'!$E$10+1,1))-AVERAGE(OFFSET($H$3,0,0,'Données projet'!$E$10+1,1))</f>
        <v>302.55602998433079</v>
      </c>
      <c r="AO146" s="62">
        <f t="shared" si="144"/>
        <v>172.32171001882188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4.4337866711430253E-14</v>
      </c>
      <c r="BF146" s="14">
        <f t="shared" si="145"/>
        <v>7.3222115536967035E-13</v>
      </c>
      <c r="BG146" s="22">
        <f t="shared" si="115"/>
        <v>1.3525069634579169E-12</v>
      </c>
      <c r="BH146" s="62">
        <f t="shared" si="116"/>
        <v>293.33333333333468</v>
      </c>
      <c r="BI146" s="62">
        <f ca="1">AVERAGE(OFFSET($BH$3,0,0,'Données projet'!$E$11+1,1))-AVERAGE(OFFSET($H$3,0,0,'Données projet'!$E$11+1,1))</f>
        <v>216.95993967070063</v>
      </c>
      <c r="BJ146" s="62">
        <f t="shared" si="146"/>
        <v>208.79744153433245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2.4</v>
      </c>
      <c r="BY146" s="13">
        <f>IF('Données projet'!$A$114&gt;35,BY145+BX146-CG145,IF(A146&lt;'Données projet'!$A$114,$BV$205^A146,IF(A146='Données projet'!$A$114,'Données projet'!$B$114,BY145+BX146-CG145)))</f>
        <v>276.19999999999897</v>
      </c>
      <c r="BZ146" s="14">
        <f>BY146*VLOOKUP('Données projet'!$B$12,Paramètres!$A$1:$I$89,3,0)*VLOOKUP('Données projet'!$B$12,Paramètres!$A$1:$I$89,5,0)</f>
        <v>267.140639999999</v>
      </c>
      <c r="CA146" s="14">
        <f t="shared" si="147"/>
        <v>64.242065428895728</v>
      </c>
      <c r="CB146" s="22">
        <f t="shared" si="118"/>
        <v>577.15821195532499</v>
      </c>
      <c r="CC146" s="62">
        <f t="shared" si="119"/>
        <v>870.49154528865824</v>
      </c>
      <c r="CD146" s="62">
        <f ca="1">AVERAGE(OFFSET($CC$3,0,0,'Données projet'!$E$12+1,1))-AVERAGE(OFFSET($H$3,0,0,'Données projet'!$E$12+1,1))</f>
        <v>329.13617179625538</v>
      </c>
      <c r="CE146" s="62">
        <f t="shared" si="148"/>
        <v>186.45728006007261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175.05987582828078</v>
      </c>
      <c r="T147" s="62">
        <f t="shared" si="142"/>
        <v>268.54782308462387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0.38496542875763806</v>
      </c>
      <c r="AB147" s="23">
        <f>EXP(-LN(2)/2)*AB146+(1-EXP(-LN(2)/2))/(LN(2)/2)*V147*Y147*VLOOKUP('Données projet'!$B$9,Paramètres!$A$1:$I$89,3,0)*0.475*44/12</f>
        <v>8.7769808092886857E-17</v>
      </c>
      <c r="AC147" s="24">
        <f t="shared" si="111"/>
        <v>0.38496542875763817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</v>
      </c>
      <c r="AI147" s="14">
        <f>IF('Données projet'!$A$62&gt;35,AI146+AH147-AQ146,IF(A147&lt;'Données projet'!$A$62,$AF$205^A147,IF(A147='Données projet'!$A$62,'Données projet'!$B$62,AI146+AH147-AQ146)))</f>
        <v>278.59999999999894</v>
      </c>
      <c r="AJ147" s="14">
        <f>AI147*VLOOKUP('Données projet'!$B$10,Paramètres!$A$1:$I$89,3,0)*VLOOKUP('Données projet'!$B$10,Paramètres!$A$1:$I$89,5,0)</f>
        <v>252.07727999999904</v>
      </c>
      <c r="AK147" s="14">
        <f t="shared" si="143"/>
        <v>61.030544652154823</v>
      </c>
      <c r="AL147" s="22">
        <f t="shared" si="112"/>
        <v>545.32946126916795</v>
      </c>
      <c r="AM147" s="62">
        <f t="shared" si="113"/>
        <v>838.66279460250121</v>
      </c>
      <c r="AN147" s="62">
        <f ca="1">AVERAGE(OFFSET($AM$3,0,0,'Données projet'!$E$10+1,1))-AVERAGE(OFFSET($H$3,0,0,'Données projet'!$E$10+1,1))</f>
        <v>302.55602998433079</v>
      </c>
      <c r="AO147" s="62">
        <f t="shared" si="144"/>
        <v>172.32171001882188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4.4337866711430253E-14</v>
      </c>
      <c r="BF147" s="14">
        <f t="shared" si="145"/>
        <v>7.3222115536967035E-13</v>
      </c>
      <c r="BG147" s="22">
        <f t="shared" si="115"/>
        <v>1.3525069634579169E-12</v>
      </c>
      <c r="BH147" s="62">
        <f t="shared" si="116"/>
        <v>293.33333333333468</v>
      </c>
      <c r="BI147" s="62">
        <f ca="1">AVERAGE(OFFSET($BH$3,0,0,'Données projet'!$E$11+1,1))-AVERAGE(OFFSET($H$3,0,0,'Données projet'!$E$11+1,1))</f>
        <v>216.95993967070063</v>
      </c>
      <c r="BJ147" s="62">
        <f t="shared" si="146"/>
        <v>208.79744153433245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2.4</v>
      </c>
      <c r="BY147" s="13">
        <f>IF('Données projet'!$A$114&gt;35,BY146+BX147-CG146,IF(A147&lt;'Données projet'!$A$114,$BV$205^A147,IF(A147='Données projet'!$A$114,'Données projet'!$B$114,BY146+BX147-CG146)))</f>
        <v>278.59999999999894</v>
      </c>
      <c r="BZ147" s="14">
        <f>BY147*VLOOKUP('Données projet'!$B$12,Paramètres!$A$1:$I$89,3,0)*VLOOKUP('Données projet'!$B$12,Paramètres!$A$1:$I$89,5,0)</f>
        <v>269.461919999999</v>
      </c>
      <c r="CA147" s="14">
        <f t="shared" si="147"/>
        <v>64.73506187683887</v>
      </c>
      <c r="CB147" s="22">
        <f t="shared" si="118"/>
        <v>582.05974343549258</v>
      </c>
      <c r="CC147" s="62">
        <f t="shared" si="119"/>
        <v>875.39307676882595</v>
      </c>
      <c r="CD147" s="62">
        <f ca="1">AVERAGE(OFFSET($CC$3,0,0,'Données projet'!$E$12+1,1))-AVERAGE(OFFSET($H$3,0,0,'Données projet'!$E$12+1,1))</f>
        <v>329.13617179625538</v>
      </c>
      <c r="CE147" s="62">
        <f t="shared" si="148"/>
        <v>186.45728006007261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175.05987582828078</v>
      </c>
      <c r="T148" s="62">
        <f t="shared" si="142"/>
        <v>268.54782308462387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0.37443852886380841</v>
      </c>
      <c r="AB148" s="23">
        <f>EXP(-LN(2)/2)*AB147+(1-EXP(-LN(2)/2))/(LN(2)/2)*V148*Y148*VLOOKUP('Données projet'!$B$9,Paramètres!$A$1:$I$89,3,0)*0.475*44/12</f>
        <v>6.2062626485922215E-17</v>
      </c>
      <c r="AC148" s="24">
        <f t="shared" si="111"/>
        <v>0.37443852886380846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</v>
      </c>
      <c r="AI148" s="14">
        <f>IF('Données projet'!$A$62&gt;35,AI147+AH148-AQ147,IF(A148&lt;'Données projet'!$A$62,$AF$205^A148,IF(A148='Données projet'!$A$62,'Données projet'!$B$62,AI147+AH148-AQ147)))</f>
        <v>280.99999999999892</v>
      </c>
      <c r="AJ148" s="14">
        <f>AI148*VLOOKUP('Données projet'!$B$10,Paramètres!$A$1:$I$89,3,0)*VLOOKUP('Données projet'!$B$10,Paramètres!$A$1:$I$89,5,0)</f>
        <v>254.24879999999902</v>
      </c>
      <c r="AK148" s="14">
        <f t="shared" si="143"/>
        <v>61.494863147658641</v>
      </c>
      <c r="AL148" s="22">
        <f t="shared" si="112"/>
        <v>549.9202133155037</v>
      </c>
      <c r="AM148" s="62">
        <f t="shared" si="113"/>
        <v>843.25354664883707</v>
      </c>
      <c r="AN148" s="62">
        <f ca="1">AVERAGE(OFFSET($AM$3,0,0,'Données projet'!$E$10+1,1))-AVERAGE(OFFSET($H$3,0,0,'Données projet'!$E$10+1,1))</f>
        <v>302.55602998433079</v>
      </c>
      <c r="AO148" s="62">
        <f t="shared" si="144"/>
        <v>172.32171001882188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4.4337866711430253E-14</v>
      </c>
      <c r="BF148" s="14">
        <f t="shared" si="145"/>
        <v>7.3222115536967035E-13</v>
      </c>
      <c r="BG148" s="22">
        <f t="shared" si="115"/>
        <v>1.3525069634579169E-12</v>
      </c>
      <c r="BH148" s="62">
        <f t="shared" si="116"/>
        <v>293.33333333333468</v>
      </c>
      <c r="BI148" s="62">
        <f ca="1">AVERAGE(OFFSET($BH$3,0,0,'Données projet'!$E$11+1,1))-AVERAGE(OFFSET($H$3,0,0,'Données projet'!$E$11+1,1))</f>
        <v>216.95993967070063</v>
      </c>
      <c r="BJ148" s="62">
        <f t="shared" si="146"/>
        <v>208.79744153433245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2.4</v>
      </c>
      <c r="BY148" s="13">
        <f>IF('Données projet'!$A$114&gt;35,BY147+BX148-CG147,IF(A148&lt;'Données projet'!$A$114,$BV$205^A148,IF(A148='Données projet'!$A$114,'Données projet'!$B$114,BY147+BX148-CG147)))</f>
        <v>280.99999999999892</v>
      </c>
      <c r="BZ148" s="14">
        <f>BY148*VLOOKUP('Données projet'!$B$12,Paramètres!$A$1:$I$89,3,0)*VLOOKUP('Données projet'!$B$12,Paramètres!$A$1:$I$89,5,0)</f>
        <v>271.78319999999894</v>
      </c>
      <c r="CA148" s="14">
        <f t="shared" si="147"/>
        <v>65.227564224774952</v>
      </c>
      <c r="CB148" s="22">
        <f t="shared" si="118"/>
        <v>586.96041435814789</v>
      </c>
      <c r="CC148" s="62">
        <f t="shared" si="119"/>
        <v>880.29374769148126</v>
      </c>
      <c r="CD148" s="62">
        <f ca="1">AVERAGE(OFFSET($CC$3,0,0,'Données projet'!$E$12+1,1))-AVERAGE(OFFSET($H$3,0,0,'Données projet'!$E$12+1,1))</f>
        <v>329.13617179625538</v>
      </c>
      <c r="CE148" s="62">
        <f t="shared" si="148"/>
        <v>186.45728006007261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175.05987582828078</v>
      </c>
      <c r="T149" s="62">
        <f t="shared" si="142"/>
        <v>268.54782308462387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0.36419948760116111</v>
      </c>
      <c r="AB149" s="23">
        <f>EXP(-LN(2)/2)*AB148+(1-EXP(-LN(2)/2))/(LN(2)/2)*V149*Y149*VLOOKUP('Données projet'!$B$9,Paramètres!$A$1:$I$89,3,0)*0.475*44/12</f>
        <v>4.3884904046443429E-17</v>
      </c>
      <c r="AC149" s="24">
        <f t="shared" si="111"/>
        <v>0.36419948760116116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</v>
      </c>
      <c r="AI149" s="14">
        <f>IF('Données projet'!$A$62&gt;35,AI148+AH149-AQ148,IF(A149&lt;'Données projet'!$A$62,$AF$205^A149,IF(A149='Données projet'!$A$62,'Données projet'!$B$62,AI148+AH149-AQ148)))</f>
        <v>283.3999999999989</v>
      </c>
      <c r="AJ149" s="14">
        <f>AI149*VLOOKUP('Données projet'!$B$10,Paramètres!$A$1:$I$89,3,0)*VLOOKUP('Données projet'!$B$10,Paramètres!$A$1:$I$89,5,0)</f>
        <v>256.42031999999904</v>
      </c>
      <c r="AK149" s="14">
        <f t="shared" si="143"/>
        <v>61.958720258016697</v>
      </c>
      <c r="AL149" s="22">
        <f t="shared" si="112"/>
        <v>554.51016178271072</v>
      </c>
      <c r="AM149" s="62">
        <f t="shared" si="113"/>
        <v>847.8434951160441</v>
      </c>
      <c r="AN149" s="62">
        <f ca="1">AVERAGE(OFFSET($AM$3,0,0,'Données projet'!$E$10+1,1))-AVERAGE(OFFSET($H$3,0,0,'Données projet'!$E$10+1,1))</f>
        <v>302.55602998433079</v>
      </c>
      <c r="AO149" s="62">
        <f t="shared" si="144"/>
        <v>172.32171001882188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4.4337866711430253E-14</v>
      </c>
      <c r="BF149" s="14">
        <f t="shared" si="145"/>
        <v>7.3222115536967035E-13</v>
      </c>
      <c r="BG149" s="22">
        <f t="shared" si="115"/>
        <v>1.3525069634579169E-12</v>
      </c>
      <c r="BH149" s="62">
        <f t="shared" si="116"/>
        <v>293.33333333333468</v>
      </c>
      <c r="BI149" s="62">
        <f ca="1">AVERAGE(OFFSET($BH$3,0,0,'Données projet'!$E$11+1,1))-AVERAGE(OFFSET($H$3,0,0,'Données projet'!$E$11+1,1))</f>
        <v>216.95993967070063</v>
      </c>
      <c r="BJ149" s="62">
        <f t="shared" si="146"/>
        <v>208.79744153433245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2.4</v>
      </c>
      <c r="BY149" s="13">
        <f>IF('Données projet'!$A$114&gt;35,BY148+BX149-CG148,IF(A149&lt;'Données projet'!$A$114,$BV$205^A149,IF(A149='Données projet'!$A$114,'Données projet'!$B$114,BY148+BX149-CG148)))</f>
        <v>283.3999999999989</v>
      </c>
      <c r="BZ149" s="14">
        <f>BY149*VLOOKUP('Données projet'!$B$12,Paramètres!$A$1:$I$89,3,0)*VLOOKUP('Données projet'!$B$12,Paramètres!$A$1:$I$89,5,0)</f>
        <v>274.10447999999894</v>
      </c>
      <c r="CA149" s="14">
        <f t="shared" si="147"/>
        <v>65.719577181765274</v>
      </c>
      <c r="CB149" s="22">
        <f t="shared" si="118"/>
        <v>591.86023292490597</v>
      </c>
      <c r="CC149" s="62">
        <f t="shared" si="119"/>
        <v>885.19356625823934</v>
      </c>
      <c r="CD149" s="62">
        <f ca="1">AVERAGE(OFFSET($CC$3,0,0,'Données projet'!$E$12+1,1))-AVERAGE(OFFSET($H$3,0,0,'Données projet'!$E$12+1,1))</f>
        <v>329.13617179625538</v>
      </c>
      <c r="CE149" s="62">
        <f t="shared" si="148"/>
        <v>186.45728006007261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175.05987582828078</v>
      </c>
      <c r="T150" s="62">
        <f t="shared" si="142"/>
        <v>268.54782308462387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0.35424043346028872</v>
      </c>
      <c r="AB150" s="23">
        <f>EXP(-LN(2)/2)*AB149+(1-EXP(-LN(2)/2))/(LN(2)/2)*V150*Y150*VLOOKUP('Données projet'!$B$9,Paramètres!$A$1:$I$89,3,0)*0.475*44/12</f>
        <v>3.1031313242961107E-17</v>
      </c>
      <c r="AC150" s="24">
        <f t="shared" si="111"/>
        <v>0.35424043346028877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</v>
      </c>
      <c r="AI150" s="14">
        <f>IF('Données projet'!$A$62&gt;35,AI149+AH150-AQ149,IF(A150&lt;'Données projet'!$A$62,$AF$205^A150,IF(A150='Données projet'!$A$62,'Données projet'!$B$62,AI149+AH150-AQ149)))</f>
        <v>285.79999999999887</v>
      </c>
      <c r="AJ150" s="14">
        <f>AI150*VLOOKUP('Données projet'!$B$10,Paramètres!$A$1:$I$89,3,0)*VLOOKUP('Données projet'!$B$10,Paramètres!$A$1:$I$89,5,0)</f>
        <v>258.59183999999897</v>
      </c>
      <c r="AK150" s="14">
        <f t="shared" si="143"/>
        <v>62.422120343276418</v>
      </c>
      <c r="AL150" s="22">
        <f t="shared" si="112"/>
        <v>559.09931426453795</v>
      </c>
      <c r="AM150" s="62">
        <f t="shared" si="113"/>
        <v>852.43264759787121</v>
      </c>
      <c r="AN150" s="62">
        <f ca="1">AVERAGE(OFFSET($AM$3,0,0,'Données projet'!$E$10+1,1))-AVERAGE(OFFSET($H$3,0,0,'Données projet'!$E$10+1,1))</f>
        <v>302.55602998433079</v>
      </c>
      <c r="AO150" s="62">
        <f t="shared" si="144"/>
        <v>172.32171001882188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4.4337866711430253E-14</v>
      </c>
      <c r="BF150" s="14">
        <f t="shared" si="145"/>
        <v>7.3222115536967035E-13</v>
      </c>
      <c r="BG150" s="22">
        <f t="shared" si="115"/>
        <v>1.3525069634579169E-12</v>
      </c>
      <c r="BH150" s="62">
        <f t="shared" si="116"/>
        <v>293.33333333333468</v>
      </c>
      <c r="BI150" s="62">
        <f ca="1">AVERAGE(OFFSET($BH$3,0,0,'Données projet'!$E$11+1,1))-AVERAGE(OFFSET($H$3,0,0,'Données projet'!$E$11+1,1))</f>
        <v>216.95993967070063</v>
      </c>
      <c r="BJ150" s="62">
        <f t="shared" si="146"/>
        <v>208.79744153433245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2.4</v>
      </c>
      <c r="BY150" s="13">
        <f>IF('Données projet'!$A$114&gt;35,BY149+BX150-CG149,IF(A150&lt;'Données projet'!$A$114,$BV$205^A150,IF(A150='Données projet'!$A$114,'Données projet'!$B$114,BY149+BX150-CG149)))</f>
        <v>285.79999999999887</v>
      </c>
      <c r="BZ150" s="14">
        <f>BY150*VLOOKUP('Données projet'!$B$12,Paramètres!$A$1:$I$89,3,0)*VLOOKUP('Données projet'!$B$12,Paramètres!$A$1:$I$89,5,0)</f>
        <v>276.42575999999889</v>
      </c>
      <c r="CA150" s="14">
        <f t="shared" si="147"/>
        <v>66.21110537250965</v>
      </c>
      <c r="CB150" s="22">
        <f t="shared" si="118"/>
        <v>596.75920719045223</v>
      </c>
      <c r="CC150" s="62">
        <f t="shared" si="119"/>
        <v>890.0925405237856</v>
      </c>
      <c r="CD150" s="62">
        <f ca="1">AVERAGE(OFFSET($CC$3,0,0,'Données projet'!$E$12+1,1))-AVERAGE(OFFSET($H$3,0,0,'Données projet'!$E$12+1,1))</f>
        <v>329.13617179625538</v>
      </c>
      <c r="CE150" s="62">
        <f t="shared" si="148"/>
        <v>186.45728006007261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175.05987582828078</v>
      </c>
      <c r="T151" s="62">
        <f t="shared" si="142"/>
        <v>268.54782308462387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0.34455371017862235</v>
      </c>
      <c r="AB151" s="23">
        <f>EXP(-LN(2)/2)*AB150+(1-EXP(-LN(2)/2))/(LN(2)/2)*V151*Y151*VLOOKUP('Données projet'!$B$9,Paramètres!$A$1:$I$89,3,0)*0.475*44/12</f>
        <v>2.1942452023221714E-17</v>
      </c>
      <c r="AC151" s="24">
        <f t="shared" si="111"/>
        <v>0.34455371017862235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</v>
      </c>
      <c r="AI151" s="14">
        <f>IF('Données projet'!$A$62&gt;35,AI150+AH151-AQ150,IF(A151&lt;'Données projet'!$A$62,$AF$205^A151,IF(A151='Données projet'!$A$62,'Données projet'!$B$62,AI150+AH151-AQ150)))</f>
        <v>288.19999999999885</v>
      </c>
      <c r="AJ151" s="14">
        <f>AI151*VLOOKUP('Données projet'!$B$10,Paramètres!$A$1:$I$89,3,0)*VLOOKUP('Données projet'!$B$10,Paramètres!$A$1:$I$89,5,0)</f>
        <v>260.76335999999895</v>
      </c>
      <c r="AK151" s="14">
        <f t="shared" si="143"/>
        <v>62.885067686031789</v>
      </c>
      <c r="AL151" s="22">
        <f t="shared" si="112"/>
        <v>563.68767821983681</v>
      </c>
      <c r="AM151" s="62">
        <f t="shared" si="113"/>
        <v>857.02101155317018</v>
      </c>
      <c r="AN151" s="62">
        <f ca="1">AVERAGE(OFFSET($AM$3,0,0,'Données projet'!$E$10+1,1))-AVERAGE(OFFSET($H$3,0,0,'Données projet'!$E$10+1,1))</f>
        <v>302.55602998433079</v>
      </c>
      <c r="AO151" s="62">
        <f t="shared" si="144"/>
        <v>172.32171001882188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4.4337866711430253E-14</v>
      </c>
      <c r="BF151" s="14">
        <f t="shared" si="145"/>
        <v>7.3222115536967035E-13</v>
      </c>
      <c r="BG151" s="22">
        <f t="shared" si="115"/>
        <v>1.3525069634579169E-12</v>
      </c>
      <c r="BH151" s="62">
        <f t="shared" si="116"/>
        <v>293.33333333333468</v>
      </c>
      <c r="BI151" s="62">
        <f ca="1">AVERAGE(OFFSET($BH$3,0,0,'Données projet'!$E$11+1,1))-AVERAGE(OFFSET($H$3,0,0,'Données projet'!$E$11+1,1))</f>
        <v>216.95993967070063</v>
      </c>
      <c r="BJ151" s="62">
        <f t="shared" si="146"/>
        <v>208.79744153433245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2.4</v>
      </c>
      <c r="BY151" s="13">
        <f>IF('Données projet'!$A$114&gt;35,BY150+BX151-CG150,IF(A151&lt;'Données projet'!$A$114,$BV$205^A151,IF(A151='Données projet'!$A$114,'Données projet'!$B$114,BY150+BX151-CG150)))</f>
        <v>288.19999999999885</v>
      </c>
      <c r="BZ151" s="14">
        <f>BY151*VLOOKUP('Données projet'!$B$12,Paramètres!$A$1:$I$89,3,0)*VLOOKUP('Données projet'!$B$12,Paramètres!$A$1:$I$89,5,0)</f>
        <v>278.74703999999889</v>
      </c>
      <c r="CA151" s="14">
        <f t="shared" si="147"/>
        <v>66.702153339553021</v>
      </c>
      <c r="CB151" s="22">
        <f t="shared" si="118"/>
        <v>601.65734506638626</v>
      </c>
      <c r="CC151" s="62">
        <f t="shared" si="119"/>
        <v>894.99067839971963</v>
      </c>
      <c r="CD151" s="62">
        <f ca="1">AVERAGE(OFFSET($CC$3,0,0,'Données projet'!$E$12+1,1))-AVERAGE(OFFSET($H$3,0,0,'Données projet'!$E$12+1,1))</f>
        <v>329.13617179625538</v>
      </c>
      <c r="CE151" s="62">
        <f t="shared" si="148"/>
        <v>186.45728006007261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175.05987582828078</v>
      </c>
      <c r="T152" s="62">
        <f t="shared" si="142"/>
        <v>268.54782308462387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0.33513187085449581</v>
      </c>
      <c r="AB152" s="23">
        <f>EXP(-LN(2)/2)*AB151+(1-EXP(-LN(2)/2))/(LN(2)/2)*V152*Y152*VLOOKUP('Données projet'!$B$9,Paramètres!$A$1:$I$89,3,0)*0.475*44/12</f>
        <v>1.5515656621480554E-17</v>
      </c>
      <c r="AC152" s="24">
        <f t="shared" si="111"/>
        <v>0.33513187085449581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</v>
      </c>
      <c r="AI152" s="14">
        <f>IF('Données projet'!$A$62&gt;35,AI151+AH152-AQ151,IF(A152&lt;'Données projet'!$A$62,$AF$205^A152,IF(A152='Données projet'!$A$62,'Données projet'!$B$62,AI151+AH152-AQ151)))</f>
        <v>290.59999999999883</v>
      </c>
      <c r="AJ152" s="14">
        <f>AI152*VLOOKUP('Données projet'!$B$10,Paramètres!$A$1:$I$89,3,0)*VLOOKUP('Données projet'!$B$10,Paramètres!$A$1:$I$89,5,0)</f>
        <v>262.93487999999894</v>
      </c>
      <c r="AK152" s="14">
        <f t="shared" si="143"/>
        <v>63.347566493432538</v>
      </c>
      <c r="AL152" s="22">
        <f t="shared" si="112"/>
        <v>568.27526097605983</v>
      </c>
      <c r="AM152" s="62">
        <f t="shared" si="113"/>
        <v>861.60859430939308</v>
      </c>
      <c r="AN152" s="62">
        <f ca="1">AVERAGE(OFFSET($AM$3,0,0,'Données projet'!$E$10+1,1))-AVERAGE(OFFSET($H$3,0,0,'Données projet'!$E$10+1,1))</f>
        <v>302.55602998433079</v>
      </c>
      <c r="AO152" s="62">
        <f t="shared" si="144"/>
        <v>172.32171001882188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4.4337866711430253E-14</v>
      </c>
      <c r="BF152" s="14">
        <f t="shared" si="145"/>
        <v>7.3222115536967035E-13</v>
      </c>
      <c r="BG152" s="22">
        <f t="shared" si="115"/>
        <v>1.3525069634579169E-12</v>
      </c>
      <c r="BH152" s="62">
        <f t="shared" si="116"/>
        <v>293.33333333333468</v>
      </c>
      <c r="BI152" s="62">
        <f ca="1">AVERAGE(OFFSET($BH$3,0,0,'Données projet'!$E$11+1,1))-AVERAGE(OFFSET($H$3,0,0,'Données projet'!$E$11+1,1))</f>
        <v>216.95993967070063</v>
      </c>
      <c r="BJ152" s="62">
        <f t="shared" si="146"/>
        <v>208.79744153433245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2.4</v>
      </c>
      <c r="BY152" s="13">
        <f>IF('Données projet'!$A$114&gt;35,BY151+BX152-CG151,IF(A152&lt;'Données projet'!$A$114,$BV$205^A152,IF(A152='Données projet'!$A$114,'Données projet'!$B$114,BY151+BX152-CG151)))</f>
        <v>290.59999999999883</v>
      </c>
      <c r="BZ152" s="14">
        <f>BY152*VLOOKUP('Données projet'!$B$12,Paramètres!$A$1:$I$89,3,0)*VLOOKUP('Données projet'!$B$12,Paramètres!$A$1:$I$89,5,0)</f>
        <v>281.06831999999889</v>
      </c>
      <c r="CA152" s="14">
        <f t="shared" si="147"/>
        <v>67.192725545416408</v>
      </c>
      <c r="CB152" s="22">
        <f t="shared" si="118"/>
        <v>606.55465432493168</v>
      </c>
      <c r="CC152" s="62">
        <f t="shared" si="119"/>
        <v>899.88798765826505</v>
      </c>
      <c r="CD152" s="62">
        <f ca="1">AVERAGE(OFFSET($CC$3,0,0,'Données projet'!$E$12+1,1))-AVERAGE(OFFSET($H$3,0,0,'Données projet'!$E$12+1,1))</f>
        <v>329.13617179625538</v>
      </c>
      <c r="CE152" s="62">
        <f t="shared" si="148"/>
        <v>186.45728006007261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175.05987582828078</v>
      </c>
      <c r="T153" s="62">
        <f t="shared" si="142"/>
        <v>268.54782308462387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0.3259676722221605</v>
      </c>
      <c r="AB153" s="23">
        <f>EXP(-LN(2)/2)*AB152+(1-EXP(-LN(2)/2))/(LN(2)/2)*V153*Y153*VLOOKUP('Données projet'!$B$9,Paramètres!$A$1:$I$89,3,0)*0.475*44/12</f>
        <v>1.0971226011610857E-17</v>
      </c>
      <c r="AC153" s="24">
        <f t="shared" si="111"/>
        <v>0.3259676722221605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293</v>
      </c>
      <c r="AG153" s="13">
        <f>VLOOKUP(A153,'Données projet'!$A$61:$I$81,9,0)</f>
        <v>2.4</v>
      </c>
      <c r="AH153" s="13">
        <f t="array" ref="AH153">INDEX(AG:AG,MIN(IF(ISNUMBER(AG153:AG349),ROW(AG153:AG349),"")))</f>
        <v>2.4</v>
      </c>
      <c r="AI153" s="14">
        <f>IF('Données projet'!$A$62&gt;35,AI152+AH153-AQ152,IF(A153&lt;'Données projet'!$A$62,$AF$205^A153,IF(A153='Données projet'!$A$62,'Données projet'!$B$62,AI152+AH153-AQ152)))</f>
        <v>292.99999999999881</v>
      </c>
      <c r="AJ153" s="14">
        <f>AI153*VLOOKUP('Données projet'!$B$10,Paramètres!$A$1:$I$89,3,0)*VLOOKUP('Données projet'!$B$10,Paramètres!$A$1:$I$89,5,0)</f>
        <v>265.10639999999887</v>
      </c>
      <c r="AK153" s="14">
        <f t="shared" si="143"/>
        <v>63.809620899125079</v>
      </c>
      <c r="AL153" s="22">
        <f t="shared" si="112"/>
        <v>572.86206973264086</v>
      </c>
      <c r="AM153" s="62">
        <f t="shared" si="113"/>
        <v>866.19540306597423</v>
      </c>
      <c r="AN153" s="62">
        <f ca="1">AVERAGE(OFFSET($AM$3,0,0,'Données projet'!$E$10+1,1))-AVERAGE(OFFSET($H$3,0,0,'Données projet'!$E$10+1,1))</f>
        <v>302.55602998433079</v>
      </c>
      <c r="AO153" s="62">
        <f t="shared" si="144"/>
        <v>172.32171001882188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293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4.4337866711430253E-14</v>
      </c>
      <c r="BF153" s="14">
        <f t="shared" si="145"/>
        <v>7.3222115536967035E-13</v>
      </c>
      <c r="BG153" s="22">
        <f t="shared" si="115"/>
        <v>1.3525069634579169E-12</v>
      </c>
      <c r="BH153" s="62">
        <f t="shared" si="116"/>
        <v>293.33333333333468</v>
      </c>
      <c r="BI153" s="62">
        <f ca="1">AVERAGE(OFFSET($BH$3,0,0,'Données projet'!$E$11+1,1))-AVERAGE(OFFSET($H$3,0,0,'Données projet'!$E$11+1,1))</f>
        <v>216.95993967070063</v>
      </c>
      <c r="BJ153" s="62">
        <f t="shared" si="146"/>
        <v>208.79744153433245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293</v>
      </c>
      <c r="BW153" s="13">
        <f>VLOOKUP(A153,'Données projet'!$A$113:$I$133,9,0)</f>
        <v>2.4</v>
      </c>
      <c r="BX153" s="13">
        <f t="array" ref="BX153">INDEX(BW:BW,MIN(IF(ISNUMBER(BW153:BW349),ROW(BW153:BW349),"")))</f>
        <v>2.4</v>
      </c>
      <c r="BY153" s="13">
        <f>IF('Données projet'!$A$114&gt;35,BY152+BX153-CG152,IF(A153&lt;'Données projet'!$A$114,$BV$205^A153,IF(A153='Données projet'!$A$114,'Données projet'!$B$114,BY152+BX153-CG152)))</f>
        <v>292.99999999999881</v>
      </c>
      <c r="BZ153" s="14">
        <f>BY153*VLOOKUP('Données projet'!$B$12,Paramètres!$A$1:$I$89,3,0)*VLOOKUP('Données projet'!$B$12,Paramètres!$A$1:$I$89,5,0)</f>
        <v>283.38959999999884</v>
      </c>
      <c r="CA153" s="14">
        <f t="shared" si="147"/>
        <v>67.68282637465613</v>
      </c>
      <c r="CB153" s="22">
        <f t="shared" si="118"/>
        <v>611.4511426025241</v>
      </c>
      <c r="CC153" s="62">
        <f t="shared" si="119"/>
        <v>904.78447593585747</v>
      </c>
      <c r="CD153" s="62">
        <f ca="1">AVERAGE(OFFSET($CC$3,0,0,'Données projet'!$E$12+1,1))-AVERAGE(OFFSET($H$3,0,0,'Données projet'!$E$12+1,1))</f>
        <v>329.13617179625538</v>
      </c>
      <c r="CE153" s="62">
        <f t="shared" si="148"/>
        <v>186.45728006007261</v>
      </c>
      <c r="CF153" s="16">
        <f>IF(ISNA(VLOOKUP(A153,'Données projet'!$A$113:$I$133,3,0)),0,VLOOKUP(A153,'Données projet'!$A$113:$I$133,3,0))</f>
        <v>13</v>
      </c>
      <c r="CG153" s="16">
        <f>IF(ISNA(VLOOKUP(A153,'Données projet'!$A$113:$I$133,4,0)),0,VLOOKUP(A153,'Données projet'!$A$113:$I$133,4,0))</f>
        <v>293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175.05987582828078</v>
      </c>
      <c r="T154" s="62">
        <f t="shared" si="142"/>
        <v>268.54782308462387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0.31705406908335065</v>
      </c>
      <c r="AB154" s="23">
        <f>EXP(-LN(2)/2)*AB153+(1-EXP(-LN(2)/2))/(LN(2)/2)*V154*Y154*VLOOKUP('Données projet'!$B$9,Paramètres!$A$1:$I$89,3,0)*0.475*44/12</f>
        <v>7.7578283107402768E-18</v>
      </c>
      <c r="AC154" s="24">
        <f t="shared" ref="AC154:AC203" si="163">SUM(Z154:AB154)</f>
        <v>0.31705406908335065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-1.1937117960769683E-12</v>
      </c>
      <c r="AJ154" s="14">
        <f>AI154*VLOOKUP('Données projet'!$B$10,Paramètres!$A$1:$I$89,3,0)*VLOOKUP('Données projet'!$B$10,Paramètres!$A$1:$I$89,5,0)</f>
        <v>-1.080070433090441E-12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302.55602998433079</v>
      </c>
      <c r="AO154" s="62">
        <f t="shared" si="144"/>
        <v>172.32171001882188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4.4337866711430253E-14</v>
      </c>
      <c r="BF154" s="14">
        <f t="shared" ref="BF154:BF203" si="167">EXP(-1.0587+0.8836*LN(BE154)+0.284)</f>
        <v>7.3222115536967035E-13</v>
      </c>
      <c r="BG154" s="22">
        <f t="shared" ref="BG154:BG203" si="168">(BE154+BF154)*0.475*44/12</f>
        <v>1.3525069634579169E-12</v>
      </c>
      <c r="BH154" s="62">
        <f t="shared" si="116"/>
        <v>293.33333333333468</v>
      </c>
      <c r="BI154" s="62">
        <f ca="1">AVERAGE(OFFSET($BH$3,0,0,'Données projet'!$E$11+1,1))-AVERAGE(OFFSET($H$3,0,0,'Données projet'!$E$11+1,1))</f>
        <v>216.95993967070063</v>
      </c>
      <c r="BJ154" s="62">
        <f t="shared" si="146"/>
        <v>208.79744153433245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-1.1937117960769683E-12</v>
      </c>
      <c r="BZ154" s="14">
        <f>BY154*VLOOKUP('Données projet'!$B$12,Paramètres!$A$1:$I$89,3,0)*VLOOKUP('Données projet'!$B$12,Paramètres!$A$1:$I$89,5,0)</f>
        <v>-1.1545580491656437E-12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329.13617179625538</v>
      </c>
      <c r="CE154" s="62">
        <f t="shared" si="148"/>
        <v>186.45728006007261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175.05987582828078</v>
      </c>
      <c r="T155" s="62">
        <f t="shared" si="142"/>
        <v>268.54782308462387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0.30838420889111756</v>
      </c>
      <c r="AB155" s="23">
        <f>EXP(-LN(2)/2)*AB154+(1-EXP(-LN(2)/2))/(LN(2)/2)*V155*Y155*VLOOKUP('Données projet'!$B$9,Paramètres!$A$1:$I$89,3,0)*0.475*44/12</f>
        <v>5.4856130058054286E-18</v>
      </c>
      <c r="AC155" s="24">
        <f t="shared" si="163"/>
        <v>0.30838420889111756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-1.1937117960769683E-12</v>
      </c>
      <c r="AJ155" s="14">
        <f>AI155*VLOOKUP('Données projet'!$B$10,Paramètres!$A$1:$I$89,3,0)*VLOOKUP('Données projet'!$B$10,Paramètres!$A$1:$I$89,5,0)</f>
        <v>-1.080070433090441E-12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302.55602998433079</v>
      </c>
      <c r="AO155" s="62">
        <f t="shared" si="144"/>
        <v>172.32171001882188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4.4337866711430253E-14</v>
      </c>
      <c r="BF155" s="14">
        <f t="shared" si="167"/>
        <v>7.3222115536967035E-13</v>
      </c>
      <c r="BG155" s="22">
        <f t="shared" si="168"/>
        <v>1.3525069634579169E-12</v>
      </c>
      <c r="BH155" s="62">
        <f t="shared" si="116"/>
        <v>293.33333333333468</v>
      </c>
      <c r="BI155" s="62">
        <f ca="1">AVERAGE(OFFSET($BH$3,0,0,'Données projet'!$E$11+1,1))-AVERAGE(OFFSET($H$3,0,0,'Données projet'!$E$11+1,1))</f>
        <v>216.95993967070063</v>
      </c>
      <c r="BJ155" s="62">
        <f t="shared" si="146"/>
        <v>208.79744153433245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-1.1937117960769683E-12</v>
      </c>
      <c r="BZ155" s="14">
        <f>BY155*VLOOKUP('Données projet'!$B$12,Paramètres!$A$1:$I$89,3,0)*VLOOKUP('Données projet'!$B$12,Paramètres!$A$1:$I$89,5,0)</f>
        <v>-1.1545580491656437E-12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329.13617179625538</v>
      </c>
      <c r="CE155" s="62">
        <f t="shared" si="148"/>
        <v>186.45728006007261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175.05987582828078</v>
      </c>
      <c r="T156" s="62">
        <f t="shared" si="142"/>
        <v>268.54782308462387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0.2999514264817692</v>
      </c>
      <c r="AB156" s="23">
        <f>EXP(-LN(2)/2)*AB155+(1-EXP(-LN(2)/2))/(LN(2)/2)*V156*Y156*VLOOKUP('Données projet'!$B$9,Paramètres!$A$1:$I$89,3,0)*0.475*44/12</f>
        <v>3.8789141553701384E-18</v>
      </c>
      <c r="AC156" s="24">
        <f t="shared" si="163"/>
        <v>0.2999514264817692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-1.1937117960769683E-12</v>
      </c>
      <c r="AJ156" s="14">
        <f>AI156*VLOOKUP('Données projet'!$B$10,Paramètres!$A$1:$I$89,3,0)*VLOOKUP('Données projet'!$B$10,Paramètres!$A$1:$I$89,5,0)</f>
        <v>-1.080070433090441E-12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302.55602998433079</v>
      </c>
      <c r="AO156" s="62">
        <f t="shared" si="144"/>
        <v>172.32171001882188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4.4337866711430253E-14</v>
      </c>
      <c r="BF156" s="14">
        <f t="shared" si="167"/>
        <v>7.3222115536967035E-13</v>
      </c>
      <c r="BG156" s="22">
        <f t="shared" si="168"/>
        <v>1.3525069634579169E-12</v>
      </c>
      <c r="BH156" s="62">
        <f t="shared" si="116"/>
        <v>293.33333333333468</v>
      </c>
      <c r="BI156" s="62">
        <f ca="1">AVERAGE(OFFSET($BH$3,0,0,'Données projet'!$E$11+1,1))-AVERAGE(OFFSET($H$3,0,0,'Données projet'!$E$11+1,1))</f>
        <v>216.95993967070063</v>
      </c>
      <c r="BJ156" s="62">
        <f t="shared" si="146"/>
        <v>208.79744153433245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-1.1937117960769683E-12</v>
      </c>
      <c r="BZ156" s="14">
        <f>BY156*VLOOKUP('Données projet'!$B$12,Paramètres!$A$1:$I$89,3,0)*VLOOKUP('Données projet'!$B$12,Paramètres!$A$1:$I$89,5,0)</f>
        <v>-1.1545580491656437E-12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329.13617179625538</v>
      </c>
      <c r="CE156" s="62">
        <f t="shared" si="148"/>
        <v>186.45728006007261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175.05987582828078</v>
      </c>
      <c r="T157" s="62">
        <f t="shared" si="142"/>
        <v>268.54782308462387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0.29174923895086524</v>
      </c>
      <c r="AB157" s="23">
        <f>EXP(-LN(2)/2)*AB156+(1-EXP(-LN(2)/2))/(LN(2)/2)*V157*Y157*VLOOKUP('Données projet'!$B$9,Paramètres!$A$1:$I$89,3,0)*0.475*44/12</f>
        <v>2.7428065029027143E-18</v>
      </c>
      <c r="AC157" s="24">
        <f t="shared" si="163"/>
        <v>0.29174923895086524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-1.1937117960769683E-12</v>
      </c>
      <c r="AJ157" s="14">
        <f>AI157*VLOOKUP('Données projet'!$B$10,Paramètres!$A$1:$I$89,3,0)*VLOOKUP('Données projet'!$B$10,Paramètres!$A$1:$I$89,5,0)</f>
        <v>-1.080070433090441E-12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302.55602998433079</v>
      </c>
      <c r="AO157" s="62">
        <f t="shared" si="144"/>
        <v>172.32171001882188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4.4337866711430253E-14</v>
      </c>
      <c r="BF157" s="14">
        <f t="shared" si="167"/>
        <v>7.3222115536967035E-13</v>
      </c>
      <c r="BG157" s="22">
        <f t="shared" si="168"/>
        <v>1.3525069634579169E-12</v>
      </c>
      <c r="BH157" s="62">
        <f t="shared" si="116"/>
        <v>293.33333333333468</v>
      </c>
      <c r="BI157" s="62">
        <f ca="1">AVERAGE(OFFSET($BH$3,0,0,'Données projet'!$E$11+1,1))-AVERAGE(OFFSET($H$3,0,0,'Données projet'!$E$11+1,1))</f>
        <v>216.95993967070063</v>
      </c>
      <c r="BJ157" s="62">
        <f t="shared" si="146"/>
        <v>208.79744153433245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-1.1937117960769683E-12</v>
      </c>
      <c r="BZ157" s="14">
        <f>BY157*VLOOKUP('Données projet'!$B$12,Paramètres!$A$1:$I$89,3,0)*VLOOKUP('Données projet'!$B$12,Paramètres!$A$1:$I$89,5,0)</f>
        <v>-1.1545580491656437E-12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329.13617179625538</v>
      </c>
      <c r="CE157" s="62">
        <f t="shared" si="148"/>
        <v>186.45728006007261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175.05987582828078</v>
      </c>
      <c r="T158" s="62">
        <f t="shared" si="142"/>
        <v>268.54782308462387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0.28377134066932813</v>
      </c>
      <c r="AB158" s="23">
        <f>EXP(-LN(2)/2)*AB157+(1-EXP(-LN(2)/2))/(LN(2)/2)*V158*Y158*VLOOKUP('Données projet'!$B$9,Paramètres!$A$1:$I$89,3,0)*0.475*44/12</f>
        <v>1.9394570776850692E-18</v>
      </c>
      <c r="AC158" s="24">
        <f t="shared" si="163"/>
        <v>0.28377134066932813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-1.1937117960769683E-12</v>
      </c>
      <c r="AJ158" s="14">
        <f>AI158*VLOOKUP('Données projet'!$B$10,Paramètres!$A$1:$I$89,3,0)*VLOOKUP('Données projet'!$B$10,Paramètres!$A$1:$I$89,5,0)</f>
        <v>-1.080070433090441E-12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302.55602998433079</v>
      </c>
      <c r="AO158" s="62">
        <f t="shared" si="144"/>
        <v>172.32171001882188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4.4337866711430253E-14</v>
      </c>
      <c r="BF158" s="14">
        <f t="shared" si="167"/>
        <v>7.3222115536967035E-13</v>
      </c>
      <c r="BG158" s="22">
        <f t="shared" si="168"/>
        <v>1.3525069634579169E-12</v>
      </c>
      <c r="BH158" s="62">
        <f t="shared" si="116"/>
        <v>293.33333333333468</v>
      </c>
      <c r="BI158" s="62">
        <f ca="1">AVERAGE(OFFSET($BH$3,0,0,'Données projet'!$E$11+1,1))-AVERAGE(OFFSET($H$3,0,0,'Données projet'!$E$11+1,1))</f>
        <v>216.95993967070063</v>
      </c>
      <c r="BJ158" s="62">
        <f t="shared" si="146"/>
        <v>208.79744153433245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-1.1937117960769683E-12</v>
      </c>
      <c r="BZ158" s="14">
        <f>BY158*VLOOKUP('Données projet'!$B$12,Paramètres!$A$1:$I$89,3,0)*VLOOKUP('Données projet'!$B$12,Paramètres!$A$1:$I$89,5,0)</f>
        <v>-1.1545580491656437E-12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329.13617179625538</v>
      </c>
      <c r="CE158" s="62">
        <f t="shared" si="148"/>
        <v>186.45728006007261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175.05987582828078</v>
      </c>
      <c r="T159" s="62">
        <f t="shared" si="142"/>
        <v>268.54782308462387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0.27601159843583911</v>
      </c>
      <c r="AB159" s="23">
        <f>EXP(-LN(2)/2)*AB158+(1-EXP(-LN(2)/2))/(LN(2)/2)*V159*Y159*VLOOKUP('Données projet'!$B$9,Paramètres!$A$1:$I$89,3,0)*0.475*44/12</f>
        <v>1.3714032514513571E-18</v>
      </c>
      <c r="AC159" s="24">
        <f t="shared" si="163"/>
        <v>0.27601159843583911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-1.1937117960769683E-12</v>
      </c>
      <c r="AJ159" s="14">
        <f>AI159*VLOOKUP('Données projet'!$B$10,Paramètres!$A$1:$I$89,3,0)*VLOOKUP('Données projet'!$B$10,Paramètres!$A$1:$I$89,5,0)</f>
        <v>-1.080070433090441E-12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302.55602998433079</v>
      </c>
      <c r="AO159" s="62">
        <f t="shared" si="144"/>
        <v>172.32171001882188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4.4337866711430253E-14</v>
      </c>
      <c r="BF159" s="14">
        <f t="shared" si="167"/>
        <v>7.3222115536967035E-13</v>
      </c>
      <c r="BG159" s="22">
        <f t="shared" si="168"/>
        <v>1.3525069634579169E-12</v>
      </c>
      <c r="BH159" s="62">
        <f t="shared" si="116"/>
        <v>293.33333333333468</v>
      </c>
      <c r="BI159" s="62">
        <f ca="1">AVERAGE(OFFSET($BH$3,0,0,'Données projet'!$E$11+1,1))-AVERAGE(OFFSET($H$3,0,0,'Données projet'!$E$11+1,1))</f>
        <v>216.95993967070063</v>
      </c>
      <c r="BJ159" s="62">
        <f t="shared" si="146"/>
        <v>208.79744153433245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-1.1937117960769683E-12</v>
      </c>
      <c r="BZ159" s="14">
        <f>BY159*VLOOKUP('Données projet'!$B$12,Paramètres!$A$1:$I$89,3,0)*VLOOKUP('Données projet'!$B$12,Paramètres!$A$1:$I$89,5,0)</f>
        <v>-1.1545580491656437E-12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329.13617179625538</v>
      </c>
      <c r="CE159" s="62">
        <f t="shared" si="148"/>
        <v>186.45728006007261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175.05987582828078</v>
      </c>
      <c r="T160" s="62">
        <f t="shared" si="142"/>
        <v>268.54782308462387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0.26846404676179197</v>
      </c>
      <c r="AB160" s="23">
        <f>EXP(-LN(2)/2)*AB159+(1-EXP(-LN(2)/2))/(LN(2)/2)*V160*Y160*VLOOKUP('Données projet'!$B$9,Paramètres!$A$1:$I$89,3,0)*0.475*44/12</f>
        <v>9.697285388425346E-19</v>
      </c>
      <c r="AC160" s="24">
        <f t="shared" si="163"/>
        <v>0.26846404676179197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-1.1937117960769683E-12</v>
      </c>
      <c r="AJ160" s="14">
        <f>AI160*VLOOKUP('Données projet'!$B$10,Paramètres!$A$1:$I$89,3,0)*VLOOKUP('Données projet'!$B$10,Paramètres!$A$1:$I$89,5,0)</f>
        <v>-1.080070433090441E-12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302.55602998433079</v>
      </c>
      <c r="AO160" s="62">
        <f t="shared" si="144"/>
        <v>172.32171001882188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4.4337866711430253E-14</v>
      </c>
      <c r="BF160" s="14">
        <f t="shared" si="167"/>
        <v>7.3222115536967035E-13</v>
      </c>
      <c r="BG160" s="22">
        <f t="shared" si="168"/>
        <v>1.3525069634579169E-12</v>
      </c>
      <c r="BH160" s="62">
        <f t="shared" si="116"/>
        <v>293.33333333333468</v>
      </c>
      <c r="BI160" s="62">
        <f ca="1">AVERAGE(OFFSET($BH$3,0,0,'Données projet'!$E$11+1,1))-AVERAGE(OFFSET($H$3,0,0,'Données projet'!$E$11+1,1))</f>
        <v>216.95993967070063</v>
      </c>
      <c r="BJ160" s="62">
        <f t="shared" si="146"/>
        <v>208.79744153433245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-1.1937117960769683E-12</v>
      </c>
      <c r="BZ160" s="14">
        <f>BY160*VLOOKUP('Données projet'!$B$12,Paramètres!$A$1:$I$89,3,0)*VLOOKUP('Données projet'!$B$12,Paramètres!$A$1:$I$89,5,0)</f>
        <v>-1.1545580491656437E-12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329.13617179625538</v>
      </c>
      <c r="CE160" s="62">
        <f t="shared" si="148"/>
        <v>186.45728006007261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175.05987582828078</v>
      </c>
      <c r="T161" s="62">
        <f t="shared" si="142"/>
        <v>268.54782308462387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0.26112288328518013</v>
      </c>
      <c r="AB161" s="23">
        <f>EXP(-LN(2)/2)*AB160+(1-EXP(-LN(2)/2))/(LN(2)/2)*V161*Y161*VLOOKUP('Données projet'!$B$9,Paramètres!$A$1:$I$89,3,0)*0.475*44/12</f>
        <v>6.8570162572567857E-19</v>
      </c>
      <c r="AC161" s="24">
        <f t="shared" si="163"/>
        <v>0.26112288328518013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-1.1937117960769683E-12</v>
      </c>
      <c r="AJ161" s="14">
        <f>AI161*VLOOKUP('Données projet'!$B$10,Paramètres!$A$1:$I$89,3,0)*VLOOKUP('Données projet'!$B$10,Paramètres!$A$1:$I$89,5,0)</f>
        <v>-1.080070433090441E-12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302.55602998433079</v>
      </c>
      <c r="AO161" s="62">
        <f t="shared" si="144"/>
        <v>172.32171001882188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4.4337866711430253E-14</v>
      </c>
      <c r="BF161" s="14">
        <f t="shared" si="167"/>
        <v>7.3222115536967035E-13</v>
      </c>
      <c r="BG161" s="22">
        <f t="shared" si="168"/>
        <v>1.3525069634579169E-12</v>
      </c>
      <c r="BH161" s="62">
        <f t="shared" si="116"/>
        <v>293.33333333333468</v>
      </c>
      <c r="BI161" s="62">
        <f ca="1">AVERAGE(OFFSET($BH$3,0,0,'Données projet'!$E$11+1,1))-AVERAGE(OFFSET($H$3,0,0,'Données projet'!$E$11+1,1))</f>
        <v>216.95993967070063</v>
      </c>
      <c r="BJ161" s="62">
        <f t="shared" si="146"/>
        <v>208.79744153433245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-1.1937117960769683E-12</v>
      </c>
      <c r="BZ161" s="14">
        <f>BY161*VLOOKUP('Données projet'!$B$12,Paramètres!$A$1:$I$89,3,0)*VLOOKUP('Données projet'!$B$12,Paramètres!$A$1:$I$89,5,0)</f>
        <v>-1.1545580491656437E-12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329.13617179625538</v>
      </c>
      <c r="CE161" s="62">
        <f t="shared" si="148"/>
        <v>186.45728006007261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175.05987582828078</v>
      </c>
      <c r="T162" s="62">
        <f t="shared" si="142"/>
        <v>268.54782308462387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0.25398246430989124</v>
      </c>
      <c r="AB162" s="23">
        <f>EXP(-LN(2)/2)*AB161+(1-EXP(-LN(2)/2))/(LN(2)/2)*V162*Y162*VLOOKUP('Données projet'!$B$9,Paramètres!$A$1:$I$89,3,0)*0.475*44/12</f>
        <v>4.848642694212673E-19</v>
      </c>
      <c r="AC162" s="24">
        <f t="shared" si="163"/>
        <v>0.25398246430989124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-1.1937117960769683E-12</v>
      </c>
      <c r="AJ162" s="14">
        <f>AI162*VLOOKUP('Données projet'!$B$10,Paramètres!$A$1:$I$89,3,0)*VLOOKUP('Données projet'!$B$10,Paramètres!$A$1:$I$89,5,0)</f>
        <v>-1.080070433090441E-12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302.55602998433079</v>
      </c>
      <c r="AO162" s="62">
        <f t="shared" si="144"/>
        <v>172.32171001882188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4.4337866711430253E-14</v>
      </c>
      <c r="BF162" s="14">
        <f t="shared" si="167"/>
        <v>7.3222115536967035E-13</v>
      </c>
      <c r="BG162" s="22">
        <f t="shared" si="168"/>
        <v>1.3525069634579169E-12</v>
      </c>
      <c r="BH162" s="62">
        <f t="shared" si="116"/>
        <v>293.33333333333468</v>
      </c>
      <c r="BI162" s="62">
        <f ca="1">AVERAGE(OFFSET($BH$3,0,0,'Données projet'!$E$11+1,1))-AVERAGE(OFFSET($H$3,0,0,'Données projet'!$E$11+1,1))</f>
        <v>216.95993967070063</v>
      </c>
      <c r="BJ162" s="62">
        <f t="shared" si="146"/>
        <v>208.79744153433245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-1.1937117960769683E-12</v>
      </c>
      <c r="BZ162" s="14">
        <f>BY162*VLOOKUP('Données projet'!$B$12,Paramètres!$A$1:$I$89,3,0)*VLOOKUP('Données projet'!$B$12,Paramètres!$A$1:$I$89,5,0)</f>
        <v>-1.1545580491656437E-12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329.13617179625538</v>
      </c>
      <c r="CE162" s="62">
        <f t="shared" si="148"/>
        <v>186.45728006007261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175.05987582828078</v>
      </c>
      <c r="T163" s="62">
        <f t="shared" si="142"/>
        <v>268.54782308462387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0.24703730046697994</v>
      </c>
      <c r="AB163" s="23">
        <f>EXP(-LN(2)/2)*AB162+(1-EXP(-LN(2)/2))/(LN(2)/2)*V163*Y163*VLOOKUP('Données projet'!$B$9,Paramètres!$A$1:$I$89,3,0)*0.475*44/12</f>
        <v>3.4285081286283929E-19</v>
      </c>
      <c r="AC163" s="24">
        <f t="shared" si="163"/>
        <v>0.24703730046697994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-1.1937117960769683E-12</v>
      </c>
      <c r="AJ163" s="14">
        <f>AI163*VLOOKUP('Données projet'!$B$10,Paramètres!$A$1:$I$89,3,0)*VLOOKUP('Données projet'!$B$10,Paramètres!$A$1:$I$89,5,0)</f>
        <v>-1.080070433090441E-12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302.55602998433079</v>
      </c>
      <c r="AO163" s="62">
        <f t="shared" si="144"/>
        <v>172.32171001882188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4.4337866711430253E-14</v>
      </c>
      <c r="BF163" s="14">
        <f t="shared" si="167"/>
        <v>7.3222115536967035E-13</v>
      </c>
      <c r="BG163" s="22">
        <f t="shared" si="168"/>
        <v>1.3525069634579169E-12</v>
      </c>
      <c r="BH163" s="62">
        <f t="shared" si="116"/>
        <v>293.33333333333468</v>
      </c>
      <c r="BI163" s="62">
        <f ca="1">AVERAGE(OFFSET($BH$3,0,0,'Données projet'!$E$11+1,1))-AVERAGE(OFFSET($H$3,0,0,'Données projet'!$E$11+1,1))</f>
        <v>216.95993967070063</v>
      </c>
      <c r="BJ163" s="62">
        <f t="shared" si="146"/>
        <v>208.79744153433245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-1.1937117960769683E-12</v>
      </c>
      <c r="BZ163" s="14">
        <f>BY163*VLOOKUP('Données projet'!$B$12,Paramètres!$A$1:$I$89,3,0)*VLOOKUP('Données projet'!$B$12,Paramètres!$A$1:$I$89,5,0)</f>
        <v>-1.1545580491656437E-12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329.13617179625538</v>
      </c>
      <c r="CE163" s="62">
        <f t="shared" si="148"/>
        <v>186.45728006007261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175.05987582828078</v>
      </c>
      <c r="T164" s="62">
        <f t="shared" si="142"/>
        <v>268.54782308462387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0.24028205249458334</v>
      </c>
      <c r="AB164" s="23">
        <f>EXP(-LN(2)/2)*AB163+(1-EXP(-LN(2)/2))/(LN(2)/2)*V164*Y164*VLOOKUP('Données projet'!$B$9,Paramètres!$A$1:$I$89,3,0)*0.475*44/12</f>
        <v>2.4243213471063365E-19</v>
      </c>
      <c r="AC164" s="24">
        <f t="shared" si="163"/>
        <v>0.24028205249458334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-1.1937117960769683E-12</v>
      </c>
      <c r="AJ164" s="14">
        <f>AI164*VLOOKUP('Données projet'!$B$10,Paramètres!$A$1:$I$89,3,0)*VLOOKUP('Données projet'!$B$10,Paramètres!$A$1:$I$89,5,0)</f>
        <v>-1.080070433090441E-12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302.55602998433079</v>
      </c>
      <c r="AO164" s="62">
        <f t="shared" si="144"/>
        <v>172.32171001882188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4.4337866711430253E-14</v>
      </c>
      <c r="BF164" s="14">
        <f t="shared" si="167"/>
        <v>7.3222115536967035E-13</v>
      </c>
      <c r="BG164" s="22">
        <f t="shared" si="168"/>
        <v>1.3525069634579169E-12</v>
      </c>
      <c r="BH164" s="62">
        <f t="shared" si="116"/>
        <v>293.33333333333468</v>
      </c>
      <c r="BI164" s="62">
        <f ca="1">AVERAGE(OFFSET($BH$3,0,0,'Données projet'!$E$11+1,1))-AVERAGE(OFFSET($H$3,0,0,'Données projet'!$E$11+1,1))</f>
        <v>216.95993967070063</v>
      </c>
      <c r="BJ164" s="62">
        <f t="shared" si="146"/>
        <v>208.79744153433245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-1.1937117960769683E-12</v>
      </c>
      <c r="BZ164" s="14">
        <f>BY164*VLOOKUP('Données projet'!$B$12,Paramètres!$A$1:$I$89,3,0)*VLOOKUP('Données projet'!$B$12,Paramètres!$A$1:$I$89,5,0)</f>
        <v>-1.1545580491656437E-12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329.13617179625538</v>
      </c>
      <c r="CE164" s="62">
        <f t="shared" si="148"/>
        <v>186.45728006007261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175.05987582828078</v>
      </c>
      <c r="T165" s="62">
        <f t="shared" si="142"/>
        <v>268.54782308462387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0.23371152713323498</v>
      </c>
      <c r="AB165" s="23">
        <f>EXP(-LN(2)/2)*AB164+(1-EXP(-LN(2)/2))/(LN(2)/2)*V165*Y165*VLOOKUP('Données projet'!$B$9,Paramètres!$A$1:$I$89,3,0)*0.475*44/12</f>
        <v>1.7142540643141964E-19</v>
      </c>
      <c r="AC165" s="24">
        <f t="shared" si="163"/>
        <v>0.23371152713323498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-1.1937117960769683E-12</v>
      </c>
      <c r="AJ165" s="14">
        <f>AI165*VLOOKUP('Données projet'!$B$10,Paramètres!$A$1:$I$89,3,0)*VLOOKUP('Données projet'!$B$10,Paramètres!$A$1:$I$89,5,0)</f>
        <v>-1.080070433090441E-12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302.55602998433079</v>
      </c>
      <c r="AO165" s="62">
        <f t="shared" si="144"/>
        <v>172.32171001882188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4.4337866711430253E-14</v>
      </c>
      <c r="BF165" s="14">
        <f t="shared" si="167"/>
        <v>7.3222115536967035E-13</v>
      </c>
      <c r="BG165" s="22">
        <f t="shared" si="168"/>
        <v>1.3525069634579169E-12</v>
      </c>
      <c r="BH165" s="62">
        <f t="shared" si="116"/>
        <v>293.33333333333468</v>
      </c>
      <c r="BI165" s="62">
        <f ca="1">AVERAGE(OFFSET($BH$3,0,0,'Données projet'!$E$11+1,1))-AVERAGE(OFFSET($H$3,0,0,'Données projet'!$E$11+1,1))</f>
        <v>216.95993967070063</v>
      </c>
      <c r="BJ165" s="62">
        <f t="shared" si="146"/>
        <v>208.79744153433245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-1.1937117960769683E-12</v>
      </c>
      <c r="BZ165" s="14">
        <f>BY165*VLOOKUP('Données projet'!$B$12,Paramètres!$A$1:$I$89,3,0)*VLOOKUP('Données projet'!$B$12,Paramètres!$A$1:$I$89,5,0)</f>
        <v>-1.1545580491656437E-12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329.13617179625538</v>
      </c>
      <c r="CE165" s="62">
        <f t="shared" si="148"/>
        <v>186.45728006007261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175.05987582828078</v>
      </c>
      <c r="T166" s="62">
        <f t="shared" si="142"/>
        <v>268.54782308462387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0.22732067313342161</v>
      </c>
      <c r="AB166" s="23">
        <f>EXP(-LN(2)/2)*AB165+(1-EXP(-LN(2)/2))/(LN(2)/2)*V166*Y166*VLOOKUP('Données projet'!$B$9,Paramètres!$A$1:$I$89,3,0)*0.475*44/12</f>
        <v>1.2121606735531683E-19</v>
      </c>
      <c r="AC166" s="24">
        <f t="shared" si="163"/>
        <v>0.22732067313342161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-1.1937117960769683E-12</v>
      </c>
      <c r="AJ166" s="14">
        <f>AI166*VLOOKUP('Données projet'!$B$10,Paramètres!$A$1:$I$89,3,0)*VLOOKUP('Données projet'!$B$10,Paramètres!$A$1:$I$89,5,0)</f>
        <v>-1.080070433090441E-12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302.55602998433079</v>
      </c>
      <c r="AO166" s="62">
        <f t="shared" si="144"/>
        <v>172.32171001882188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4.4337866711430253E-14</v>
      </c>
      <c r="BF166" s="14">
        <f t="shared" si="167"/>
        <v>7.3222115536967035E-13</v>
      </c>
      <c r="BG166" s="22">
        <f t="shared" si="168"/>
        <v>1.3525069634579169E-12</v>
      </c>
      <c r="BH166" s="62">
        <f t="shared" si="116"/>
        <v>293.33333333333468</v>
      </c>
      <c r="BI166" s="62">
        <f ca="1">AVERAGE(OFFSET($BH$3,0,0,'Données projet'!$E$11+1,1))-AVERAGE(OFFSET($H$3,0,0,'Données projet'!$E$11+1,1))</f>
        <v>216.95993967070063</v>
      </c>
      <c r="BJ166" s="62">
        <f t="shared" si="146"/>
        <v>208.79744153433245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-1.1937117960769683E-12</v>
      </c>
      <c r="BZ166" s="14">
        <f>BY166*VLOOKUP('Données projet'!$B$12,Paramètres!$A$1:$I$89,3,0)*VLOOKUP('Données projet'!$B$12,Paramètres!$A$1:$I$89,5,0)</f>
        <v>-1.1545580491656437E-12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329.13617179625538</v>
      </c>
      <c r="CE166" s="62">
        <f t="shared" si="148"/>
        <v>186.45728006007261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175.05987582828078</v>
      </c>
      <c r="T167" s="62">
        <f t="shared" si="142"/>
        <v>268.54782308462387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0.22110457737231354</v>
      </c>
      <c r="AB167" s="23">
        <f>EXP(-LN(2)/2)*AB166+(1-EXP(-LN(2)/2))/(LN(2)/2)*V167*Y167*VLOOKUP('Données projet'!$B$9,Paramètres!$A$1:$I$89,3,0)*0.475*44/12</f>
        <v>8.5712703215709822E-20</v>
      </c>
      <c r="AC167" s="24">
        <f t="shared" si="163"/>
        <v>0.22110457737231354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-1.1937117960769683E-12</v>
      </c>
      <c r="AJ167" s="14">
        <f>AI167*VLOOKUP('Données projet'!$B$10,Paramètres!$A$1:$I$89,3,0)*VLOOKUP('Données projet'!$B$10,Paramètres!$A$1:$I$89,5,0)</f>
        <v>-1.080070433090441E-12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302.55602998433079</v>
      </c>
      <c r="AO167" s="62">
        <f t="shared" si="144"/>
        <v>172.32171001882188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4.4337866711430253E-14</v>
      </c>
      <c r="BF167" s="14">
        <f t="shared" si="167"/>
        <v>7.3222115536967035E-13</v>
      </c>
      <c r="BG167" s="22">
        <f t="shared" si="168"/>
        <v>1.3525069634579169E-12</v>
      </c>
      <c r="BH167" s="62">
        <f t="shared" si="116"/>
        <v>293.33333333333468</v>
      </c>
      <c r="BI167" s="62">
        <f ca="1">AVERAGE(OFFSET($BH$3,0,0,'Données projet'!$E$11+1,1))-AVERAGE(OFFSET($H$3,0,0,'Données projet'!$E$11+1,1))</f>
        <v>216.95993967070063</v>
      </c>
      <c r="BJ167" s="62">
        <f t="shared" si="146"/>
        <v>208.79744153433245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-1.1937117960769683E-12</v>
      </c>
      <c r="BZ167" s="14">
        <f>BY167*VLOOKUP('Données projet'!$B$12,Paramètres!$A$1:$I$89,3,0)*VLOOKUP('Données projet'!$B$12,Paramètres!$A$1:$I$89,5,0)</f>
        <v>-1.1545580491656437E-12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329.13617179625538</v>
      </c>
      <c r="CE167" s="62">
        <f t="shared" si="148"/>
        <v>186.45728006007261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175.05987582828078</v>
      </c>
      <c r="T168" s="62">
        <f t="shared" si="142"/>
        <v>268.54782308462387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0.21505846107668325</v>
      </c>
      <c r="AB168" s="23">
        <f>EXP(-LN(2)/2)*AB167+(1-EXP(-LN(2)/2))/(LN(2)/2)*V168*Y168*VLOOKUP('Données projet'!$B$9,Paramètres!$A$1:$I$89,3,0)*0.475*44/12</f>
        <v>6.0608033677658413E-20</v>
      </c>
      <c r="AC168" s="24">
        <f t="shared" si="163"/>
        <v>0.21505846107668325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-1.1937117960769683E-12</v>
      </c>
      <c r="AJ168" s="14">
        <f>AI168*VLOOKUP('Données projet'!$B$10,Paramètres!$A$1:$I$89,3,0)*VLOOKUP('Données projet'!$B$10,Paramètres!$A$1:$I$89,5,0)</f>
        <v>-1.080070433090441E-12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302.55602998433079</v>
      </c>
      <c r="AO168" s="62">
        <f t="shared" si="144"/>
        <v>172.32171001882188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4.4337866711430253E-14</v>
      </c>
      <c r="BF168" s="14">
        <f t="shared" si="167"/>
        <v>7.3222115536967035E-13</v>
      </c>
      <c r="BG168" s="22">
        <f t="shared" si="168"/>
        <v>1.3525069634579169E-12</v>
      </c>
      <c r="BH168" s="62">
        <f t="shared" si="116"/>
        <v>293.33333333333468</v>
      </c>
      <c r="BI168" s="62">
        <f ca="1">AVERAGE(OFFSET($BH$3,0,0,'Données projet'!$E$11+1,1))-AVERAGE(OFFSET($H$3,0,0,'Données projet'!$E$11+1,1))</f>
        <v>216.95993967070063</v>
      </c>
      <c r="BJ168" s="62">
        <f t="shared" si="146"/>
        <v>208.79744153433245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-1.1937117960769683E-12</v>
      </c>
      <c r="BZ168" s="14">
        <f>BY168*VLOOKUP('Données projet'!$B$12,Paramètres!$A$1:$I$89,3,0)*VLOOKUP('Données projet'!$B$12,Paramètres!$A$1:$I$89,5,0)</f>
        <v>-1.1545580491656437E-12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329.13617179625538</v>
      </c>
      <c r="CE168" s="62">
        <f t="shared" si="148"/>
        <v>186.45728006007261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175.05987582828078</v>
      </c>
      <c r="T169" s="62">
        <f t="shared" si="142"/>
        <v>268.54782308462387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0.2091776761491084</v>
      </c>
      <c r="AB169" s="23">
        <f>EXP(-LN(2)/2)*AB168+(1-EXP(-LN(2)/2))/(LN(2)/2)*V169*Y169*VLOOKUP('Données projet'!$B$9,Paramètres!$A$1:$I$89,3,0)*0.475*44/12</f>
        <v>4.2856351607854911E-20</v>
      </c>
      <c r="AC169" s="24">
        <f t="shared" si="163"/>
        <v>0.2091776761491084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-1.1937117960769683E-12</v>
      </c>
      <c r="AJ169" s="14">
        <f>AI169*VLOOKUP('Données projet'!$B$10,Paramètres!$A$1:$I$89,3,0)*VLOOKUP('Données projet'!$B$10,Paramètres!$A$1:$I$89,5,0)</f>
        <v>-1.080070433090441E-12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302.55602998433079</v>
      </c>
      <c r="AO169" s="62">
        <f t="shared" si="144"/>
        <v>172.32171001882188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4.4337866711430253E-14</v>
      </c>
      <c r="BF169" s="14">
        <f t="shared" si="167"/>
        <v>7.3222115536967035E-13</v>
      </c>
      <c r="BG169" s="22">
        <f t="shared" si="168"/>
        <v>1.3525069634579169E-12</v>
      </c>
      <c r="BH169" s="62">
        <f t="shared" si="116"/>
        <v>293.33333333333468</v>
      </c>
      <c r="BI169" s="62">
        <f ca="1">AVERAGE(OFFSET($BH$3,0,0,'Données projet'!$E$11+1,1))-AVERAGE(OFFSET($H$3,0,0,'Données projet'!$E$11+1,1))</f>
        <v>216.95993967070063</v>
      </c>
      <c r="BJ169" s="62">
        <f t="shared" si="146"/>
        <v>208.79744153433245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-1.1937117960769683E-12</v>
      </c>
      <c r="BZ169" s="14">
        <f>BY169*VLOOKUP('Données projet'!$B$12,Paramètres!$A$1:$I$89,3,0)*VLOOKUP('Données projet'!$B$12,Paramètres!$A$1:$I$89,5,0)</f>
        <v>-1.1545580491656437E-12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329.13617179625538</v>
      </c>
      <c r="CE169" s="62">
        <f t="shared" si="148"/>
        <v>186.45728006007261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175.05987582828078</v>
      </c>
      <c r="T170" s="62">
        <f t="shared" si="142"/>
        <v>268.54782308462387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0.20345770159463511</v>
      </c>
      <c r="AB170" s="23">
        <f>EXP(-LN(2)/2)*AB169+(1-EXP(-LN(2)/2))/(LN(2)/2)*V170*Y170*VLOOKUP('Données projet'!$B$9,Paramètres!$A$1:$I$89,3,0)*0.475*44/12</f>
        <v>3.0304016838829206E-20</v>
      </c>
      <c r="AC170" s="24">
        <f t="shared" si="163"/>
        <v>0.20345770159463511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-1.1937117960769683E-12</v>
      </c>
      <c r="AJ170" s="14">
        <f>AI170*VLOOKUP('Données projet'!$B$10,Paramètres!$A$1:$I$89,3,0)*VLOOKUP('Données projet'!$B$10,Paramètres!$A$1:$I$89,5,0)</f>
        <v>-1.080070433090441E-12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302.55602998433079</v>
      </c>
      <c r="AO170" s="62">
        <f t="shared" si="144"/>
        <v>172.32171001882188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4.4337866711430253E-14</v>
      </c>
      <c r="BF170" s="14">
        <f t="shared" si="167"/>
        <v>7.3222115536967035E-13</v>
      </c>
      <c r="BG170" s="22">
        <f t="shared" si="168"/>
        <v>1.3525069634579169E-12</v>
      </c>
      <c r="BH170" s="62">
        <f t="shared" si="116"/>
        <v>293.33333333333468</v>
      </c>
      <c r="BI170" s="62">
        <f ca="1">AVERAGE(OFFSET($BH$3,0,0,'Données projet'!$E$11+1,1))-AVERAGE(OFFSET($H$3,0,0,'Données projet'!$E$11+1,1))</f>
        <v>216.95993967070063</v>
      </c>
      <c r="BJ170" s="62">
        <f t="shared" si="146"/>
        <v>208.79744153433245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-1.1937117960769683E-12</v>
      </c>
      <c r="BZ170" s="14">
        <f>BY170*VLOOKUP('Données projet'!$B$12,Paramètres!$A$1:$I$89,3,0)*VLOOKUP('Données projet'!$B$12,Paramètres!$A$1:$I$89,5,0)</f>
        <v>-1.1545580491656437E-12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329.13617179625538</v>
      </c>
      <c r="CE170" s="62">
        <f t="shared" si="148"/>
        <v>186.45728006007261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175.05987582828078</v>
      </c>
      <c r="T171" s="62">
        <f t="shared" si="142"/>
        <v>268.54782308462387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0.19789414004515429</v>
      </c>
      <c r="AB171" s="23">
        <f>EXP(-LN(2)/2)*AB170+(1-EXP(-LN(2)/2))/(LN(2)/2)*V171*Y171*VLOOKUP('Données projet'!$B$9,Paramètres!$A$1:$I$89,3,0)*0.475*44/12</f>
        <v>2.1428175803927455E-20</v>
      </c>
      <c r="AC171" s="24">
        <f t="shared" si="163"/>
        <v>0.19789414004515429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-1.1937117960769683E-12</v>
      </c>
      <c r="AJ171" s="14">
        <f>AI171*VLOOKUP('Données projet'!$B$10,Paramètres!$A$1:$I$89,3,0)*VLOOKUP('Données projet'!$B$10,Paramètres!$A$1:$I$89,5,0)</f>
        <v>-1.080070433090441E-12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302.55602998433079</v>
      </c>
      <c r="AO171" s="62">
        <f t="shared" si="144"/>
        <v>172.32171001882188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4.4337866711430253E-14</v>
      </c>
      <c r="BF171" s="14">
        <f t="shared" si="167"/>
        <v>7.3222115536967035E-13</v>
      </c>
      <c r="BG171" s="22">
        <f t="shared" si="168"/>
        <v>1.3525069634579169E-12</v>
      </c>
      <c r="BH171" s="62">
        <f t="shared" si="116"/>
        <v>293.33333333333468</v>
      </c>
      <c r="BI171" s="62">
        <f ca="1">AVERAGE(OFFSET($BH$3,0,0,'Données projet'!$E$11+1,1))-AVERAGE(OFFSET($H$3,0,0,'Données projet'!$E$11+1,1))</f>
        <v>216.95993967070063</v>
      </c>
      <c r="BJ171" s="62">
        <f t="shared" si="146"/>
        <v>208.79744153433245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-1.1937117960769683E-12</v>
      </c>
      <c r="BZ171" s="14">
        <f>BY171*VLOOKUP('Données projet'!$B$12,Paramètres!$A$1:$I$89,3,0)*VLOOKUP('Données projet'!$B$12,Paramètres!$A$1:$I$89,5,0)</f>
        <v>-1.1545580491656437E-12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329.13617179625538</v>
      </c>
      <c r="CE171" s="62">
        <f t="shared" si="148"/>
        <v>186.45728006007261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175.05987582828078</v>
      </c>
      <c r="T172" s="62">
        <f t="shared" si="142"/>
        <v>268.54782308462387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0.19248271437881903</v>
      </c>
      <c r="AB172" s="23">
        <f>EXP(-LN(2)/2)*AB171+(1-EXP(-LN(2)/2))/(LN(2)/2)*V172*Y172*VLOOKUP('Données projet'!$B$9,Paramètres!$A$1:$I$89,3,0)*0.475*44/12</f>
        <v>1.5152008419414603E-20</v>
      </c>
      <c r="AC172" s="24">
        <f t="shared" si="163"/>
        <v>0.19248271437881903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-1.1937117960769683E-12</v>
      </c>
      <c r="AJ172" s="14">
        <f>AI172*VLOOKUP('Données projet'!$B$10,Paramètres!$A$1:$I$89,3,0)*VLOOKUP('Données projet'!$B$10,Paramètres!$A$1:$I$89,5,0)</f>
        <v>-1.080070433090441E-12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302.55602998433079</v>
      </c>
      <c r="AO172" s="62">
        <f t="shared" si="144"/>
        <v>172.32171001882188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4.4337866711430253E-14</v>
      </c>
      <c r="BF172" s="14">
        <f t="shared" si="167"/>
        <v>7.3222115536967035E-13</v>
      </c>
      <c r="BG172" s="22">
        <f t="shared" si="168"/>
        <v>1.3525069634579169E-12</v>
      </c>
      <c r="BH172" s="62">
        <f t="shared" si="116"/>
        <v>293.33333333333468</v>
      </c>
      <c r="BI172" s="62">
        <f ca="1">AVERAGE(OFFSET($BH$3,0,0,'Données projet'!$E$11+1,1))-AVERAGE(OFFSET($H$3,0,0,'Données projet'!$E$11+1,1))</f>
        <v>216.95993967070063</v>
      </c>
      <c r="BJ172" s="62">
        <f t="shared" si="146"/>
        <v>208.79744153433245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-1.1937117960769683E-12</v>
      </c>
      <c r="BZ172" s="14">
        <f>BY172*VLOOKUP('Données projet'!$B$12,Paramètres!$A$1:$I$89,3,0)*VLOOKUP('Données projet'!$B$12,Paramètres!$A$1:$I$89,5,0)</f>
        <v>-1.1545580491656437E-12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329.13617179625538</v>
      </c>
      <c r="CE172" s="62">
        <f t="shared" si="148"/>
        <v>186.45728006007261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175.05987582828078</v>
      </c>
      <c r="T173" s="62">
        <f t="shared" si="142"/>
        <v>268.54782308462387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0.1872192644319042</v>
      </c>
      <c r="AB173" s="23">
        <f>EXP(-LN(2)/2)*AB172+(1-EXP(-LN(2)/2))/(LN(2)/2)*V173*Y173*VLOOKUP('Données projet'!$B$9,Paramètres!$A$1:$I$89,3,0)*0.475*44/12</f>
        <v>1.0714087901963728E-20</v>
      </c>
      <c r="AC173" s="24">
        <f t="shared" si="163"/>
        <v>0.1872192644319042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-1.1937117960769683E-12</v>
      </c>
      <c r="AJ173" s="14">
        <f>AI173*VLOOKUP('Données projet'!$B$10,Paramètres!$A$1:$I$89,3,0)*VLOOKUP('Données projet'!$B$10,Paramètres!$A$1:$I$89,5,0)</f>
        <v>-1.080070433090441E-12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302.55602998433079</v>
      </c>
      <c r="AO173" s="62">
        <f t="shared" si="144"/>
        <v>172.32171001882188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4.4337866711430253E-14</v>
      </c>
      <c r="BF173" s="14">
        <f t="shared" si="167"/>
        <v>7.3222115536967035E-13</v>
      </c>
      <c r="BG173" s="22">
        <f t="shared" si="168"/>
        <v>1.3525069634579169E-12</v>
      </c>
      <c r="BH173" s="62">
        <f t="shared" si="116"/>
        <v>293.33333333333468</v>
      </c>
      <c r="BI173" s="62">
        <f ca="1">AVERAGE(OFFSET($BH$3,0,0,'Données projet'!$E$11+1,1))-AVERAGE(OFFSET($H$3,0,0,'Données projet'!$E$11+1,1))</f>
        <v>216.95993967070063</v>
      </c>
      <c r="BJ173" s="62">
        <f t="shared" si="146"/>
        <v>208.79744153433245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-1.1937117960769683E-12</v>
      </c>
      <c r="BZ173" s="14">
        <f>BY173*VLOOKUP('Données projet'!$B$12,Paramètres!$A$1:$I$89,3,0)*VLOOKUP('Données projet'!$B$12,Paramètres!$A$1:$I$89,5,0)</f>
        <v>-1.1545580491656437E-12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329.13617179625538</v>
      </c>
      <c r="CE173" s="62">
        <f t="shared" si="148"/>
        <v>186.45728006007261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175.05987582828078</v>
      </c>
      <c r="T174" s="62">
        <f t="shared" si="142"/>
        <v>268.54782308462387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0.18209974380058055</v>
      </c>
      <c r="AB174" s="23">
        <f>EXP(-LN(2)/2)*AB173+(1-EXP(-LN(2)/2))/(LN(2)/2)*V174*Y174*VLOOKUP('Données projet'!$B$9,Paramètres!$A$1:$I$89,3,0)*0.475*44/12</f>
        <v>7.5760042097073016E-21</v>
      </c>
      <c r="AC174" s="24">
        <f t="shared" si="163"/>
        <v>0.18209974380058055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-1.1937117960769683E-12</v>
      </c>
      <c r="AJ174" s="14">
        <f>AI174*VLOOKUP('Données projet'!$B$10,Paramètres!$A$1:$I$89,3,0)*VLOOKUP('Données projet'!$B$10,Paramètres!$A$1:$I$89,5,0)</f>
        <v>-1.080070433090441E-12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302.55602998433079</v>
      </c>
      <c r="AO174" s="62">
        <f t="shared" si="144"/>
        <v>172.32171001882188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4.4337866711430253E-14</v>
      </c>
      <c r="BF174" s="14">
        <f t="shared" si="167"/>
        <v>7.3222115536967035E-13</v>
      </c>
      <c r="BG174" s="22">
        <f t="shared" si="168"/>
        <v>1.3525069634579169E-12</v>
      </c>
      <c r="BH174" s="62">
        <f t="shared" si="116"/>
        <v>293.33333333333468</v>
      </c>
      <c r="BI174" s="62">
        <f ca="1">AVERAGE(OFFSET($BH$3,0,0,'Données projet'!$E$11+1,1))-AVERAGE(OFFSET($H$3,0,0,'Données projet'!$E$11+1,1))</f>
        <v>216.95993967070063</v>
      </c>
      <c r="BJ174" s="62">
        <f t="shared" si="146"/>
        <v>208.79744153433245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-1.1937117960769683E-12</v>
      </c>
      <c r="BZ174" s="14">
        <f>BY174*VLOOKUP('Données projet'!$B$12,Paramètres!$A$1:$I$89,3,0)*VLOOKUP('Données projet'!$B$12,Paramètres!$A$1:$I$89,5,0)</f>
        <v>-1.1545580491656437E-12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329.13617179625538</v>
      </c>
      <c r="CE174" s="62">
        <f t="shared" si="148"/>
        <v>186.45728006007261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175.05987582828078</v>
      </c>
      <c r="T175" s="62">
        <f t="shared" si="142"/>
        <v>268.54782308462387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0.17712021673014436</v>
      </c>
      <c r="AB175" s="23">
        <f>EXP(-LN(2)/2)*AB174+(1-EXP(-LN(2)/2))/(LN(2)/2)*V175*Y175*VLOOKUP('Données projet'!$B$9,Paramètres!$A$1:$I$89,3,0)*0.475*44/12</f>
        <v>5.3570439509818639E-21</v>
      </c>
      <c r="AC175" s="24">
        <f t="shared" si="163"/>
        <v>0.17712021673014436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-1.1937117960769683E-12</v>
      </c>
      <c r="AJ175" s="14">
        <f>AI175*VLOOKUP('Données projet'!$B$10,Paramètres!$A$1:$I$89,3,0)*VLOOKUP('Données projet'!$B$10,Paramètres!$A$1:$I$89,5,0)</f>
        <v>-1.080070433090441E-12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302.55602998433079</v>
      </c>
      <c r="AO175" s="62">
        <f t="shared" si="144"/>
        <v>172.32171001882188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4.4337866711430253E-14</v>
      </c>
      <c r="BF175" s="14">
        <f t="shared" si="167"/>
        <v>7.3222115536967035E-13</v>
      </c>
      <c r="BG175" s="22">
        <f t="shared" si="168"/>
        <v>1.3525069634579169E-12</v>
      </c>
      <c r="BH175" s="62">
        <f t="shared" si="116"/>
        <v>293.33333333333468</v>
      </c>
      <c r="BI175" s="62">
        <f ca="1">AVERAGE(OFFSET($BH$3,0,0,'Données projet'!$E$11+1,1))-AVERAGE(OFFSET($H$3,0,0,'Données projet'!$E$11+1,1))</f>
        <v>216.95993967070063</v>
      </c>
      <c r="BJ175" s="62">
        <f t="shared" si="146"/>
        <v>208.79744153433245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-1.1937117960769683E-12</v>
      </c>
      <c r="BZ175" s="14">
        <f>BY175*VLOOKUP('Données projet'!$B$12,Paramètres!$A$1:$I$89,3,0)*VLOOKUP('Données projet'!$B$12,Paramètres!$A$1:$I$89,5,0)</f>
        <v>-1.1545580491656437E-12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329.13617179625538</v>
      </c>
      <c r="CE175" s="62">
        <f t="shared" si="148"/>
        <v>186.45728006007261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175.05987582828078</v>
      </c>
      <c r="T176" s="62">
        <f t="shared" si="142"/>
        <v>268.54782308462387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0.17227685508931118</v>
      </c>
      <c r="AB176" s="23">
        <f>EXP(-LN(2)/2)*AB175+(1-EXP(-LN(2)/2))/(LN(2)/2)*V176*Y176*VLOOKUP('Données projet'!$B$9,Paramètres!$A$1:$I$89,3,0)*0.475*44/12</f>
        <v>3.7880021048536508E-21</v>
      </c>
      <c r="AC176" s="24">
        <f t="shared" si="163"/>
        <v>0.17227685508931118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-1.1937117960769683E-12</v>
      </c>
      <c r="AJ176" s="14">
        <f>AI176*VLOOKUP('Données projet'!$B$10,Paramètres!$A$1:$I$89,3,0)*VLOOKUP('Données projet'!$B$10,Paramètres!$A$1:$I$89,5,0)</f>
        <v>-1.080070433090441E-12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302.55602998433079</v>
      </c>
      <c r="AO176" s="62">
        <f t="shared" si="144"/>
        <v>172.32171001882188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4.4337866711430253E-14</v>
      </c>
      <c r="BF176" s="14">
        <f t="shared" si="167"/>
        <v>7.3222115536967035E-13</v>
      </c>
      <c r="BG176" s="22">
        <f t="shared" si="168"/>
        <v>1.3525069634579169E-12</v>
      </c>
      <c r="BH176" s="62">
        <f t="shared" si="116"/>
        <v>293.33333333333468</v>
      </c>
      <c r="BI176" s="62">
        <f ca="1">AVERAGE(OFFSET($BH$3,0,0,'Données projet'!$E$11+1,1))-AVERAGE(OFFSET($H$3,0,0,'Données projet'!$E$11+1,1))</f>
        <v>216.95993967070063</v>
      </c>
      <c r="BJ176" s="62">
        <f t="shared" si="146"/>
        <v>208.79744153433245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-1.1937117960769683E-12</v>
      </c>
      <c r="BZ176" s="14">
        <f>BY176*VLOOKUP('Données projet'!$B$12,Paramètres!$A$1:$I$89,3,0)*VLOOKUP('Données projet'!$B$12,Paramètres!$A$1:$I$89,5,0)</f>
        <v>-1.1545580491656437E-12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329.13617179625538</v>
      </c>
      <c r="CE176" s="62">
        <f t="shared" si="148"/>
        <v>186.45728006007261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175.05987582828078</v>
      </c>
      <c r="T177" s="62">
        <f t="shared" si="142"/>
        <v>268.54782308462387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0.1675659354272479</v>
      </c>
      <c r="AB177" s="23">
        <f>EXP(-LN(2)/2)*AB176+(1-EXP(-LN(2)/2))/(LN(2)/2)*V177*Y177*VLOOKUP('Données projet'!$B$9,Paramètres!$A$1:$I$89,3,0)*0.475*44/12</f>
        <v>2.6785219754909319E-21</v>
      </c>
      <c r="AC177" s="24">
        <f t="shared" si="163"/>
        <v>0.1675659354272479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-1.1937117960769683E-12</v>
      </c>
      <c r="AJ177" s="14">
        <f>AI177*VLOOKUP('Données projet'!$B$10,Paramètres!$A$1:$I$89,3,0)*VLOOKUP('Données projet'!$B$10,Paramètres!$A$1:$I$89,5,0)</f>
        <v>-1.080070433090441E-12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302.55602998433079</v>
      </c>
      <c r="AO177" s="62">
        <f t="shared" si="144"/>
        <v>172.32171001882188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4.4337866711430253E-14</v>
      </c>
      <c r="BF177" s="14">
        <f t="shared" si="167"/>
        <v>7.3222115536967035E-13</v>
      </c>
      <c r="BG177" s="22">
        <f t="shared" si="168"/>
        <v>1.3525069634579169E-12</v>
      </c>
      <c r="BH177" s="62">
        <f t="shared" si="116"/>
        <v>293.33333333333468</v>
      </c>
      <c r="BI177" s="62">
        <f ca="1">AVERAGE(OFFSET($BH$3,0,0,'Données projet'!$E$11+1,1))-AVERAGE(OFFSET($H$3,0,0,'Données projet'!$E$11+1,1))</f>
        <v>216.95993967070063</v>
      </c>
      <c r="BJ177" s="62">
        <f t="shared" si="146"/>
        <v>208.79744153433245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-1.1937117960769683E-12</v>
      </c>
      <c r="BZ177" s="14">
        <f>BY177*VLOOKUP('Données projet'!$B$12,Paramètres!$A$1:$I$89,3,0)*VLOOKUP('Données projet'!$B$12,Paramètres!$A$1:$I$89,5,0)</f>
        <v>-1.1545580491656437E-12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329.13617179625538</v>
      </c>
      <c r="CE177" s="62">
        <f t="shared" si="148"/>
        <v>186.45728006007261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175.05987582828078</v>
      </c>
      <c r="T178" s="62">
        <f t="shared" si="142"/>
        <v>268.54782308462387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0.16298383611108025</v>
      </c>
      <c r="AB178" s="23">
        <f>EXP(-LN(2)/2)*AB177+(1-EXP(-LN(2)/2))/(LN(2)/2)*V178*Y178*VLOOKUP('Données projet'!$B$9,Paramètres!$A$1:$I$89,3,0)*0.475*44/12</f>
        <v>1.8940010524268254E-21</v>
      </c>
      <c r="AC178" s="24">
        <f t="shared" si="163"/>
        <v>0.16298383611108025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-1.1937117960769683E-12</v>
      </c>
      <c r="AJ178" s="14">
        <f>AI178*VLOOKUP('Données projet'!$B$10,Paramètres!$A$1:$I$89,3,0)*VLOOKUP('Données projet'!$B$10,Paramètres!$A$1:$I$89,5,0)</f>
        <v>-1.080070433090441E-12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302.55602998433079</v>
      </c>
      <c r="AO178" s="62">
        <f t="shared" si="144"/>
        <v>172.32171001882188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4.4337866711430253E-14</v>
      </c>
      <c r="BF178" s="14">
        <f t="shared" si="167"/>
        <v>7.3222115536967035E-13</v>
      </c>
      <c r="BG178" s="22">
        <f t="shared" si="168"/>
        <v>1.3525069634579169E-12</v>
      </c>
      <c r="BH178" s="62">
        <f t="shared" si="116"/>
        <v>293.33333333333468</v>
      </c>
      <c r="BI178" s="62">
        <f ca="1">AVERAGE(OFFSET($BH$3,0,0,'Données projet'!$E$11+1,1))-AVERAGE(OFFSET($H$3,0,0,'Données projet'!$E$11+1,1))</f>
        <v>216.95993967070063</v>
      </c>
      <c r="BJ178" s="62">
        <f t="shared" si="146"/>
        <v>208.79744153433245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-1.1937117960769683E-12</v>
      </c>
      <c r="BZ178" s="14">
        <f>BY178*VLOOKUP('Données projet'!$B$12,Paramètres!$A$1:$I$89,3,0)*VLOOKUP('Données projet'!$B$12,Paramètres!$A$1:$I$89,5,0)</f>
        <v>-1.1545580491656437E-12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329.13617179625538</v>
      </c>
      <c r="CE178" s="62">
        <f t="shared" si="148"/>
        <v>186.45728006007261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175.05987582828078</v>
      </c>
      <c r="T179" s="62">
        <f t="shared" si="142"/>
        <v>268.54782308462387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0.15852703454167533</v>
      </c>
      <c r="AB179" s="23">
        <f>EXP(-LN(2)/2)*AB178+(1-EXP(-LN(2)/2))/(LN(2)/2)*V179*Y179*VLOOKUP('Données projet'!$B$9,Paramètres!$A$1:$I$89,3,0)*0.475*44/12</f>
        <v>1.339260987745466E-21</v>
      </c>
      <c r="AC179" s="24">
        <f t="shared" si="163"/>
        <v>0.15852703454167533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-1.1937117960769683E-12</v>
      </c>
      <c r="AJ179" s="14">
        <f>AI179*VLOOKUP('Données projet'!$B$10,Paramètres!$A$1:$I$89,3,0)*VLOOKUP('Données projet'!$B$10,Paramètres!$A$1:$I$89,5,0)</f>
        <v>-1.080070433090441E-12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302.55602998433079</v>
      </c>
      <c r="AO179" s="62">
        <f t="shared" si="144"/>
        <v>172.32171001882188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4.4337866711430253E-14</v>
      </c>
      <c r="BF179" s="14">
        <f t="shared" si="167"/>
        <v>7.3222115536967035E-13</v>
      </c>
      <c r="BG179" s="22">
        <f t="shared" si="168"/>
        <v>1.3525069634579169E-12</v>
      </c>
      <c r="BH179" s="62">
        <f t="shared" si="116"/>
        <v>293.33333333333468</v>
      </c>
      <c r="BI179" s="62">
        <f ca="1">AVERAGE(OFFSET($BH$3,0,0,'Données projet'!$E$11+1,1))-AVERAGE(OFFSET($H$3,0,0,'Données projet'!$E$11+1,1))</f>
        <v>216.95993967070063</v>
      </c>
      <c r="BJ179" s="62">
        <f t="shared" si="146"/>
        <v>208.79744153433245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-1.1937117960769683E-12</v>
      </c>
      <c r="BZ179" s="14">
        <f>BY179*VLOOKUP('Données projet'!$B$12,Paramètres!$A$1:$I$89,3,0)*VLOOKUP('Données projet'!$B$12,Paramètres!$A$1:$I$89,5,0)</f>
        <v>-1.1545580491656437E-12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329.13617179625538</v>
      </c>
      <c r="CE179" s="62">
        <f t="shared" si="148"/>
        <v>186.45728006007261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175.05987582828078</v>
      </c>
      <c r="T180" s="62">
        <f t="shared" si="142"/>
        <v>268.54782308462387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0.15419210444555878</v>
      </c>
      <c r="AB180" s="23">
        <f>EXP(-LN(2)/2)*AB179+(1-EXP(-LN(2)/2))/(LN(2)/2)*V180*Y180*VLOOKUP('Données projet'!$B$9,Paramètres!$A$1:$I$89,3,0)*0.475*44/12</f>
        <v>9.470005262134127E-22</v>
      </c>
      <c r="AC180" s="24">
        <f t="shared" si="163"/>
        <v>0.15419210444555878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-1.1937117960769683E-12</v>
      </c>
      <c r="AJ180" s="14">
        <f>AI180*VLOOKUP('Données projet'!$B$10,Paramètres!$A$1:$I$89,3,0)*VLOOKUP('Données projet'!$B$10,Paramètres!$A$1:$I$89,5,0)</f>
        <v>-1.080070433090441E-12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302.55602998433079</v>
      </c>
      <c r="AO180" s="62">
        <f t="shared" si="144"/>
        <v>172.32171001882188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4.4337866711430253E-14</v>
      </c>
      <c r="BF180" s="14">
        <f t="shared" si="167"/>
        <v>7.3222115536967035E-13</v>
      </c>
      <c r="BG180" s="22">
        <f t="shared" si="168"/>
        <v>1.3525069634579169E-12</v>
      </c>
      <c r="BH180" s="62">
        <f t="shared" si="116"/>
        <v>293.33333333333468</v>
      </c>
      <c r="BI180" s="62">
        <f ca="1">AVERAGE(OFFSET($BH$3,0,0,'Données projet'!$E$11+1,1))-AVERAGE(OFFSET($H$3,0,0,'Données projet'!$E$11+1,1))</f>
        <v>216.95993967070063</v>
      </c>
      <c r="BJ180" s="62">
        <f t="shared" si="146"/>
        <v>208.79744153433245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-1.1937117960769683E-12</v>
      </c>
      <c r="BZ180" s="14">
        <f>BY180*VLOOKUP('Données projet'!$B$12,Paramètres!$A$1:$I$89,3,0)*VLOOKUP('Données projet'!$B$12,Paramètres!$A$1:$I$89,5,0)</f>
        <v>-1.1545580491656437E-12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329.13617179625538</v>
      </c>
      <c r="CE180" s="62">
        <f t="shared" si="148"/>
        <v>186.45728006007261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175.05987582828078</v>
      </c>
      <c r="T181" s="62">
        <f t="shared" si="142"/>
        <v>268.54782308462387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0.1499757132408846</v>
      </c>
      <c r="AB181" s="23">
        <f>EXP(-LN(2)/2)*AB180+(1-EXP(-LN(2)/2))/(LN(2)/2)*V181*Y181*VLOOKUP('Données projet'!$B$9,Paramètres!$A$1:$I$89,3,0)*0.475*44/12</f>
        <v>6.6963049387273298E-22</v>
      </c>
      <c r="AC181" s="24">
        <f t="shared" si="163"/>
        <v>0.1499757132408846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-1.1937117960769683E-12</v>
      </c>
      <c r="AJ181" s="14">
        <f>AI181*VLOOKUP('Données projet'!$B$10,Paramètres!$A$1:$I$89,3,0)*VLOOKUP('Données projet'!$B$10,Paramètres!$A$1:$I$89,5,0)</f>
        <v>-1.080070433090441E-12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302.55602998433079</v>
      </c>
      <c r="AO181" s="62">
        <f t="shared" si="144"/>
        <v>172.32171001882188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4.4337866711430253E-14</v>
      </c>
      <c r="BF181" s="14">
        <f t="shared" si="167"/>
        <v>7.3222115536967035E-13</v>
      </c>
      <c r="BG181" s="22">
        <f t="shared" si="168"/>
        <v>1.3525069634579169E-12</v>
      </c>
      <c r="BH181" s="62">
        <f t="shared" si="116"/>
        <v>293.33333333333468</v>
      </c>
      <c r="BI181" s="62">
        <f ca="1">AVERAGE(OFFSET($BH$3,0,0,'Données projet'!$E$11+1,1))-AVERAGE(OFFSET($H$3,0,0,'Données projet'!$E$11+1,1))</f>
        <v>216.95993967070063</v>
      </c>
      <c r="BJ181" s="62">
        <f t="shared" si="146"/>
        <v>208.79744153433245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-1.1937117960769683E-12</v>
      </c>
      <c r="BZ181" s="14">
        <f>BY181*VLOOKUP('Données projet'!$B$12,Paramètres!$A$1:$I$89,3,0)*VLOOKUP('Données projet'!$B$12,Paramètres!$A$1:$I$89,5,0)</f>
        <v>-1.1545580491656437E-12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329.13617179625538</v>
      </c>
      <c r="CE181" s="62">
        <f t="shared" si="148"/>
        <v>186.45728006007261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175.05987582828078</v>
      </c>
      <c r="T182" s="62">
        <f t="shared" si="142"/>
        <v>268.54782308462387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0.14587461947543262</v>
      </c>
      <c r="AB182" s="23">
        <f>EXP(-LN(2)/2)*AB181+(1-EXP(-LN(2)/2))/(LN(2)/2)*V182*Y182*VLOOKUP('Données projet'!$B$9,Paramètres!$A$1:$I$89,3,0)*0.475*44/12</f>
        <v>4.7350026310670635E-22</v>
      </c>
      <c r="AC182" s="24">
        <f t="shared" si="163"/>
        <v>0.14587461947543262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-1.1937117960769683E-12</v>
      </c>
      <c r="AJ182" s="14">
        <f>AI182*VLOOKUP('Données projet'!$B$10,Paramètres!$A$1:$I$89,3,0)*VLOOKUP('Données projet'!$B$10,Paramètres!$A$1:$I$89,5,0)</f>
        <v>-1.080070433090441E-12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302.55602998433079</v>
      </c>
      <c r="AO182" s="62">
        <f t="shared" si="144"/>
        <v>172.32171001882188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4.4337866711430253E-14</v>
      </c>
      <c r="BF182" s="14">
        <f t="shared" si="167"/>
        <v>7.3222115536967035E-13</v>
      </c>
      <c r="BG182" s="22">
        <f t="shared" si="168"/>
        <v>1.3525069634579169E-12</v>
      </c>
      <c r="BH182" s="62">
        <f t="shared" si="116"/>
        <v>293.33333333333468</v>
      </c>
      <c r="BI182" s="62">
        <f ca="1">AVERAGE(OFFSET($BH$3,0,0,'Données projet'!$E$11+1,1))-AVERAGE(OFFSET($H$3,0,0,'Données projet'!$E$11+1,1))</f>
        <v>216.95993967070063</v>
      </c>
      <c r="BJ182" s="62">
        <f t="shared" si="146"/>
        <v>208.79744153433245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-1.1937117960769683E-12</v>
      </c>
      <c r="BZ182" s="14">
        <f>BY182*VLOOKUP('Données projet'!$B$12,Paramètres!$A$1:$I$89,3,0)*VLOOKUP('Données projet'!$B$12,Paramètres!$A$1:$I$89,5,0)</f>
        <v>-1.1545580491656437E-12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329.13617179625538</v>
      </c>
      <c r="CE182" s="62">
        <f t="shared" si="148"/>
        <v>186.45728006007261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175.05987582828078</v>
      </c>
      <c r="T183" s="62">
        <f t="shared" si="142"/>
        <v>268.54782308462387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0.14188567033466407</v>
      </c>
      <c r="AB183" s="23">
        <f>EXP(-LN(2)/2)*AB182+(1-EXP(-LN(2)/2))/(LN(2)/2)*V183*Y183*VLOOKUP('Données projet'!$B$9,Paramètres!$A$1:$I$89,3,0)*0.475*44/12</f>
        <v>3.3481524693636649E-22</v>
      </c>
      <c r="AC183" s="24">
        <f t="shared" si="163"/>
        <v>0.14188567033466407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-1.1937117960769683E-12</v>
      </c>
      <c r="AJ183" s="14">
        <f>AI183*VLOOKUP('Données projet'!$B$10,Paramètres!$A$1:$I$89,3,0)*VLOOKUP('Données projet'!$B$10,Paramètres!$A$1:$I$89,5,0)</f>
        <v>-1.080070433090441E-12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302.55602998433079</v>
      </c>
      <c r="AO183" s="62">
        <f t="shared" si="144"/>
        <v>172.32171001882188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4.4337866711430253E-14</v>
      </c>
      <c r="BF183" s="14">
        <f t="shared" si="167"/>
        <v>7.3222115536967035E-13</v>
      </c>
      <c r="BG183" s="22">
        <f t="shared" si="168"/>
        <v>1.3525069634579169E-12</v>
      </c>
      <c r="BH183" s="62">
        <f t="shared" si="116"/>
        <v>293.33333333333468</v>
      </c>
      <c r="BI183" s="62">
        <f ca="1">AVERAGE(OFFSET($BH$3,0,0,'Données projet'!$E$11+1,1))-AVERAGE(OFFSET($H$3,0,0,'Données projet'!$E$11+1,1))</f>
        <v>216.95993967070063</v>
      </c>
      <c r="BJ183" s="62">
        <f t="shared" si="146"/>
        <v>208.79744153433245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-1.1937117960769683E-12</v>
      </c>
      <c r="BZ183" s="14">
        <f>BY183*VLOOKUP('Données projet'!$B$12,Paramètres!$A$1:$I$89,3,0)*VLOOKUP('Données projet'!$B$12,Paramètres!$A$1:$I$89,5,0)</f>
        <v>-1.1545580491656437E-12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329.13617179625538</v>
      </c>
      <c r="CE183" s="62">
        <f t="shared" si="148"/>
        <v>186.45728006007261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175.05987582828078</v>
      </c>
      <c r="T184" s="62">
        <f t="shared" si="142"/>
        <v>268.54782308462387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0.13800579921791956</v>
      </c>
      <c r="AB184" s="23">
        <f>EXP(-LN(2)/2)*AB183+(1-EXP(-LN(2)/2))/(LN(2)/2)*V184*Y184*VLOOKUP('Données projet'!$B$9,Paramètres!$A$1:$I$89,3,0)*0.475*44/12</f>
        <v>2.3675013155335317E-22</v>
      </c>
      <c r="AC184" s="24">
        <f t="shared" si="163"/>
        <v>0.13800579921791956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-1.1937117960769683E-12</v>
      </c>
      <c r="AJ184" s="14">
        <f>AI184*VLOOKUP('Données projet'!$B$10,Paramètres!$A$1:$I$89,3,0)*VLOOKUP('Données projet'!$B$10,Paramètres!$A$1:$I$89,5,0)</f>
        <v>-1.080070433090441E-12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302.55602998433079</v>
      </c>
      <c r="AO184" s="62">
        <f t="shared" si="144"/>
        <v>172.32171001882188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4.4337866711430253E-14</v>
      </c>
      <c r="BF184" s="14">
        <f t="shared" si="167"/>
        <v>7.3222115536967035E-13</v>
      </c>
      <c r="BG184" s="22">
        <f t="shared" si="168"/>
        <v>1.3525069634579169E-12</v>
      </c>
      <c r="BH184" s="62">
        <f t="shared" si="116"/>
        <v>293.33333333333468</v>
      </c>
      <c r="BI184" s="62">
        <f ca="1">AVERAGE(OFFSET($BH$3,0,0,'Données projet'!$E$11+1,1))-AVERAGE(OFFSET($H$3,0,0,'Données projet'!$E$11+1,1))</f>
        <v>216.95993967070063</v>
      </c>
      <c r="BJ184" s="62">
        <f t="shared" si="146"/>
        <v>208.79744153433245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-1.1937117960769683E-12</v>
      </c>
      <c r="BZ184" s="14">
        <f>BY184*VLOOKUP('Données projet'!$B$12,Paramètres!$A$1:$I$89,3,0)*VLOOKUP('Données projet'!$B$12,Paramètres!$A$1:$I$89,5,0)</f>
        <v>-1.1545580491656437E-12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329.13617179625538</v>
      </c>
      <c r="CE184" s="62">
        <f t="shared" si="148"/>
        <v>186.45728006007261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175.05987582828078</v>
      </c>
      <c r="T185" s="62">
        <f t="shared" si="142"/>
        <v>268.54782308462387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0.13423202338089599</v>
      </c>
      <c r="AB185" s="23">
        <f>EXP(-LN(2)/2)*AB184+(1-EXP(-LN(2)/2))/(LN(2)/2)*V185*Y185*VLOOKUP('Données projet'!$B$9,Paramètres!$A$1:$I$89,3,0)*0.475*44/12</f>
        <v>1.6740762346818325E-22</v>
      </c>
      <c r="AC185" s="24">
        <f t="shared" si="163"/>
        <v>0.13423202338089599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-1.1937117960769683E-12</v>
      </c>
      <c r="AJ185" s="14">
        <f>AI185*VLOOKUP('Données projet'!$B$10,Paramètres!$A$1:$I$89,3,0)*VLOOKUP('Données projet'!$B$10,Paramètres!$A$1:$I$89,5,0)</f>
        <v>-1.080070433090441E-12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302.55602998433079</v>
      </c>
      <c r="AO185" s="62">
        <f t="shared" si="144"/>
        <v>172.32171001882188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4.4337866711430253E-14</v>
      </c>
      <c r="BF185" s="14">
        <f t="shared" si="167"/>
        <v>7.3222115536967035E-13</v>
      </c>
      <c r="BG185" s="22">
        <f t="shared" si="168"/>
        <v>1.3525069634579169E-12</v>
      </c>
      <c r="BH185" s="62">
        <f t="shared" si="116"/>
        <v>293.33333333333468</v>
      </c>
      <c r="BI185" s="62">
        <f ca="1">AVERAGE(OFFSET($BH$3,0,0,'Données projet'!$E$11+1,1))-AVERAGE(OFFSET($H$3,0,0,'Données projet'!$E$11+1,1))</f>
        <v>216.95993967070063</v>
      </c>
      <c r="BJ185" s="62">
        <f t="shared" si="146"/>
        <v>208.79744153433245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-1.1937117960769683E-12</v>
      </c>
      <c r="BZ185" s="14">
        <f>BY185*VLOOKUP('Données projet'!$B$12,Paramètres!$A$1:$I$89,3,0)*VLOOKUP('Données projet'!$B$12,Paramètres!$A$1:$I$89,5,0)</f>
        <v>-1.1545580491656437E-12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329.13617179625538</v>
      </c>
      <c r="CE185" s="62">
        <f t="shared" si="148"/>
        <v>186.45728006007261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175.05987582828078</v>
      </c>
      <c r="T186" s="62">
        <f t="shared" si="142"/>
        <v>268.54782308462387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0.13056144164259006</v>
      </c>
      <c r="AB186" s="23">
        <f>EXP(-LN(2)/2)*AB185+(1-EXP(-LN(2)/2))/(LN(2)/2)*V186*Y186*VLOOKUP('Données projet'!$B$9,Paramètres!$A$1:$I$89,3,0)*0.475*44/12</f>
        <v>1.1837506577667659E-22</v>
      </c>
      <c r="AC186" s="24">
        <f t="shared" si="163"/>
        <v>0.13056144164259006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-1.1937117960769683E-12</v>
      </c>
      <c r="AJ186" s="14">
        <f>AI186*VLOOKUP('Données projet'!$B$10,Paramètres!$A$1:$I$89,3,0)*VLOOKUP('Données projet'!$B$10,Paramètres!$A$1:$I$89,5,0)</f>
        <v>-1.080070433090441E-12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302.55602998433079</v>
      </c>
      <c r="AO186" s="62">
        <f t="shared" si="144"/>
        <v>172.32171001882188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4.4337866711430253E-14</v>
      </c>
      <c r="BF186" s="14">
        <f t="shared" si="167"/>
        <v>7.3222115536967035E-13</v>
      </c>
      <c r="BG186" s="22">
        <f t="shared" si="168"/>
        <v>1.3525069634579169E-12</v>
      </c>
      <c r="BH186" s="62">
        <f t="shared" si="116"/>
        <v>293.33333333333468</v>
      </c>
      <c r="BI186" s="62">
        <f ca="1">AVERAGE(OFFSET($BH$3,0,0,'Données projet'!$E$11+1,1))-AVERAGE(OFFSET($H$3,0,0,'Données projet'!$E$11+1,1))</f>
        <v>216.95993967070063</v>
      </c>
      <c r="BJ186" s="62">
        <f t="shared" si="146"/>
        <v>208.79744153433245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-1.1937117960769683E-12</v>
      </c>
      <c r="BZ186" s="14">
        <f>BY186*VLOOKUP('Données projet'!$B$12,Paramètres!$A$1:$I$89,3,0)*VLOOKUP('Données projet'!$B$12,Paramètres!$A$1:$I$89,5,0)</f>
        <v>-1.1545580491656437E-12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329.13617179625538</v>
      </c>
      <c r="CE186" s="62">
        <f t="shared" si="148"/>
        <v>186.45728006007261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175.05987582828078</v>
      </c>
      <c r="T187" s="62">
        <f t="shared" si="142"/>
        <v>268.54782308462387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0.12699123215494562</v>
      </c>
      <c r="AB187" s="23">
        <f>EXP(-LN(2)/2)*AB186+(1-EXP(-LN(2)/2))/(LN(2)/2)*V187*Y187*VLOOKUP('Données projet'!$B$9,Paramètres!$A$1:$I$89,3,0)*0.475*44/12</f>
        <v>8.3703811734091623E-23</v>
      </c>
      <c r="AC187" s="24">
        <f t="shared" si="163"/>
        <v>0.12699123215494562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-1.1937117960769683E-12</v>
      </c>
      <c r="AJ187" s="14">
        <f>AI187*VLOOKUP('Données projet'!$B$10,Paramètres!$A$1:$I$89,3,0)*VLOOKUP('Données projet'!$B$10,Paramètres!$A$1:$I$89,5,0)</f>
        <v>-1.080070433090441E-12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302.55602998433079</v>
      </c>
      <c r="AO187" s="62">
        <f t="shared" si="144"/>
        <v>172.32171001882188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4.4337866711430253E-14</v>
      </c>
      <c r="BF187" s="14">
        <f t="shared" si="167"/>
        <v>7.3222115536967035E-13</v>
      </c>
      <c r="BG187" s="22">
        <f t="shared" si="168"/>
        <v>1.3525069634579169E-12</v>
      </c>
      <c r="BH187" s="62">
        <f t="shared" si="116"/>
        <v>293.33333333333468</v>
      </c>
      <c r="BI187" s="62">
        <f ca="1">AVERAGE(OFFSET($BH$3,0,0,'Données projet'!$E$11+1,1))-AVERAGE(OFFSET($H$3,0,0,'Données projet'!$E$11+1,1))</f>
        <v>216.95993967070063</v>
      </c>
      <c r="BJ187" s="62">
        <f t="shared" si="146"/>
        <v>208.79744153433245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-1.1937117960769683E-12</v>
      </c>
      <c r="BZ187" s="14">
        <f>BY187*VLOOKUP('Données projet'!$B$12,Paramètres!$A$1:$I$89,3,0)*VLOOKUP('Données projet'!$B$12,Paramètres!$A$1:$I$89,5,0)</f>
        <v>-1.1545580491656437E-12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329.13617179625538</v>
      </c>
      <c r="CE187" s="62">
        <f t="shared" si="148"/>
        <v>186.45728006007261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175.05987582828078</v>
      </c>
      <c r="T188" s="62">
        <f t="shared" si="142"/>
        <v>268.54782308462387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0.12351865023348997</v>
      </c>
      <c r="AB188" s="23">
        <f>EXP(-LN(2)/2)*AB187+(1-EXP(-LN(2)/2))/(LN(2)/2)*V188*Y188*VLOOKUP('Données projet'!$B$9,Paramètres!$A$1:$I$89,3,0)*0.475*44/12</f>
        <v>5.9187532888338294E-23</v>
      </c>
      <c r="AC188" s="24">
        <f t="shared" si="163"/>
        <v>0.12351865023348997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-1.1937117960769683E-12</v>
      </c>
      <c r="AJ188" s="14">
        <f>AI188*VLOOKUP('Données projet'!$B$10,Paramètres!$A$1:$I$89,3,0)*VLOOKUP('Données projet'!$B$10,Paramètres!$A$1:$I$89,5,0)</f>
        <v>-1.080070433090441E-12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302.55602998433079</v>
      </c>
      <c r="AO188" s="62">
        <f t="shared" si="144"/>
        <v>172.32171001882188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4.4337866711430253E-14</v>
      </c>
      <c r="BF188" s="14">
        <f t="shared" si="167"/>
        <v>7.3222115536967035E-13</v>
      </c>
      <c r="BG188" s="22">
        <f t="shared" si="168"/>
        <v>1.3525069634579169E-12</v>
      </c>
      <c r="BH188" s="62">
        <f t="shared" si="116"/>
        <v>293.33333333333468</v>
      </c>
      <c r="BI188" s="62">
        <f ca="1">AVERAGE(OFFSET($BH$3,0,0,'Données projet'!$E$11+1,1))-AVERAGE(OFFSET($H$3,0,0,'Données projet'!$E$11+1,1))</f>
        <v>216.95993967070063</v>
      </c>
      <c r="BJ188" s="62">
        <f t="shared" si="146"/>
        <v>208.79744153433245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-1.1937117960769683E-12</v>
      </c>
      <c r="BZ188" s="14">
        <f>BY188*VLOOKUP('Données projet'!$B$12,Paramètres!$A$1:$I$89,3,0)*VLOOKUP('Données projet'!$B$12,Paramètres!$A$1:$I$89,5,0)</f>
        <v>-1.1545580491656437E-12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329.13617179625538</v>
      </c>
      <c r="CE188" s="62">
        <f t="shared" si="148"/>
        <v>186.45728006007261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175.05987582828078</v>
      </c>
      <c r="T189" s="62">
        <f t="shared" si="142"/>
        <v>268.54782308462387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0.12014102624729167</v>
      </c>
      <c r="AB189" s="23">
        <f>EXP(-LN(2)/2)*AB188+(1-EXP(-LN(2)/2))/(LN(2)/2)*V189*Y189*VLOOKUP('Données projet'!$B$9,Paramètres!$A$1:$I$89,3,0)*0.475*44/12</f>
        <v>4.1851905867045811E-23</v>
      </c>
      <c r="AC189" s="24">
        <f t="shared" si="163"/>
        <v>0.12014102624729167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-1.1937117960769683E-12</v>
      </c>
      <c r="AJ189" s="14">
        <f>AI189*VLOOKUP('Données projet'!$B$10,Paramètres!$A$1:$I$89,3,0)*VLOOKUP('Données projet'!$B$10,Paramètres!$A$1:$I$89,5,0)</f>
        <v>-1.080070433090441E-12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302.55602998433079</v>
      </c>
      <c r="AO189" s="62">
        <f t="shared" si="144"/>
        <v>172.32171001882188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4.4337866711430253E-14</v>
      </c>
      <c r="BF189" s="14">
        <f t="shared" si="167"/>
        <v>7.3222115536967035E-13</v>
      </c>
      <c r="BG189" s="22">
        <f t="shared" si="168"/>
        <v>1.3525069634579169E-12</v>
      </c>
      <c r="BH189" s="62">
        <f t="shared" si="116"/>
        <v>293.33333333333468</v>
      </c>
      <c r="BI189" s="62">
        <f ca="1">AVERAGE(OFFSET($BH$3,0,0,'Données projet'!$E$11+1,1))-AVERAGE(OFFSET($H$3,0,0,'Données projet'!$E$11+1,1))</f>
        <v>216.95993967070063</v>
      </c>
      <c r="BJ189" s="62">
        <f t="shared" si="146"/>
        <v>208.79744153433245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-1.1937117960769683E-12</v>
      </c>
      <c r="BZ189" s="14">
        <f>BY189*VLOOKUP('Données projet'!$B$12,Paramètres!$A$1:$I$89,3,0)*VLOOKUP('Données projet'!$B$12,Paramètres!$A$1:$I$89,5,0)</f>
        <v>-1.1545580491656437E-12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329.13617179625538</v>
      </c>
      <c r="CE189" s="62">
        <f t="shared" si="148"/>
        <v>186.45728006007261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175.05987582828078</v>
      </c>
      <c r="T190" s="62">
        <f t="shared" si="142"/>
        <v>268.54782308462387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0.11685576356661749</v>
      </c>
      <c r="AB190" s="23">
        <f>EXP(-LN(2)/2)*AB189+(1-EXP(-LN(2)/2))/(LN(2)/2)*V190*Y190*VLOOKUP('Données projet'!$B$9,Paramètres!$A$1:$I$89,3,0)*0.475*44/12</f>
        <v>2.9593766444169147E-23</v>
      </c>
      <c r="AC190" s="24">
        <f t="shared" si="163"/>
        <v>0.11685576356661749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-1.1937117960769683E-12</v>
      </c>
      <c r="AJ190" s="14">
        <f>AI190*VLOOKUP('Données projet'!$B$10,Paramètres!$A$1:$I$89,3,0)*VLOOKUP('Données projet'!$B$10,Paramètres!$A$1:$I$89,5,0)</f>
        <v>-1.080070433090441E-12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302.55602998433079</v>
      </c>
      <c r="AO190" s="62">
        <f t="shared" si="144"/>
        <v>172.32171001882188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4.4337866711430253E-14</v>
      </c>
      <c r="BF190" s="14">
        <f t="shared" si="167"/>
        <v>7.3222115536967035E-13</v>
      </c>
      <c r="BG190" s="22">
        <f t="shared" si="168"/>
        <v>1.3525069634579169E-12</v>
      </c>
      <c r="BH190" s="62">
        <f t="shared" si="116"/>
        <v>293.33333333333468</v>
      </c>
      <c r="BI190" s="62">
        <f ca="1">AVERAGE(OFFSET($BH$3,0,0,'Données projet'!$E$11+1,1))-AVERAGE(OFFSET($H$3,0,0,'Données projet'!$E$11+1,1))</f>
        <v>216.95993967070063</v>
      </c>
      <c r="BJ190" s="62">
        <f t="shared" si="146"/>
        <v>208.79744153433245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-1.1937117960769683E-12</v>
      </c>
      <c r="BZ190" s="14">
        <f>BY190*VLOOKUP('Données projet'!$B$12,Paramètres!$A$1:$I$89,3,0)*VLOOKUP('Données projet'!$B$12,Paramètres!$A$1:$I$89,5,0)</f>
        <v>-1.1545580491656437E-12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329.13617179625538</v>
      </c>
      <c r="CE190" s="62">
        <f t="shared" si="148"/>
        <v>186.45728006007261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175.05987582828078</v>
      </c>
      <c r="T191" s="62">
        <f t="shared" si="142"/>
        <v>268.54782308462387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0.1136603365667108</v>
      </c>
      <c r="AB191" s="23">
        <f>EXP(-LN(2)/2)*AB190+(1-EXP(-LN(2)/2))/(LN(2)/2)*V191*Y191*VLOOKUP('Données projet'!$B$9,Paramètres!$A$1:$I$89,3,0)*0.475*44/12</f>
        <v>2.0925952933522906E-23</v>
      </c>
      <c r="AC191" s="24">
        <f t="shared" si="163"/>
        <v>0.1136603365667108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-1.1937117960769683E-12</v>
      </c>
      <c r="AJ191" s="14">
        <f>AI191*VLOOKUP('Données projet'!$B$10,Paramètres!$A$1:$I$89,3,0)*VLOOKUP('Données projet'!$B$10,Paramètres!$A$1:$I$89,5,0)</f>
        <v>-1.080070433090441E-12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302.55602998433079</v>
      </c>
      <c r="AO191" s="62">
        <f t="shared" si="144"/>
        <v>172.32171001882188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4.4337866711430253E-14</v>
      </c>
      <c r="BF191" s="14">
        <f t="shared" si="167"/>
        <v>7.3222115536967035E-13</v>
      </c>
      <c r="BG191" s="22">
        <f t="shared" si="168"/>
        <v>1.3525069634579169E-12</v>
      </c>
      <c r="BH191" s="62">
        <f t="shared" si="116"/>
        <v>293.33333333333468</v>
      </c>
      <c r="BI191" s="62">
        <f ca="1">AVERAGE(OFFSET($BH$3,0,0,'Données projet'!$E$11+1,1))-AVERAGE(OFFSET($H$3,0,0,'Données projet'!$E$11+1,1))</f>
        <v>216.95993967070063</v>
      </c>
      <c r="BJ191" s="62">
        <f t="shared" si="146"/>
        <v>208.79744153433245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-1.1937117960769683E-12</v>
      </c>
      <c r="BZ191" s="14">
        <f>BY191*VLOOKUP('Données projet'!$B$12,Paramètres!$A$1:$I$89,3,0)*VLOOKUP('Données projet'!$B$12,Paramètres!$A$1:$I$89,5,0)</f>
        <v>-1.1545580491656437E-12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329.13617179625538</v>
      </c>
      <c r="CE191" s="62">
        <f t="shared" si="148"/>
        <v>186.45728006007261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175.05987582828078</v>
      </c>
      <c r="T192" s="62">
        <f t="shared" si="142"/>
        <v>268.54782308462387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0.11055228868615677</v>
      </c>
      <c r="AB192" s="23">
        <f>EXP(-LN(2)/2)*AB191+(1-EXP(-LN(2)/2))/(LN(2)/2)*V192*Y192*VLOOKUP('Données projet'!$B$9,Paramètres!$A$1:$I$89,3,0)*0.475*44/12</f>
        <v>1.4796883222084573E-23</v>
      </c>
      <c r="AC192" s="24">
        <f t="shared" si="163"/>
        <v>0.11055228868615677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-1.1937117960769683E-12</v>
      </c>
      <c r="AJ192" s="14">
        <f>AI192*VLOOKUP('Données projet'!$B$10,Paramètres!$A$1:$I$89,3,0)*VLOOKUP('Données projet'!$B$10,Paramètres!$A$1:$I$89,5,0)</f>
        <v>-1.080070433090441E-12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302.55602998433079</v>
      </c>
      <c r="AO192" s="62">
        <f t="shared" si="144"/>
        <v>172.32171001882188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4.4337866711430253E-14</v>
      </c>
      <c r="BF192" s="14">
        <f t="shared" si="167"/>
        <v>7.3222115536967035E-13</v>
      </c>
      <c r="BG192" s="22">
        <f t="shared" si="168"/>
        <v>1.3525069634579169E-12</v>
      </c>
      <c r="BH192" s="62">
        <f t="shared" si="116"/>
        <v>293.33333333333468</v>
      </c>
      <c r="BI192" s="62">
        <f ca="1">AVERAGE(OFFSET($BH$3,0,0,'Données projet'!$E$11+1,1))-AVERAGE(OFFSET($H$3,0,0,'Données projet'!$E$11+1,1))</f>
        <v>216.95993967070063</v>
      </c>
      <c r="BJ192" s="62">
        <f t="shared" si="146"/>
        <v>208.79744153433245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-1.1937117960769683E-12</v>
      </c>
      <c r="BZ192" s="14">
        <f>BY192*VLOOKUP('Données projet'!$B$12,Paramètres!$A$1:$I$89,3,0)*VLOOKUP('Données projet'!$B$12,Paramètres!$A$1:$I$89,5,0)</f>
        <v>-1.1545580491656437E-12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329.13617179625538</v>
      </c>
      <c r="CE192" s="62">
        <f t="shared" si="148"/>
        <v>186.45728006007261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175.05987582828078</v>
      </c>
      <c r="T193" s="62">
        <f t="shared" si="142"/>
        <v>268.54782308462387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0.10752923053834162</v>
      </c>
      <c r="AB193" s="23">
        <f>EXP(-LN(2)/2)*AB192+(1-EXP(-LN(2)/2))/(LN(2)/2)*V193*Y193*VLOOKUP('Données projet'!$B$9,Paramètres!$A$1:$I$89,3,0)*0.475*44/12</f>
        <v>1.0462976466761453E-23</v>
      </c>
      <c r="AC193" s="24">
        <f t="shared" si="163"/>
        <v>0.10752923053834162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-1.1937117960769683E-12</v>
      </c>
      <c r="AJ193" s="14">
        <f>AI193*VLOOKUP('Données projet'!$B$10,Paramètres!$A$1:$I$89,3,0)*VLOOKUP('Données projet'!$B$10,Paramètres!$A$1:$I$89,5,0)</f>
        <v>-1.080070433090441E-12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302.55602998433079</v>
      </c>
      <c r="AO193" s="62">
        <f t="shared" si="144"/>
        <v>172.32171001882188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4.4337866711430253E-14</v>
      </c>
      <c r="BF193" s="14">
        <f t="shared" si="167"/>
        <v>7.3222115536967035E-13</v>
      </c>
      <c r="BG193" s="22">
        <f t="shared" si="168"/>
        <v>1.3525069634579169E-12</v>
      </c>
      <c r="BH193" s="62">
        <f t="shared" si="116"/>
        <v>293.33333333333468</v>
      </c>
      <c r="BI193" s="62">
        <f ca="1">AVERAGE(OFFSET($BH$3,0,0,'Données projet'!$E$11+1,1))-AVERAGE(OFFSET($H$3,0,0,'Données projet'!$E$11+1,1))</f>
        <v>216.95993967070063</v>
      </c>
      <c r="BJ193" s="62">
        <f t="shared" si="146"/>
        <v>208.79744153433245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-1.1937117960769683E-12</v>
      </c>
      <c r="BZ193" s="14">
        <f>BY193*VLOOKUP('Données projet'!$B$12,Paramètres!$A$1:$I$89,3,0)*VLOOKUP('Données projet'!$B$12,Paramètres!$A$1:$I$89,5,0)</f>
        <v>-1.1545580491656437E-12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329.13617179625538</v>
      </c>
      <c r="CE193" s="62">
        <f t="shared" si="148"/>
        <v>186.45728006007261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175.05987582828078</v>
      </c>
      <c r="T194" s="62">
        <f t="shared" si="142"/>
        <v>268.54782308462387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0.1045888380745542</v>
      </c>
      <c r="AB194" s="23">
        <f>EXP(-LN(2)/2)*AB193+(1-EXP(-LN(2)/2))/(LN(2)/2)*V194*Y194*VLOOKUP('Données projet'!$B$9,Paramètres!$A$1:$I$89,3,0)*0.475*44/12</f>
        <v>7.3984416110422867E-24</v>
      </c>
      <c r="AC194" s="24">
        <f t="shared" si="163"/>
        <v>0.1045888380745542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-1.1937117960769683E-12</v>
      </c>
      <c r="AJ194" s="14">
        <f>AI194*VLOOKUP('Données projet'!$B$10,Paramètres!$A$1:$I$89,3,0)*VLOOKUP('Données projet'!$B$10,Paramètres!$A$1:$I$89,5,0)</f>
        <v>-1.080070433090441E-12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302.55602998433079</v>
      </c>
      <c r="AO194" s="62">
        <f t="shared" si="144"/>
        <v>172.32171001882188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4.4337866711430253E-14</v>
      </c>
      <c r="BF194" s="14">
        <f t="shared" si="167"/>
        <v>7.3222115536967035E-13</v>
      </c>
      <c r="BG194" s="22">
        <f t="shared" si="168"/>
        <v>1.3525069634579169E-12</v>
      </c>
      <c r="BH194" s="62">
        <f t="shared" si="116"/>
        <v>293.33333333333468</v>
      </c>
      <c r="BI194" s="62">
        <f ca="1">AVERAGE(OFFSET($BH$3,0,0,'Données projet'!$E$11+1,1))-AVERAGE(OFFSET($H$3,0,0,'Données projet'!$E$11+1,1))</f>
        <v>216.95993967070063</v>
      </c>
      <c r="BJ194" s="62">
        <f t="shared" si="146"/>
        <v>208.79744153433245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-1.1937117960769683E-12</v>
      </c>
      <c r="BZ194" s="14">
        <f>BY194*VLOOKUP('Données projet'!$B$12,Paramètres!$A$1:$I$89,3,0)*VLOOKUP('Données projet'!$B$12,Paramètres!$A$1:$I$89,5,0)</f>
        <v>-1.1545580491656437E-12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329.13617179625538</v>
      </c>
      <c r="CE194" s="62">
        <f t="shared" si="148"/>
        <v>186.45728006007261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175.05987582828078</v>
      </c>
      <c r="T195" s="62">
        <f t="shared" si="142"/>
        <v>268.54782308462387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0.10172885079731755</v>
      </c>
      <c r="AB195" s="23">
        <f>EXP(-LN(2)/2)*AB194+(1-EXP(-LN(2)/2))/(LN(2)/2)*V195*Y195*VLOOKUP('Données projet'!$B$9,Paramètres!$A$1:$I$89,3,0)*0.475*44/12</f>
        <v>5.2314882333807264E-24</v>
      </c>
      <c r="AC195" s="24">
        <f t="shared" si="163"/>
        <v>0.10172885079731755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-1.1937117960769683E-12</v>
      </c>
      <c r="AJ195" s="14">
        <f>AI195*VLOOKUP('Données projet'!$B$10,Paramètres!$A$1:$I$89,3,0)*VLOOKUP('Données projet'!$B$10,Paramètres!$A$1:$I$89,5,0)</f>
        <v>-1.080070433090441E-12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302.55602998433079</v>
      </c>
      <c r="AO195" s="62">
        <f t="shared" si="144"/>
        <v>172.32171001882188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4.4337866711430253E-14</v>
      </c>
      <c r="BF195" s="14">
        <f t="shared" si="167"/>
        <v>7.3222115536967035E-13</v>
      </c>
      <c r="BG195" s="22">
        <f t="shared" si="168"/>
        <v>1.3525069634579169E-12</v>
      </c>
      <c r="BH195" s="62">
        <f t="shared" si="116"/>
        <v>293.33333333333468</v>
      </c>
      <c r="BI195" s="62">
        <f ca="1">AVERAGE(OFFSET($BH$3,0,0,'Données projet'!$E$11+1,1))-AVERAGE(OFFSET($H$3,0,0,'Données projet'!$E$11+1,1))</f>
        <v>216.95993967070063</v>
      </c>
      <c r="BJ195" s="62">
        <f t="shared" si="146"/>
        <v>208.79744153433245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-1.1937117960769683E-12</v>
      </c>
      <c r="BZ195" s="14">
        <f>BY195*VLOOKUP('Données projet'!$B$12,Paramètres!$A$1:$I$89,3,0)*VLOOKUP('Données projet'!$B$12,Paramètres!$A$1:$I$89,5,0)</f>
        <v>-1.1545580491656437E-12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329.13617179625538</v>
      </c>
      <c r="CE195" s="62">
        <f t="shared" si="148"/>
        <v>186.45728006007261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175.05987582828078</v>
      </c>
      <c r="T196" s="62">
        <f t="shared" si="142"/>
        <v>268.54782308462387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9.8947070022577147E-2</v>
      </c>
      <c r="AB196" s="23">
        <f>EXP(-LN(2)/2)*AB195+(1-EXP(-LN(2)/2))/(LN(2)/2)*V196*Y196*VLOOKUP('Données projet'!$B$9,Paramètres!$A$1:$I$89,3,0)*0.475*44/12</f>
        <v>3.6992208055211434E-24</v>
      </c>
      <c r="AC196" s="24">
        <f t="shared" si="163"/>
        <v>9.8947070022577147E-2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-1.1937117960769683E-12</v>
      </c>
      <c r="AJ196" s="14">
        <f>AI196*VLOOKUP('Données projet'!$B$10,Paramètres!$A$1:$I$89,3,0)*VLOOKUP('Données projet'!$B$10,Paramètres!$A$1:$I$89,5,0)</f>
        <v>-1.080070433090441E-12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302.55602998433079</v>
      </c>
      <c r="AO196" s="62">
        <f t="shared" si="144"/>
        <v>172.32171001882188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4.4337866711430253E-14</v>
      </c>
      <c r="BF196" s="14">
        <f t="shared" si="167"/>
        <v>7.3222115536967035E-13</v>
      </c>
      <c r="BG196" s="22">
        <f t="shared" si="168"/>
        <v>1.3525069634579169E-12</v>
      </c>
      <c r="BH196" s="62">
        <f t="shared" ref="BH196:BH203" si="194">BG196+(AY196+AZ196)*44/12</f>
        <v>293.33333333333468</v>
      </c>
      <c r="BI196" s="62">
        <f ca="1">AVERAGE(OFFSET($BH$3,0,0,'Données projet'!$E$11+1,1))-AVERAGE(OFFSET($H$3,0,0,'Données projet'!$E$11+1,1))</f>
        <v>216.95993967070063</v>
      </c>
      <c r="BJ196" s="62">
        <f t="shared" si="146"/>
        <v>208.79744153433245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-1.1937117960769683E-12</v>
      </c>
      <c r="BZ196" s="14">
        <f>BY196*VLOOKUP('Données projet'!$B$12,Paramètres!$A$1:$I$89,3,0)*VLOOKUP('Données projet'!$B$12,Paramètres!$A$1:$I$89,5,0)</f>
        <v>-1.1545580491656437E-12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329.13617179625538</v>
      </c>
      <c r="CE196" s="62">
        <f t="shared" si="148"/>
        <v>186.45728006007261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175.05987582828078</v>
      </c>
      <c r="T197" s="62">
        <f t="shared" ref="T197:T203" si="204">$T$3</f>
        <v>268.54782308462387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9.6241357189409515E-2</v>
      </c>
      <c r="AB197" s="23">
        <f>EXP(-LN(2)/2)*AB196+(1-EXP(-LN(2)/2))/(LN(2)/2)*V197*Y197*VLOOKUP('Données projet'!$B$9,Paramètres!$A$1:$I$89,3,0)*0.475*44/12</f>
        <v>2.6157441166903632E-24</v>
      </c>
      <c r="AC197" s="24">
        <f t="shared" si="163"/>
        <v>9.6241357189409515E-2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-1.1937117960769683E-12</v>
      </c>
      <c r="AJ197" s="14">
        <f>AI197*VLOOKUP('Données projet'!$B$10,Paramètres!$A$1:$I$89,3,0)*VLOOKUP('Données projet'!$B$10,Paramètres!$A$1:$I$89,5,0)</f>
        <v>-1.080070433090441E-12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302.55602998433079</v>
      </c>
      <c r="AO197" s="62">
        <f t="shared" ref="AO197:AO203" si="205">$AO$3</f>
        <v>172.32171001882188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4.4337866711430253E-14</v>
      </c>
      <c r="BF197" s="14">
        <f t="shared" si="167"/>
        <v>7.3222115536967035E-13</v>
      </c>
      <c r="BG197" s="22">
        <f t="shared" si="168"/>
        <v>1.3525069634579169E-12</v>
      </c>
      <c r="BH197" s="62">
        <f t="shared" si="194"/>
        <v>293.33333333333468</v>
      </c>
      <c r="BI197" s="62">
        <f ca="1">AVERAGE(OFFSET($BH$3,0,0,'Données projet'!$E$11+1,1))-AVERAGE(OFFSET($H$3,0,0,'Données projet'!$E$11+1,1))</f>
        <v>216.95993967070063</v>
      </c>
      <c r="BJ197" s="62">
        <f t="shared" ref="BJ197:BJ203" si="206">$BJ$3</f>
        <v>208.79744153433245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-1.1937117960769683E-12</v>
      </c>
      <c r="BZ197" s="14">
        <f>BY197*VLOOKUP('Données projet'!$B$12,Paramètres!$A$1:$I$89,3,0)*VLOOKUP('Données projet'!$B$12,Paramètres!$A$1:$I$89,5,0)</f>
        <v>-1.1545580491656437E-12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329.13617179625538</v>
      </c>
      <c r="CE197" s="62">
        <f t="shared" ref="CE197:CE203" si="207">$CE$3</f>
        <v>186.45728006007261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175.05987582828078</v>
      </c>
      <c r="T198" s="62">
        <f t="shared" si="204"/>
        <v>268.54782308462387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9.3609632215952102E-2</v>
      </c>
      <c r="AB198" s="23">
        <f>EXP(-LN(2)/2)*AB197+(1-EXP(-LN(2)/2))/(LN(2)/2)*V198*Y198*VLOOKUP('Données projet'!$B$9,Paramètres!$A$1:$I$89,3,0)*0.475*44/12</f>
        <v>1.8496104027605717E-24</v>
      </c>
      <c r="AC198" s="24">
        <f t="shared" si="163"/>
        <v>9.3609632215952102E-2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-1.1937117960769683E-12</v>
      </c>
      <c r="AJ198" s="14">
        <f>AI198*VLOOKUP('Données projet'!$B$10,Paramètres!$A$1:$I$89,3,0)*VLOOKUP('Données projet'!$B$10,Paramètres!$A$1:$I$89,5,0)</f>
        <v>-1.080070433090441E-12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302.55602998433079</v>
      </c>
      <c r="AO198" s="62">
        <f t="shared" si="205"/>
        <v>172.32171001882188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4.4337866711430253E-14</v>
      </c>
      <c r="BF198" s="14">
        <f t="shared" si="167"/>
        <v>7.3222115536967035E-13</v>
      </c>
      <c r="BG198" s="22">
        <f t="shared" si="168"/>
        <v>1.3525069634579169E-12</v>
      </c>
      <c r="BH198" s="62">
        <f t="shared" si="194"/>
        <v>293.33333333333468</v>
      </c>
      <c r="BI198" s="62">
        <f ca="1">AVERAGE(OFFSET($BH$3,0,0,'Données projet'!$E$11+1,1))-AVERAGE(OFFSET($H$3,0,0,'Données projet'!$E$11+1,1))</f>
        <v>216.95993967070063</v>
      </c>
      <c r="BJ198" s="62">
        <f t="shared" si="206"/>
        <v>208.79744153433245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-1.1937117960769683E-12</v>
      </c>
      <c r="BZ198" s="14">
        <f>BY198*VLOOKUP('Données projet'!$B$12,Paramètres!$A$1:$I$89,3,0)*VLOOKUP('Données projet'!$B$12,Paramètres!$A$1:$I$89,5,0)</f>
        <v>-1.1545580491656437E-12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329.13617179625538</v>
      </c>
      <c r="CE198" s="62">
        <f t="shared" si="207"/>
        <v>186.45728006007261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175.05987582828078</v>
      </c>
      <c r="T199" s="62">
        <f t="shared" si="204"/>
        <v>268.54782308462387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9.1049871900290277E-2</v>
      </c>
      <c r="AB199" s="23">
        <f>EXP(-LN(2)/2)*AB198+(1-EXP(-LN(2)/2))/(LN(2)/2)*V199*Y199*VLOOKUP('Données projet'!$B$9,Paramètres!$A$1:$I$89,3,0)*0.475*44/12</f>
        <v>1.3078720583451816E-24</v>
      </c>
      <c r="AC199" s="24">
        <f t="shared" si="163"/>
        <v>9.1049871900290277E-2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-1.1937117960769683E-12</v>
      </c>
      <c r="AJ199" s="14">
        <f>AI199*VLOOKUP('Données projet'!$B$10,Paramètres!$A$1:$I$89,3,0)*VLOOKUP('Données projet'!$B$10,Paramètres!$A$1:$I$89,5,0)</f>
        <v>-1.080070433090441E-12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302.55602998433079</v>
      </c>
      <c r="AO199" s="62">
        <f t="shared" si="205"/>
        <v>172.32171001882188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4.4337866711430253E-14</v>
      </c>
      <c r="BF199" s="14">
        <f t="shared" si="167"/>
        <v>7.3222115536967035E-13</v>
      </c>
      <c r="BG199" s="22">
        <f t="shared" si="168"/>
        <v>1.3525069634579169E-12</v>
      </c>
      <c r="BH199" s="62">
        <f t="shared" si="194"/>
        <v>293.33333333333468</v>
      </c>
      <c r="BI199" s="62">
        <f ca="1">AVERAGE(OFFSET($BH$3,0,0,'Données projet'!$E$11+1,1))-AVERAGE(OFFSET($H$3,0,0,'Données projet'!$E$11+1,1))</f>
        <v>216.95993967070063</v>
      </c>
      <c r="BJ199" s="62">
        <f t="shared" si="206"/>
        <v>208.79744153433245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-1.1937117960769683E-12</v>
      </c>
      <c r="BZ199" s="14">
        <f>BY199*VLOOKUP('Données projet'!$B$12,Paramètres!$A$1:$I$89,3,0)*VLOOKUP('Données projet'!$B$12,Paramètres!$A$1:$I$89,5,0)</f>
        <v>-1.1545580491656437E-12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329.13617179625538</v>
      </c>
      <c r="CE199" s="62">
        <f t="shared" si="207"/>
        <v>186.45728006007261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175.05987582828078</v>
      </c>
      <c r="T200" s="62">
        <f t="shared" si="204"/>
        <v>268.54782308462387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8.8560108365072179E-2</v>
      </c>
      <c r="AB200" s="23">
        <f>EXP(-LN(2)/2)*AB199+(1-EXP(-LN(2)/2))/(LN(2)/2)*V200*Y200*VLOOKUP('Données projet'!$B$9,Paramètres!$A$1:$I$89,3,0)*0.475*44/12</f>
        <v>9.2480520138028584E-25</v>
      </c>
      <c r="AC200" s="24">
        <f t="shared" si="163"/>
        <v>8.8560108365072179E-2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-1.1937117960769683E-12</v>
      </c>
      <c r="AJ200" s="14">
        <f>AI200*VLOOKUP('Données projet'!$B$10,Paramètres!$A$1:$I$89,3,0)*VLOOKUP('Données projet'!$B$10,Paramètres!$A$1:$I$89,5,0)</f>
        <v>-1.080070433090441E-12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302.55602998433079</v>
      </c>
      <c r="AO200" s="62">
        <f t="shared" si="205"/>
        <v>172.32171001882188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4.4337866711430253E-14</v>
      </c>
      <c r="BF200" s="14">
        <f t="shared" si="167"/>
        <v>7.3222115536967035E-13</v>
      </c>
      <c r="BG200" s="22">
        <f t="shared" si="168"/>
        <v>1.3525069634579169E-12</v>
      </c>
      <c r="BH200" s="62">
        <f t="shared" si="194"/>
        <v>293.33333333333468</v>
      </c>
      <c r="BI200" s="62">
        <f ca="1">AVERAGE(OFFSET($BH$3,0,0,'Données projet'!$E$11+1,1))-AVERAGE(OFFSET($H$3,0,0,'Données projet'!$E$11+1,1))</f>
        <v>216.95993967070063</v>
      </c>
      <c r="BJ200" s="62">
        <f t="shared" si="206"/>
        <v>208.79744153433245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-1.1937117960769683E-12</v>
      </c>
      <c r="BZ200" s="14">
        <f>BY200*VLOOKUP('Données projet'!$B$12,Paramètres!$A$1:$I$89,3,0)*VLOOKUP('Données projet'!$B$12,Paramètres!$A$1:$I$89,5,0)</f>
        <v>-1.1545580491656437E-12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329.13617179625538</v>
      </c>
      <c r="CE200" s="62">
        <f t="shared" si="207"/>
        <v>186.45728006007261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175.05987582828078</v>
      </c>
      <c r="T201" s="62">
        <f t="shared" si="204"/>
        <v>268.54782308462387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8.6138427544655588E-2</v>
      </c>
      <c r="AB201" s="23">
        <f>EXP(-LN(2)/2)*AB200+(1-EXP(-LN(2)/2))/(LN(2)/2)*V201*Y201*VLOOKUP('Données projet'!$B$9,Paramètres!$A$1:$I$89,3,0)*0.475*44/12</f>
        <v>6.539360291725908E-25</v>
      </c>
      <c r="AC201" s="24">
        <f t="shared" si="163"/>
        <v>8.6138427544655588E-2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-1.1937117960769683E-12</v>
      </c>
      <c r="AJ201" s="14">
        <f>AI201*VLOOKUP('Données projet'!$B$10,Paramètres!$A$1:$I$89,3,0)*VLOOKUP('Données projet'!$B$10,Paramètres!$A$1:$I$89,5,0)</f>
        <v>-1.080070433090441E-12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302.55602998433079</v>
      </c>
      <c r="AO201" s="62">
        <f t="shared" si="205"/>
        <v>172.32171001882188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4.4337866711430253E-14</v>
      </c>
      <c r="BF201" s="14">
        <f t="shared" si="167"/>
        <v>7.3222115536967035E-13</v>
      </c>
      <c r="BG201" s="22">
        <f t="shared" si="168"/>
        <v>1.3525069634579169E-12</v>
      </c>
      <c r="BH201" s="62">
        <f t="shared" si="194"/>
        <v>293.33333333333468</v>
      </c>
      <c r="BI201" s="62">
        <f ca="1">AVERAGE(OFFSET($BH$3,0,0,'Données projet'!$E$11+1,1))-AVERAGE(OFFSET($H$3,0,0,'Données projet'!$E$11+1,1))</f>
        <v>216.95993967070063</v>
      </c>
      <c r="BJ201" s="62">
        <f t="shared" si="206"/>
        <v>208.79744153433245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-1.1937117960769683E-12</v>
      </c>
      <c r="BZ201" s="14">
        <f>BY201*VLOOKUP('Données projet'!$B$12,Paramètres!$A$1:$I$89,3,0)*VLOOKUP('Données projet'!$B$12,Paramètres!$A$1:$I$89,5,0)</f>
        <v>-1.1545580491656437E-12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329.13617179625538</v>
      </c>
      <c r="CE201" s="62">
        <f t="shared" si="207"/>
        <v>186.45728006007261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175.05987582828078</v>
      </c>
      <c r="T202" s="62">
        <f t="shared" si="204"/>
        <v>268.54782308462387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8.3782967713623951E-2</v>
      </c>
      <c r="AB202" s="23">
        <f>EXP(-LN(2)/2)*AB201+(1-EXP(-LN(2)/2))/(LN(2)/2)*V202*Y202*VLOOKUP('Données projet'!$B$9,Paramètres!$A$1:$I$89,3,0)*0.475*44/12</f>
        <v>4.6240260069014292E-25</v>
      </c>
      <c r="AC202" s="24">
        <f t="shared" si="163"/>
        <v>8.3782967713623951E-2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-1.1937117960769683E-12</v>
      </c>
      <c r="AJ202" s="14">
        <f>AI202*VLOOKUP('Données projet'!$B$10,Paramètres!$A$1:$I$89,3,0)*VLOOKUP('Données projet'!$B$10,Paramètres!$A$1:$I$89,5,0)</f>
        <v>-1.080070433090441E-12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302.55602998433079</v>
      </c>
      <c r="AO202" s="62">
        <f t="shared" si="205"/>
        <v>172.32171001882188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4.4337866711430253E-14</v>
      </c>
      <c r="BF202" s="14">
        <f t="shared" si="167"/>
        <v>7.3222115536967035E-13</v>
      </c>
      <c r="BG202" s="22">
        <f t="shared" si="168"/>
        <v>1.3525069634579169E-12</v>
      </c>
      <c r="BH202" s="62">
        <f t="shared" si="194"/>
        <v>293.33333333333468</v>
      </c>
      <c r="BI202" s="62">
        <f ca="1">AVERAGE(OFFSET($BH$3,0,0,'Données projet'!$E$11+1,1))-AVERAGE(OFFSET($H$3,0,0,'Données projet'!$E$11+1,1))</f>
        <v>216.95993967070063</v>
      </c>
      <c r="BJ202" s="62">
        <f t="shared" si="206"/>
        <v>208.79744153433245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-1.1937117960769683E-12</v>
      </c>
      <c r="BZ202" s="14">
        <f>BY202*VLOOKUP('Données projet'!$B$12,Paramètres!$A$1:$I$89,3,0)*VLOOKUP('Données projet'!$B$12,Paramètres!$A$1:$I$89,5,0)</f>
        <v>-1.1545580491656437E-12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329.13617179625538</v>
      </c>
      <c r="CE202" s="62">
        <f t="shared" si="207"/>
        <v>186.45728006007261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175.05987582828078</v>
      </c>
      <c r="T203" s="62">
        <f t="shared" si="204"/>
        <v>268.54782308462387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8.1491918055540125E-2</v>
      </c>
      <c r="AB203" s="23">
        <f>EXP(-LN(2)/2)*AB202+(1-EXP(-LN(2)/2))/(LN(2)/2)*V203*Y203*VLOOKUP('Données projet'!$B$9,Paramètres!$A$1:$I$89,3,0)*0.475*44/12</f>
        <v>3.269680145862954E-25</v>
      </c>
      <c r="AC203" s="24">
        <f t="shared" si="163"/>
        <v>8.1491918055540125E-2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-1.1937117960769683E-12</v>
      </c>
      <c r="AJ203" s="14">
        <f>AI203*VLOOKUP('Données projet'!$B$10,Paramètres!$A$1:$I$89,3,0)*VLOOKUP('Données projet'!$B$10,Paramètres!$A$1:$I$89,5,0)</f>
        <v>-1.080070433090441E-12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302.55602998433079</v>
      </c>
      <c r="AO203" s="62">
        <f t="shared" si="205"/>
        <v>172.32171001882188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4.4337866711430253E-14</v>
      </c>
      <c r="BF203" s="14">
        <f t="shared" si="167"/>
        <v>7.3222115536967035E-13</v>
      </c>
      <c r="BG203" s="22">
        <f t="shared" si="168"/>
        <v>1.3525069634579169E-12</v>
      </c>
      <c r="BH203" s="62">
        <f t="shared" si="194"/>
        <v>293.33333333333468</v>
      </c>
      <c r="BI203" s="62">
        <f ca="1">AVERAGE(OFFSET($BH$3,0,0,'Données projet'!$E$11+1,1))-AVERAGE(OFFSET($H$3,0,0,'Données projet'!$E$11+1,1))</f>
        <v>216.95993967070063</v>
      </c>
      <c r="BJ203" s="62">
        <f t="shared" si="206"/>
        <v>208.79744153433245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-1.1937117960769683E-12</v>
      </c>
      <c r="BZ203" s="14">
        <f>BY203*VLOOKUP('Données projet'!$B$12,Paramètres!$A$1:$I$89,3,0)*VLOOKUP('Données projet'!$B$12,Paramètres!$A$1:$I$89,5,0)</f>
        <v>-1.1545580491656437E-12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329.13617179625538</v>
      </c>
      <c r="CE203" s="62">
        <f t="shared" si="207"/>
        <v>186.45728006007261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1.2997069632623315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1.1852335095914694</v>
      </c>
      <c r="BA205" s="88">
        <f>EXP(LN('Données projet'!B88)/'Données projet'!A88)</f>
        <v>1.2788040393997409</v>
      </c>
      <c r="BV205" s="88">
        <f>EXP(LN('Données projet'!B114)/'Données projet'!A114)</f>
        <v>1.1852335095914694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9" t="s">
        <v>0</v>
      </c>
      <c r="B1" s="120" t="s">
        <v>106</v>
      </c>
      <c r="C1" s="121" t="s">
        <v>144</v>
      </c>
      <c r="D1" s="120" t="s">
        <v>100</v>
      </c>
      <c r="E1" s="121" t="s">
        <v>145</v>
      </c>
      <c r="F1" s="121" t="s">
        <v>100</v>
      </c>
      <c r="G1" s="121" t="s">
        <v>146</v>
      </c>
      <c r="H1" s="121" t="s">
        <v>100</v>
      </c>
      <c r="I1" s="122" t="s">
        <v>147</v>
      </c>
      <c r="J1" s="99"/>
      <c r="K1" s="99"/>
      <c r="L1" s="99"/>
      <c r="M1" s="99"/>
      <c r="N1" s="99"/>
    </row>
    <row r="2" spans="1:16" x14ac:dyDescent="0.25">
      <c r="A2" s="123" t="s">
        <v>1</v>
      </c>
      <c r="B2" s="124" t="s">
        <v>53</v>
      </c>
      <c r="C2" s="125">
        <v>0.62</v>
      </c>
      <c r="D2" s="125" t="s">
        <v>161</v>
      </c>
      <c r="E2" s="125">
        <v>1.56</v>
      </c>
      <c r="F2" s="125" t="s">
        <v>274</v>
      </c>
      <c r="G2" s="126">
        <v>0.43</v>
      </c>
      <c r="H2" s="127" t="s">
        <v>278</v>
      </c>
      <c r="I2" s="128">
        <v>0.25</v>
      </c>
      <c r="J2" s="99"/>
      <c r="K2" s="99"/>
      <c r="L2" s="99"/>
      <c r="M2" s="99"/>
      <c r="N2" s="99"/>
      <c r="O2" s="316" t="s">
        <v>238</v>
      </c>
      <c r="P2" s="129">
        <v>0</v>
      </c>
    </row>
    <row r="3" spans="1:16" ht="15.75" thickBot="1" x14ac:dyDescent="0.3">
      <c r="A3" s="130" t="s">
        <v>2</v>
      </c>
      <c r="B3" s="131" t="s">
        <v>54</v>
      </c>
      <c r="C3" s="132">
        <v>0.64</v>
      </c>
      <c r="D3" s="132" t="s">
        <v>161</v>
      </c>
      <c r="E3" s="132">
        <v>1.56</v>
      </c>
      <c r="F3" s="133" t="s">
        <v>274</v>
      </c>
      <c r="G3" s="134">
        <v>0.43</v>
      </c>
      <c r="H3" s="132" t="s">
        <v>278</v>
      </c>
      <c r="I3" s="135">
        <v>0.25</v>
      </c>
      <c r="J3" s="99"/>
      <c r="K3" s="99"/>
      <c r="L3" s="99"/>
      <c r="M3" s="99"/>
      <c r="N3" s="99"/>
      <c r="O3" s="317"/>
      <c r="P3" s="136">
        <v>0.2</v>
      </c>
    </row>
    <row r="4" spans="1:16" ht="15.75" thickBot="1" x14ac:dyDescent="0.3">
      <c r="A4" s="130" t="s">
        <v>98</v>
      </c>
      <c r="B4" s="131" t="s">
        <v>99</v>
      </c>
      <c r="C4" s="132">
        <v>0.42</v>
      </c>
      <c r="D4" s="132" t="s">
        <v>161</v>
      </c>
      <c r="E4" s="132">
        <v>1.56</v>
      </c>
      <c r="F4" s="133" t="s">
        <v>274</v>
      </c>
      <c r="G4" s="134">
        <v>0.43</v>
      </c>
      <c r="H4" s="132" t="s">
        <v>278</v>
      </c>
      <c r="I4" s="135">
        <v>0.25</v>
      </c>
      <c r="J4" s="99"/>
      <c r="K4" s="99"/>
      <c r="L4" s="99"/>
      <c r="M4" s="99"/>
      <c r="N4" s="99"/>
    </row>
    <row r="5" spans="1:16" x14ac:dyDescent="0.25">
      <c r="A5" s="130" t="s">
        <v>4</v>
      </c>
      <c r="B5" s="131" t="s">
        <v>55</v>
      </c>
      <c r="C5" s="132">
        <v>0.42</v>
      </c>
      <c r="D5" s="132" t="s">
        <v>161</v>
      </c>
      <c r="E5" s="132">
        <v>1.56</v>
      </c>
      <c r="F5" s="133" t="s">
        <v>274</v>
      </c>
      <c r="G5" s="134">
        <v>0.43</v>
      </c>
      <c r="H5" s="132" t="s">
        <v>278</v>
      </c>
      <c r="I5" s="135">
        <v>0.25</v>
      </c>
      <c r="J5" s="99"/>
      <c r="K5" s="99"/>
      <c r="L5" s="99"/>
      <c r="M5" s="99"/>
      <c r="N5" s="99"/>
      <c r="O5" s="316" t="s">
        <v>237</v>
      </c>
      <c r="P5" s="129">
        <v>0</v>
      </c>
    </row>
    <row r="6" spans="1:16" x14ac:dyDescent="0.25">
      <c r="A6" s="130" t="s">
        <v>3</v>
      </c>
      <c r="B6" s="131" t="s">
        <v>97</v>
      </c>
      <c r="C6" s="132">
        <v>0.42</v>
      </c>
      <c r="D6" s="132" t="s">
        <v>161</v>
      </c>
      <c r="E6" s="132">
        <v>1.56</v>
      </c>
      <c r="F6" s="133" t="s">
        <v>274</v>
      </c>
      <c r="G6" s="134">
        <v>0.43</v>
      </c>
      <c r="H6" s="132" t="s">
        <v>278</v>
      </c>
      <c r="I6" s="135">
        <v>0.25</v>
      </c>
      <c r="J6" s="99"/>
      <c r="K6" s="99"/>
      <c r="L6" s="99"/>
      <c r="M6" s="99"/>
      <c r="N6" s="99"/>
      <c r="O6" s="318"/>
      <c r="P6" s="137">
        <v>0.05</v>
      </c>
    </row>
    <row r="7" spans="1:16" x14ac:dyDescent="0.25">
      <c r="A7" s="130" t="s">
        <v>5</v>
      </c>
      <c r="B7" s="131" t="s">
        <v>56</v>
      </c>
      <c r="C7" s="132">
        <v>0.52</v>
      </c>
      <c r="D7" s="132" t="s">
        <v>161</v>
      </c>
      <c r="E7" s="132">
        <v>1.56</v>
      </c>
      <c r="F7" s="133" t="s">
        <v>274</v>
      </c>
      <c r="G7" s="134">
        <v>0.43</v>
      </c>
      <c r="H7" s="132" t="s">
        <v>278</v>
      </c>
      <c r="I7" s="135">
        <v>0.25</v>
      </c>
      <c r="J7" s="99"/>
      <c r="K7" s="99"/>
      <c r="L7" s="99"/>
      <c r="M7" s="99"/>
      <c r="N7" s="99"/>
      <c r="O7" s="318"/>
      <c r="P7" s="137">
        <v>0.1</v>
      </c>
    </row>
    <row r="8" spans="1:16" ht="15.75" thickBot="1" x14ac:dyDescent="0.3">
      <c r="A8" s="130" t="s">
        <v>164</v>
      </c>
      <c r="B8" s="131" t="s">
        <v>57</v>
      </c>
      <c r="C8" s="132">
        <v>0.36</v>
      </c>
      <c r="D8" s="132" t="s">
        <v>161</v>
      </c>
      <c r="E8" s="132">
        <v>1.3</v>
      </c>
      <c r="F8" s="133" t="s">
        <v>274</v>
      </c>
      <c r="G8" s="134">
        <v>0.55000000000000004</v>
      </c>
      <c r="H8" s="132" t="s">
        <v>153</v>
      </c>
      <c r="I8" s="135">
        <v>0.43</v>
      </c>
      <c r="J8" s="99"/>
      <c r="K8" s="99"/>
      <c r="L8" s="99"/>
      <c r="M8" s="99"/>
      <c r="N8" s="99"/>
      <c r="O8" s="317"/>
      <c r="P8" s="136">
        <v>0.15</v>
      </c>
    </row>
    <row r="9" spans="1:16" ht="15.75" thickBot="1" x14ac:dyDescent="0.3">
      <c r="A9" s="130" t="s">
        <v>6</v>
      </c>
      <c r="B9" s="131" t="s">
        <v>58</v>
      </c>
      <c r="C9" s="132">
        <v>0.61</v>
      </c>
      <c r="D9" s="132" t="s">
        <v>161</v>
      </c>
      <c r="E9" s="132">
        <v>1.56</v>
      </c>
      <c r="F9" s="133" t="s">
        <v>274</v>
      </c>
      <c r="G9" s="134">
        <v>0.43</v>
      </c>
      <c r="H9" s="132" t="s">
        <v>278</v>
      </c>
      <c r="I9" s="135">
        <v>0.25</v>
      </c>
      <c r="J9" s="99"/>
      <c r="K9" s="99"/>
      <c r="L9" s="99"/>
      <c r="M9" s="99"/>
      <c r="N9" s="99"/>
    </row>
    <row r="10" spans="1:16" x14ac:dyDescent="0.25">
      <c r="A10" s="130" t="s">
        <v>7</v>
      </c>
      <c r="B10" s="131" t="s">
        <v>59</v>
      </c>
      <c r="C10" s="132">
        <v>0.66</v>
      </c>
      <c r="D10" s="132" t="s">
        <v>161</v>
      </c>
      <c r="E10" s="132">
        <v>1.56</v>
      </c>
      <c r="F10" s="133" t="s">
        <v>274</v>
      </c>
      <c r="G10" s="134">
        <v>0.43</v>
      </c>
      <c r="H10" s="132" t="s">
        <v>278</v>
      </c>
      <c r="I10" s="135">
        <v>0.25</v>
      </c>
      <c r="J10" s="99"/>
      <c r="K10" s="99"/>
      <c r="L10" s="99"/>
      <c r="M10" s="99"/>
      <c r="N10" s="99"/>
      <c r="O10" s="316" t="s">
        <v>236</v>
      </c>
      <c r="P10" s="129">
        <v>0</v>
      </c>
    </row>
    <row r="11" spans="1:16" ht="15.75" thickBot="1" x14ac:dyDescent="0.3">
      <c r="A11" s="130" t="s">
        <v>8</v>
      </c>
      <c r="B11" s="131" t="s">
        <v>60</v>
      </c>
      <c r="C11" s="132">
        <v>0.47</v>
      </c>
      <c r="D11" s="132" t="s">
        <v>161</v>
      </c>
      <c r="E11" s="132">
        <v>1.56</v>
      </c>
      <c r="F11" s="133" t="s">
        <v>274</v>
      </c>
      <c r="G11" s="134">
        <v>0.43</v>
      </c>
      <c r="H11" s="132" t="s">
        <v>278</v>
      </c>
      <c r="I11" s="135">
        <v>0.25</v>
      </c>
      <c r="J11" s="99"/>
      <c r="K11" s="99"/>
      <c r="L11" s="99"/>
      <c r="M11" s="99"/>
      <c r="N11" s="99"/>
      <c r="O11" s="317"/>
      <c r="P11" s="136">
        <v>0.1</v>
      </c>
    </row>
    <row r="12" spans="1:16" x14ac:dyDescent="0.25">
      <c r="A12" s="130" t="s">
        <v>9</v>
      </c>
      <c r="B12" s="131" t="s">
        <v>61</v>
      </c>
      <c r="C12" s="132">
        <v>0.67</v>
      </c>
      <c r="D12" s="132" t="s">
        <v>161</v>
      </c>
      <c r="E12" s="132">
        <v>1.56</v>
      </c>
      <c r="F12" s="133" t="s">
        <v>274</v>
      </c>
      <c r="G12" s="134">
        <v>0.43</v>
      </c>
      <c r="H12" s="132" t="s">
        <v>152</v>
      </c>
      <c r="I12" s="135">
        <v>0.25</v>
      </c>
      <c r="J12" s="99"/>
      <c r="K12" s="99"/>
      <c r="L12" s="99"/>
      <c r="M12" s="99"/>
      <c r="N12" s="99"/>
    </row>
    <row r="13" spans="1:16" x14ac:dyDescent="0.25">
      <c r="A13" s="130" t="s">
        <v>10</v>
      </c>
      <c r="B13" s="131" t="s">
        <v>62</v>
      </c>
      <c r="C13" s="132">
        <v>0.7</v>
      </c>
      <c r="D13" s="132" t="s">
        <v>161</v>
      </c>
      <c r="E13" s="132">
        <v>1.56</v>
      </c>
      <c r="F13" s="133" t="s">
        <v>274</v>
      </c>
      <c r="G13" s="134">
        <v>0.43</v>
      </c>
      <c r="H13" s="132" t="s">
        <v>152</v>
      </c>
      <c r="I13" s="135">
        <v>0.25</v>
      </c>
      <c r="J13" s="99"/>
      <c r="K13" s="99"/>
      <c r="L13" s="99"/>
      <c r="M13" s="99"/>
      <c r="N13" s="99"/>
    </row>
    <row r="14" spans="1:16" x14ac:dyDescent="0.25">
      <c r="A14" s="130" t="s">
        <v>11</v>
      </c>
      <c r="B14" s="131" t="s">
        <v>63</v>
      </c>
      <c r="C14" s="132">
        <v>0.54</v>
      </c>
      <c r="D14" s="132" t="s">
        <v>161</v>
      </c>
      <c r="E14" s="132">
        <v>1.56</v>
      </c>
      <c r="F14" s="133" t="s">
        <v>274</v>
      </c>
      <c r="G14" s="134">
        <v>0.43</v>
      </c>
      <c r="H14" s="132" t="s">
        <v>152</v>
      </c>
      <c r="I14" s="135">
        <v>0.25</v>
      </c>
      <c r="J14" s="99"/>
      <c r="K14" s="99"/>
      <c r="L14" s="99"/>
      <c r="M14" s="99"/>
      <c r="N14" s="99"/>
    </row>
    <row r="15" spans="1:16" x14ac:dyDescent="0.25">
      <c r="A15" s="130" t="s">
        <v>12</v>
      </c>
      <c r="B15" s="131" t="s">
        <v>64</v>
      </c>
      <c r="C15" s="132">
        <v>0.65</v>
      </c>
      <c r="D15" s="132" t="s">
        <v>161</v>
      </c>
      <c r="E15" s="132">
        <v>1.56</v>
      </c>
      <c r="F15" s="133" t="s">
        <v>274</v>
      </c>
      <c r="G15" s="134">
        <v>0.43</v>
      </c>
      <c r="H15" s="132" t="s">
        <v>152</v>
      </c>
      <c r="I15" s="135">
        <v>0.25</v>
      </c>
      <c r="J15" s="99"/>
      <c r="K15" s="99"/>
      <c r="L15" s="99"/>
      <c r="M15" s="99"/>
      <c r="N15" s="99"/>
    </row>
    <row r="16" spans="1:16" x14ac:dyDescent="0.25">
      <c r="A16" s="130" t="s">
        <v>13</v>
      </c>
      <c r="B16" s="131" t="s">
        <v>65</v>
      </c>
      <c r="C16" s="132">
        <v>0.56000000000000005</v>
      </c>
      <c r="D16" s="132" t="s">
        <v>161</v>
      </c>
      <c r="E16" s="132">
        <v>1.56</v>
      </c>
      <c r="F16" s="133" t="s">
        <v>274</v>
      </c>
      <c r="G16" s="134">
        <v>0.43</v>
      </c>
      <c r="H16" s="132" t="s">
        <v>152</v>
      </c>
      <c r="I16" s="135">
        <v>0.25</v>
      </c>
      <c r="J16" s="99"/>
      <c r="K16" s="99"/>
      <c r="L16" s="99"/>
      <c r="M16" s="99"/>
      <c r="N16" s="99"/>
    </row>
    <row r="17" spans="1:14" x14ac:dyDescent="0.25">
      <c r="A17" s="130" t="s">
        <v>14</v>
      </c>
      <c r="B17" s="131" t="s">
        <v>66</v>
      </c>
      <c r="C17" s="132">
        <v>0.57999999999999996</v>
      </c>
      <c r="D17" s="132" t="s">
        <v>161</v>
      </c>
      <c r="E17" s="132">
        <v>1.56</v>
      </c>
      <c r="F17" s="133" t="s">
        <v>274</v>
      </c>
      <c r="G17" s="134">
        <v>0.43</v>
      </c>
      <c r="H17" s="132" t="s">
        <v>152</v>
      </c>
      <c r="I17" s="135">
        <v>0.25</v>
      </c>
      <c r="J17" s="99"/>
      <c r="K17" s="99"/>
      <c r="L17" s="99"/>
      <c r="M17" s="99"/>
      <c r="N17" s="99"/>
    </row>
    <row r="18" spans="1:14" x14ac:dyDescent="0.25">
      <c r="A18" s="130" t="s">
        <v>15</v>
      </c>
      <c r="B18" s="131" t="s">
        <v>67</v>
      </c>
      <c r="C18" s="132">
        <v>0.64</v>
      </c>
      <c r="D18" s="132" t="s">
        <v>161</v>
      </c>
      <c r="E18" s="132">
        <v>1.56</v>
      </c>
      <c r="F18" s="133" t="s">
        <v>274</v>
      </c>
      <c r="G18" s="134">
        <v>0.43</v>
      </c>
      <c r="H18" s="132" t="s">
        <v>152</v>
      </c>
      <c r="I18" s="135">
        <v>0.25</v>
      </c>
      <c r="J18" s="99"/>
      <c r="K18" s="99"/>
      <c r="L18" s="99"/>
      <c r="M18" s="99"/>
      <c r="N18" s="99"/>
    </row>
    <row r="19" spans="1:14" x14ac:dyDescent="0.25">
      <c r="A19" s="130" t="s">
        <v>16</v>
      </c>
      <c r="B19" s="131" t="s">
        <v>68</v>
      </c>
      <c r="C19" s="132">
        <v>0.73</v>
      </c>
      <c r="D19" s="132" t="s">
        <v>161</v>
      </c>
      <c r="E19" s="132">
        <v>1.56</v>
      </c>
      <c r="F19" s="133" t="s">
        <v>274</v>
      </c>
      <c r="G19" s="134">
        <v>0.43</v>
      </c>
      <c r="H19" s="132" t="s">
        <v>152</v>
      </c>
      <c r="I19" s="135">
        <v>0.25</v>
      </c>
      <c r="J19" s="99"/>
      <c r="K19" s="99"/>
      <c r="L19" s="99"/>
      <c r="M19" s="99"/>
      <c r="N19" s="99"/>
    </row>
    <row r="20" spans="1:14" x14ac:dyDescent="0.25">
      <c r="A20" s="130" t="s">
        <v>52</v>
      </c>
      <c r="B20" s="131" t="s">
        <v>69</v>
      </c>
      <c r="C20" s="132">
        <v>0.69</v>
      </c>
      <c r="D20" s="132" t="s">
        <v>131</v>
      </c>
      <c r="E20" s="132">
        <v>1.56</v>
      </c>
      <c r="F20" s="133" t="s">
        <v>274</v>
      </c>
      <c r="G20" s="134">
        <v>0.43</v>
      </c>
      <c r="H20" s="132" t="s">
        <v>282</v>
      </c>
      <c r="I20" s="135">
        <v>0.25</v>
      </c>
      <c r="J20" s="99"/>
      <c r="K20" s="99"/>
      <c r="L20" s="99"/>
      <c r="M20" s="99"/>
      <c r="N20" s="99"/>
    </row>
    <row r="21" spans="1:14" x14ac:dyDescent="0.25">
      <c r="A21" s="130" t="s">
        <v>154</v>
      </c>
      <c r="B21" s="131" t="s">
        <v>155</v>
      </c>
      <c r="C21" s="132">
        <v>0.36</v>
      </c>
      <c r="D21" s="132" t="s">
        <v>161</v>
      </c>
      <c r="E21" s="132">
        <v>1.3</v>
      </c>
      <c r="F21" s="133" t="s">
        <v>274</v>
      </c>
      <c r="G21" s="134">
        <v>0.55000000000000004</v>
      </c>
      <c r="H21" s="132" t="s">
        <v>153</v>
      </c>
      <c r="I21" s="135">
        <v>0.43</v>
      </c>
      <c r="J21" s="99"/>
      <c r="K21" s="99"/>
      <c r="L21" s="99"/>
      <c r="M21" s="99"/>
      <c r="N21" s="99"/>
    </row>
    <row r="22" spans="1:14" x14ac:dyDescent="0.25">
      <c r="A22" s="130" t="s">
        <v>17</v>
      </c>
      <c r="B22" s="131" t="s">
        <v>70</v>
      </c>
      <c r="C22" s="132">
        <v>0.4</v>
      </c>
      <c r="D22" s="132" t="s">
        <v>161</v>
      </c>
      <c r="E22" s="132">
        <v>1.3</v>
      </c>
      <c r="F22" s="133" t="s">
        <v>274</v>
      </c>
      <c r="G22" s="134">
        <v>0.55000000000000004</v>
      </c>
      <c r="H22" s="132" t="s">
        <v>153</v>
      </c>
      <c r="I22" s="135">
        <v>0.43</v>
      </c>
      <c r="J22" s="99"/>
      <c r="K22" s="99"/>
      <c r="L22" s="99"/>
      <c r="M22" s="99"/>
      <c r="N22" s="99"/>
    </row>
    <row r="23" spans="1:14" x14ac:dyDescent="0.25">
      <c r="A23" s="130" t="s">
        <v>18</v>
      </c>
      <c r="B23" s="131" t="s">
        <v>71</v>
      </c>
      <c r="C23" s="132">
        <v>0.43</v>
      </c>
      <c r="D23" s="132" t="s">
        <v>161</v>
      </c>
      <c r="E23" s="132">
        <v>1.3</v>
      </c>
      <c r="F23" s="133" t="s">
        <v>274</v>
      </c>
      <c r="G23" s="134">
        <v>0.55000000000000004</v>
      </c>
      <c r="H23" s="132" t="s">
        <v>153</v>
      </c>
      <c r="I23" s="135">
        <v>0.43</v>
      </c>
      <c r="J23" s="99"/>
      <c r="K23" s="99"/>
      <c r="L23" s="99"/>
      <c r="M23" s="99"/>
      <c r="N23" s="99"/>
    </row>
    <row r="24" spans="1:14" x14ac:dyDescent="0.25">
      <c r="A24" s="130" t="s">
        <v>19</v>
      </c>
      <c r="B24" s="131" t="s">
        <v>72</v>
      </c>
      <c r="C24" s="132">
        <v>0.37</v>
      </c>
      <c r="D24" s="132" t="s">
        <v>161</v>
      </c>
      <c r="E24" s="132">
        <v>1.3</v>
      </c>
      <c r="F24" s="133" t="s">
        <v>274</v>
      </c>
      <c r="G24" s="134">
        <v>0.55000000000000004</v>
      </c>
      <c r="H24" s="132" t="s">
        <v>152</v>
      </c>
      <c r="I24" s="135">
        <v>0.43</v>
      </c>
      <c r="J24" s="99"/>
      <c r="K24" s="99"/>
      <c r="L24" s="99"/>
      <c r="M24" s="99"/>
      <c r="N24" s="99"/>
    </row>
    <row r="25" spans="1:14" x14ac:dyDescent="0.25">
      <c r="A25" s="130" t="s">
        <v>20</v>
      </c>
      <c r="B25" s="131" t="s">
        <v>73</v>
      </c>
      <c r="C25" s="132">
        <v>0.36</v>
      </c>
      <c r="D25" s="132" t="s">
        <v>161</v>
      </c>
      <c r="E25" s="132">
        <v>1.3</v>
      </c>
      <c r="F25" s="133" t="s">
        <v>274</v>
      </c>
      <c r="G25" s="134">
        <v>0.55000000000000004</v>
      </c>
      <c r="H25" s="132" t="s">
        <v>152</v>
      </c>
      <c r="I25" s="135">
        <v>0.43</v>
      </c>
      <c r="J25" s="99"/>
      <c r="K25" s="99"/>
      <c r="L25" s="99"/>
      <c r="M25" s="99"/>
      <c r="N25" s="99"/>
    </row>
    <row r="26" spans="1:14" x14ac:dyDescent="0.25">
      <c r="A26" s="130" t="s">
        <v>21</v>
      </c>
      <c r="B26" s="131" t="s">
        <v>74</v>
      </c>
      <c r="C26" s="132">
        <v>0.56000000000000005</v>
      </c>
      <c r="D26" s="132" t="s">
        <v>161</v>
      </c>
      <c r="E26" s="132">
        <v>1.56</v>
      </c>
      <c r="F26" s="133" t="s">
        <v>274</v>
      </c>
      <c r="G26" s="134">
        <v>0.53</v>
      </c>
      <c r="H26" s="132" t="s">
        <v>275</v>
      </c>
      <c r="I26" s="135">
        <v>0.25</v>
      </c>
      <c r="J26" s="99"/>
      <c r="K26" s="99"/>
      <c r="L26" s="99"/>
      <c r="M26" s="99"/>
      <c r="N26" s="99"/>
    </row>
    <row r="27" spans="1:14" x14ac:dyDescent="0.25">
      <c r="A27" s="130" t="s">
        <v>22</v>
      </c>
      <c r="B27" s="131" t="s">
        <v>75</v>
      </c>
      <c r="C27" s="132">
        <v>0.51</v>
      </c>
      <c r="D27" s="132" t="s">
        <v>161</v>
      </c>
      <c r="E27" s="132">
        <v>1.56</v>
      </c>
      <c r="F27" s="133" t="s">
        <v>274</v>
      </c>
      <c r="G27" s="134">
        <v>0.53</v>
      </c>
      <c r="H27" s="132" t="s">
        <v>275</v>
      </c>
      <c r="I27" s="135">
        <v>0.25</v>
      </c>
      <c r="J27" s="99"/>
      <c r="K27" s="99"/>
      <c r="L27" s="99"/>
      <c r="M27" s="99"/>
      <c r="N27" s="99"/>
    </row>
    <row r="28" spans="1:14" x14ac:dyDescent="0.25">
      <c r="A28" s="130" t="s">
        <v>23</v>
      </c>
      <c r="B28" s="131" t="s">
        <v>76</v>
      </c>
      <c r="C28" s="132">
        <v>0.51</v>
      </c>
      <c r="D28" s="132" t="s">
        <v>161</v>
      </c>
      <c r="E28" s="132">
        <v>1.56</v>
      </c>
      <c r="F28" s="133" t="s">
        <v>274</v>
      </c>
      <c r="G28" s="134">
        <v>0.53</v>
      </c>
      <c r="H28" s="132" t="s">
        <v>275</v>
      </c>
      <c r="I28" s="135">
        <v>0.25</v>
      </c>
      <c r="J28" s="99"/>
      <c r="K28" s="99"/>
      <c r="L28" s="99"/>
      <c r="M28" s="99"/>
      <c r="N28" s="99"/>
    </row>
    <row r="29" spans="1:14" x14ac:dyDescent="0.25">
      <c r="A29" s="130" t="s">
        <v>24</v>
      </c>
      <c r="B29" s="131" t="s">
        <v>24</v>
      </c>
      <c r="C29" s="132">
        <v>0.56000000000000005</v>
      </c>
      <c r="D29" s="132" t="s">
        <v>161</v>
      </c>
      <c r="E29" s="132">
        <v>1.56</v>
      </c>
      <c r="F29" s="133" t="s">
        <v>274</v>
      </c>
      <c r="G29" s="134">
        <v>0.53</v>
      </c>
      <c r="H29" s="132" t="s">
        <v>275</v>
      </c>
      <c r="I29" s="135">
        <v>0.25</v>
      </c>
      <c r="J29" s="99"/>
      <c r="K29" s="99"/>
      <c r="L29" s="99"/>
      <c r="M29" s="99"/>
      <c r="N29" s="99"/>
    </row>
    <row r="30" spans="1:14" x14ac:dyDescent="0.25">
      <c r="A30" s="130" t="s">
        <v>25</v>
      </c>
      <c r="B30" s="131" t="s">
        <v>77</v>
      </c>
      <c r="C30" s="132">
        <v>0.55000000000000004</v>
      </c>
      <c r="D30" s="132" t="s">
        <v>161</v>
      </c>
      <c r="E30" s="132">
        <v>1.56</v>
      </c>
      <c r="F30" s="133" t="s">
        <v>274</v>
      </c>
      <c r="G30" s="134">
        <v>0.53</v>
      </c>
      <c r="H30" s="132" t="s">
        <v>152</v>
      </c>
      <c r="I30" s="135">
        <v>0.25</v>
      </c>
      <c r="J30" s="99"/>
      <c r="K30" s="99"/>
      <c r="L30" s="99"/>
      <c r="M30" s="99"/>
      <c r="N30" s="99"/>
    </row>
    <row r="31" spans="1:14" x14ac:dyDescent="0.25">
      <c r="A31" s="130" t="s">
        <v>26</v>
      </c>
      <c r="B31" s="131" t="s">
        <v>78</v>
      </c>
      <c r="C31" s="132">
        <v>0.56000000000000005</v>
      </c>
      <c r="D31" s="132" t="s">
        <v>161</v>
      </c>
      <c r="E31" s="132">
        <v>1.56</v>
      </c>
      <c r="F31" s="133" t="s">
        <v>274</v>
      </c>
      <c r="G31" s="134">
        <v>0.43</v>
      </c>
      <c r="H31" s="132" t="s">
        <v>278</v>
      </c>
      <c r="I31" s="135">
        <v>0.25</v>
      </c>
      <c r="J31" s="99"/>
      <c r="K31" s="99"/>
      <c r="L31" s="99"/>
      <c r="M31" s="99"/>
      <c r="N31" s="99"/>
    </row>
    <row r="32" spans="1:14" x14ac:dyDescent="0.25">
      <c r="A32" s="130" t="s">
        <v>27</v>
      </c>
      <c r="B32" s="131" t="s">
        <v>79</v>
      </c>
      <c r="C32" s="132">
        <v>0.48</v>
      </c>
      <c r="D32" s="132" t="s">
        <v>161</v>
      </c>
      <c r="E32" s="132">
        <v>1.3</v>
      </c>
      <c r="F32" s="133" t="s">
        <v>274</v>
      </c>
      <c r="G32" s="134">
        <v>0.6</v>
      </c>
      <c r="H32" s="132" t="s">
        <v>281</v>
      </c>
      <c r="I32" s="135">
        <v>0.43</v>
      </c>
      <c r="J32" s="99"/>
      <c r="K32" s="99"/>
      <c r="L32" s="99"/>
      <c r="M32" s="99"/>
      <c r="N32" s="99"/>
    </row>
    <row r="33" spans="1:14" x14ac:dyDescent="0.25">
      <c r="A33" s="130" t="s">
        <v>28</v>
      </c>
      <c r="B33" s="131" t="s">
        <v>80</v>
      </c>
      <c r="C33" s="132">
        <v>0.42</v>
      </c>
      <c r="D33" s="132" t="s">
        <v>161</v>
      </c>
      <c r="E33" s="132">
        <v>1.3</v>
      </c>
      <c r="F33" s="133" t="s">
        <v>274</v>
      </c>
      <c r="G33" s="134">
        <v>0.6</v>
      </c>
      <c r="H33" s="132" t="s">
        <v>281</v>
      </c>
      <c r="I33" s="135">
        <v>0.43</v>
      </c>
      <c r="J33" s="99"/>
      <c r="K33" s="99"/>
      <c r="L33" s="99"/>
      <c r="M33" s="99"/>
      <c r="N33" s="99"/>
    </row>
    <row r="34" spans="1:14" x14ac:dyDescent="0.25">
      <c r="A34" s="130" t="s">
        <v>81</v>
      </c>
      <c r="B34" s="131" t="s">
        <v>163</v>
      </c>
      <c r="C34" s="132">
        <v>0.42</v>
      </c>
      <c r="D34" s="132" t="s">
        <v>103</v>
      </c>
      <c r="E34" s="132">
        <v>1.3</v>
      </c>
      <c r="F34" s="133" t="s">
        <v>274</v>
      </c>
      <c r="G34" s="134">
        <v>0.6</v>
      </c>
      <c r="H34" s="131" t="s">
        <v>280</v>
      </c>
      <c r="I34" s="135">
        <v>0.43</v>
      </c>
      <c r="J34" s="99"/>
      <c r="K34" s="99"/>
      <c r="L34" s="99"/>
      <c r="M34" s="99"/>
      <c r="N34" s="99"/>
    </row>
    <row r="35" spans="1:14" x14ac:dyDescent="0.25">
      <c r="A35" s="130" t="s">
        <v>29</v>
      </c>
      <c r="B35" s="131" t="s">
        <v>82</v>
      </c>
      <c r="C35" s="132">
        <v>0.5</v>
      </c>
      <c r="D35" s="132" t="s">
        <v>161</v>
      </c>
      <c r="E35" s="132">
        <v>1.56</v>
      </c>
      <c r="F35" s="133" t="s">
        <v>274</v>
      </c>
      <c r="G35" s="134">
        <v>0.43</v>
      </c>
      <c r="H35" s="132" t="s">
        <v>278</v>
      </c>
      <c r="I35" s="135">
        <v>0.25</v>
      </c>
      <c r="J35" s="99"/>
      <c r="K35" s="99"/>
      <c r="L35" s="99"/>
      <c r="M35" s="99"/>
      <c r="N35" s="99"/>
    </row>
    <row r="36" spans="1:14" x14ac:dyDescent="0.25">
      <c r="A36" s="130" t="s">
        <v>102</v>
      </c>
      <c r="B36" s="131" t="s">
        <v>101</v>
      </c>
      <c r="C36" s="132">
        <v>0.55000000000000004</v>
      </c>
      <c r="D36" s="132" t="s">
        <v>161</v>
      </c>
      <c r="E36" s="132">
        <v>1.56</v>
      </c>
      <c r="F36" s="133" t="s">
        <v>274</v>
      </c>
      <c r="G36" s="134">
        <v>0.53</v>
      </c>
      <c r="H36" s="132" t="s">
        <v>275</v>
      </c>
      <c r="I36" s="135">
        <v>0.25</v>
      </c>
      <c r="J36" s="99"/>
      <c r="K36" s="99"/>
      <c r="L36" s="99"/>
      <c r="M36" s="99"/>
      <c r="N36" s="99"/>
    </row>
    <row r="37" spans="1:14" x14ac:dyDescent="0.25">
      <c r="A37" s="130" t="s">
        <v>30</v>
      </c>
      <c r="B37" s="131" t="s">
        <v>104</v>
      </c>
      <c r="C37" s="132">
        <v>0.52</v>
      </c>
      <c r="D37" s="132" t="s">
        <v>161</v>
      </c>
      <c r="E37" s="132">
        <v>1.56</v>
      </c>
      <c r="F37" s="133" t="s">
        <v>274</v>
      </c>
      <c r="G37" s="134">
        <v>0.53</v>
      </c>
      <c r="H37" s="132" t="s">
        <v>275</v>
      </c>
      <c r="I37" s="135">
        <v>0.25</v>
      </c>
      <c r="J37" s="99"/>
      <c r="K37" s="99"/>
      <c r="L37" s="99"/>
      <c r="M37" s="99"/>
      <c r="N37" s="99"/>
    </row>
    <row r="38" spans="1:14" x14ac:dyDescent="0.25">
      <c r="A38" s="130" t="s">
        <v>31</v>
      </c>
      <c r="B38" s="131" t="s">
        <v>105</v>
      </c>
      <c r="C38" s="132">
        <v>0.52</v>
      </c>
      <c r="D38" s="132" t="s">
        <v>161</v>
      </c>
      <c r="E38" s="132">
        <v>1.56</v>
      </c>
      <c r="F38" s="133" t="s">
        <v>274</v>
      </c>
      <c r="G38" s="134">
        <v>0.43</v>
      </c>
      <c r="H38" s="132" t="s">
        <v>278</v>
      </c>
      <c r="I38" s="135">
        <v>0.25</v>
      </c>
      <c r="J38" s="99"/>
      <c r="K38" s="99"/>
      <c r="L38" s="99"/>
      <c r="M38" s="99"/>
      <c r="N38" s="99"/>
    </row>
    <row r="39" spans="1:14" x14ac:dyDescent="0.25">
      <c r="A39" s="130" t="s">
        <v>107</v>
      </c>
      <c r="B39" s="131" t="s">
        <v>132</v>
      </c>
      <c r="C39" s="132">
        <v>0.313</v>
      </c>
      <c r="D39" s="132" t="s">
        <v>130</v>
      </c>
      <c r="E39" s="132">
        <v>1.56</v>
      </c>
      <c r="F39" s="133" t="s">
        <v>274</v>
      </c>
      <c r="G39" s="134">
        <v>0.6</v>
      </c>
      <c r="H39" s="132" t="s">
        <v>283</v>
      </c>
      <c r="I39" s="135">
        <v>1.03</v>
      </c>
      <c r="J39" s="99"/>
      <c r="K39" s="99"/>
      <c r="L39" s="99"/>
      <c r="M39" s="99"/>
      <c r="N39" s="99"/>
    </row>
    <row r="40" spans="1:14" x14ac:dyDescent="0.25">
      <c r="A40" s="130" t="s">
        <v>108</v>
      </c>
      <c r="B40" s="131" t="s">
        <v>132</v>
      </c>
      <c r="C40" s="132">
        <v>0.35199999999999998</v>
      </c>
      <c r="D40" s="132" t="s">
        <v>130</v>
      </c>
      <c r="E40" s="132">
        <v>1.56</v>
      </c>
      <c r="F40" s="133" t="s">
        <v>274</v>
      </c>
      <c r="G40" s="134">
        <v>0.6</v>
      </c>
      <c r="H40" s="132" t="s">
        <v>283</v>
      </c>
      <c r="I40" s="135">
        <v>1.03</v>
      </c>
      <c r="J40" s="99"/>
      <c r="K40" s="99"/>
      <c r="L40" s="99"/>
      <c r="M40" s="99"/>
      <c r="N40" s="99"/>
    </row>
    <row r="41" spans="1:14" x14ac:dyDescent="0.25">
      <c r="A41" s="130" t="s">
        <v>121</v>
      </c>
      <c r="B41" s="131" t="s">
        <v>132</v>
      </c>
      <c r="C41" s="132">
        <v>0.32200000000000001</v>
      </c>
      <c r="D41" s="132" t="s">
        <v>130</v>
      </c>
      <c r="E41" s="132">
        <v>1.56</v>
      </c>
      <c r="F41" s="133" t="s">
        <v>274</v>
      </c>
      <c r="G41" s="134">
        <v>0.6</v>
      </c>
      <c r="H41" s="132" t="s">
        <v>283</v>
      </c>
      <c r="I41" s="135">
        <v>1.03</v>
      </c>
      <c r="J41" s="99"/>
      <c r="K41" s="99"/>
      <c r="L41" s="99"/>
      <c r="M41" s="99"/>
      <c r="N41" s="99"/>
    </row>
    <row r="42" spans="1:14" x14ac:dyDescent="0.25">
      <c r="A42" s="130" t="s">
        <v>122</v>
      </c>
      <c r="B42" s="131" t="s">
        <v>132</v>
      </c>
      <c r="C42" s="132">
        <v>0.311</v>
      </c>
      <c r="D42" s="132" t="s">
        <v>130</v>
      </c>
      <c r="E42" s="132">
        <v>1.56</v>
      </c>
      <c r="F42" s="133" t="s">
        <v>274</v>
      </c>
      <c r="G42" s="134">
        <v>0.6</v>
      </c>
      <c r="H42" s="132" t="s">
        <v>283</v>
      </c>
      <c r="I42" s="135">
        <v>1.03</v>
      </c>
      <c r="J42" s="99"/>
      <c r="K42" s="99"/>
      <c r="L42" s="99"/>
      <c r="M42" s="99"/>
      <c r="N42" s="99"/>
    </row>
    <row r="43" spans="1:14" x14ac:dyDescent="0.25">
      <c r="A43" s="130" t="s">
        <v>109</v>
      </c>
      <c r="B43" s="131" t="s">
        <v>132</v>
      </c>
      <c r="C43" s="132">
        <v>0.33900000000000002</v>
      </c>
      <c r="D43" s="132" t="s">
        <v>130</v>
      </c>
      <c r="E43" s="132">
        <v>1.56</v>
      </c>
      <c r="F43" s="133" t="s">
        <v>274</v>
      </c>
      <c r="G43" s="134">
        <v>0.6</v>
      </c>
      <c r="H43" s="132" t="s">
        <v>283</v>
      </c>
      <c r="I43" s="135">
        <v>1.03</v>
      </c>
      <c r="J43" s="99"/>
      <c r="K43" s="99"/>
      <c r="L43" s="99"/>
      <c r="M43" s="99"/>
      <c r="N43" s="99"/>
    </row>
    <row r="44" spans="1:14" x14ac:dyDescent="0.25">
      <c r="A44" s="130" t="s">
        <v>123</v>
      </c>
      <c r="B44" s="131" t="s">
        <v>132</v>
      </c>
      <c r="C44" s="132">
        <v>0.33600000000000002</v>
      </c>
      <c r="D44" s="132" t="s">
        <v>130</v>
      </c>
      <c r="E44" s="132">
        <v>1.56</v>
      </c>
      <c r="F44" s="133" t="s">
        <v>274</v>
      </c>
      <c r="G44" s="134">
        <v>0.6</v>
      </c>
      <c r="H44" s="132" t="s">
        <v>283</v>
      </c>
      <c r="I44" s="135">
        <v>1.03</v>
      </c>
      <c r="J44" s="99"/>
      <c r="K44" s="99"/>
      <c r="L44" s="99"/>
      <c r="M44" s="99"/>
      <c r="N44" s="99"/>
    </row>
    <row r="45" spans="1:14" x14ac:dyDescent="0.25">
      <c r="A45" s="130" t="s">
        <v>110</v>
      </c>
      <c r="B45" s="131" t="s">
        <v>132</v>
      </c>
      <c r="C45" s="132">
        <v>0.32900000000000001</v>
      </c>
      <c r="D45" s="132" t="s">
        <v>130</v>
      </c>
      <c r="E45" s="132">
        <v>1.56</v>
      </c>
      <c r="F45" s="133" t="s">
        <v>274</v>
      </c>
      <c r="G45" s="134">
        <v>0.6</v>
      </c>
      <c r="H45" s="132" t="s">
        <v>283</v>
      </c>
      <c r="I45" s="135">
        <v>1.03</v>
      </c>
      <c r="J45" s="99"/>
      <c r="K45" s="99"/>
      <c r="L45" s="99"/>
      <c r="M45" s="99"/>
      <c r="N45" s="99"/>
    </row>
    <row r="46" spans="1:14" x14ac:dyDescent="0.25">
      <c r="A46" s="130" t="s">
        <v>124</v>
      </c>
      <c r="B46" s="131" t="s">
        <v>132</v>
      </c>
      <c r="C46" s="132">
        <v>0.34300000000000003</v>
      </c>
      <c r="D46" s="132" t="s">
        <v>130</v>
      </c>
      <c r="E46" s="132">
        <v>1.56</v>
      </c>
      <c r="F46" s="133" t="s">
        <v>274</v>
      </c>
      <c r="G46" s="134">
        <v>0.6</v>
      </c>
      <c r="H46" s="132" t="s">
        <v>283</v>
      </c>
      <c r="I46" s="135">
        <v>1.03</v>
      </c>
      <c r="J46" s="99"/>
      <c r="K46" s="99"/>
      <c r="L46" s="99"/>
      <c r="M46" s="99"/>
      <c r="N46" s="99"/>
    </row>
    <row r="47" spans="1:14" x14ac:dyDescent="0.25">
      <c r="A47" s="130" t="s">
        <v>125</v>
      </c>
      <c r="B47" s="131" t="s">
        <v>132</v>
      </c>
      <c r="C47" s="132">
        <v>0.32500000000000001</v>
      </c>
      <c r="D47" s="132" t="s">
        <v>130</v>
      </c>
      <c r="E47" s="132">
        <v>1.56</v>
      </c>
      <c r="F47" s="133" t="s">
        <v>274</v>
      </c>
      <c r="G47" s="134">
        <v>0.6</v>
      </c>
      <c r="H47" s="132" t="s">
        <v>283</v>
      </c>
      <c r="I47" s="135">
        <v>1.03</v>
      </c>
      <c r="J47" s="99"/>
      <c r="K47" s="99"/>
      <c r="L47" s="99"/>
      <c r="M47" s="99"/>
      <c r="N47" s="99"/>
    </row>
    <row r="48" spans="1:14" x14ac:dyDescent="0.25">
      <c r="A48" s="130" t="s">
        <v>126</v>
      </c>
      <c r="B48" s="131" t="s">
        <v>132</v>
      </c>
      <c r="C48" s="132">
        <v>0.32</v>
      </c>
      <c r="D48" s="132" t="s">
        <v>130</v>
      </c>
      <c r="E48" s="132">
        <v>1.56</v>
      </c>
      <c r="F48" s="133" t="s">
        <v>274</v>
      </c>
      <c r="G48" s="134">
        <v>0.6</v>
      </c>
      <c r="H48" s="132" t="s">
        <v>283</v>
      </c>
      <c r="I48" s="135">
        <v>1.03</v>
      </c>
      <c r="J48" s="99"/>
      <c r="K48" s="99"/>
      <c r="L48" s="99"/>
      <c r="M48" s="99"/>
      <c r="N48" s="99"/>
    </row>
    <row r="49" spans="1:14" x14ac:dyDescent="0.25">
      <c r="A49" s="130" t="s">
        <v>111</v>
      </c>
      <c r="B49" s="131" t="s">
        <v>132</v>
      </c>
      <c r="C49" s="132">
        <v>0.28199999999999997</v>
      </c>
      <c r="D49" s="132" t="s">
        <v>130</v>
      </c>
      <c r="E49" s="132">
        <v>1.56</v>
      </c>
      <c r="F49" s="133" t="s">
        <v>274</v>
      </c>
      <c r="G49" s="134">
        <v>0.6</v>
      </c>
      <c r="H49" s="132" t="s">
        <v>283</v>
      </c>
      <c r="I49" s="135">
        <v>1.03</v>
      </c>
      <c r="J49" s="99"/>
      <c r="K49" s="99"/>
      <c r="L49" s="99"/>
      <c r="M49" s="99"/>
      <c r="N49" s="99"/>
    </row>
    <row r="50" spans="1:14" x14ac:dyDescent="0.25">
      <c r="A50" s="130" t="s">
        <v>127</v>
      </c>
      <c r="B50" s="131" t="s">
        <v>132</v>
      </c>
      <c r="C50" s="132">
        <v>0.32800000000000001</v>
      </c>
      <c r="D50" s="132" t="s">
        <v>130</v>
      </c>
      <c r="E50" s="132">
        <v>1.56</v>
      </c>
      <c r="F50" s="133" t="s">
        <v>274</v>
      </c>
      <c r="G50" s="134">
        <v>0.6</v>
      </c>
      <c r="H50" s="132" t="s">
        <v>283</v>
      </c>
      <c r="I50" s="135">
        <v>1.03</v>
      </c>
      <c r="J50" s="99"/>
      <c r="K50" s="99"/>
      <c r="L50" s="99"/>
      <c r="M50" s="99"/>
      <c r="N50" s="99"/>
    </row>
    <row r="51" spans="1:14" x14ac:dyDescent="0.25">
      <c r="A51" s="130" t="s">
        <v>112</v>
      </c>
      <c r="B51" s="131" t="s">
        <v>132</v>
      </c>
      <c r="C51" s="132">
        <v>0.32600000000000001</v>
      </c>
      <c r="D51" s="132" t="s">
        <v>130</v>
      </c>
      <c r="E51" s="132">
        <v>1.56</v>
      </c>
      <c r="F51" s="133" t="s">
        <v>274</v>
      </c>
      <c r="G51" s="134">
        <v>0.6</v>
      </c>
      <c r="H51" s="132" t="s">
        <v>283</v>
      </c>
      <c r="I51" s="135">
        <v>1.03</v>
      </c>
      <c r="J51" s="99"/>
      <c r="K51" s="99"/>
      <c r="L51" s="99"/>
      <c r="M51" s="99"/>
      <c r="N51" s="99"/>
    </row>
    <row r="52" spans="1:14" x14ac:dyDescent="0.25">
      <c r="A52" s="130" t="s">
        <v>113</v>
      </c>
      <c r="B52" s="131" t="s">
        <v>132</v>
      </c>
      <c r="C52" s="132">
        <v>0.35899999999999999</v>
      </c>
      <c r="D52" s="132" t="s">
        <v>130</v>
      </c>
      <c r="E52" s="132">
        <v>1.56</v>
      </c>
      <c r="F52" s="133" t="s">
        <v>274</v>
      </c>
      <c r="G52" s="134">
        <v>0.6</v>
      </c>
      <c r="H52" s="132" t="s">
        <v>283</v>
      </c>
      <c r="I52" s="135">
        <v>1.03</v>
      </c>
      <c r="J52" s="99"/>
      <c r="K52" s="99"/>
      <c r="L52" s="99"/>
      <c r="M52" s="99"/>
      <c r="N52" s="99"/>
    </row>
    <row r="53" spans="1:14" x14ac:dyDescent="0.25">
      <c r="A53" s="130" t="s">
        <v>114</v>
      </c>
      <c r="B53" s="131" t="s">
        <v>132</v>
      </c>
      <c r="C53" s="132">
        <v>0.34599999999999997</v>
      </c>
      <c r="D53" s="132" t="s">
        <v>130</v>
      </c>
      <c r="E53" s="132">
        <v>1.56</v>
      </c>
      <c r="F53" s="133" t="s">
        <v>274</v>
      </c>
      <c r="G53" s="134">
        <v>0.6</v>
      </c>
      <c r="H53" s="132" t="s">
        <v>283</v>
      </c>
      <c r="I53" s="135">
        <v>1.03</v>
      </c>
      <c r="J53" s="99"/>
      <c r="K53" s="99"/>
      <c r="L53" s="99"/>
      <c r="M53" s="99"/>
      <c r="N53" s="99"/>
    </row>
    <row r="54" spans="1:14" x14ac:dyDescent="0.25">
      <c r="A54" s="130" t="s">
        <v>115</v>
      </c>
      <c r="B54" s="131" t="s">
        <v>132</v>
      </c>
      <c r="C54" s="132">
        <v>0.32600000000000001</v>
      </c>
      <c r="D54" s="132" t="s">
        <v>130</v>
      </c>
      <c r="E54" s="132">
        <v>1.56</v>
      </c>
      <c r="F54" s="133" t="s">
        <v>274</v>
      </c>
      <c r="G54" s="134">
        <v>0.6</v>
      </c>
      <c r="H54" s="132" t="s">
        <v>283</v>
      </c>
      <c r="I54" s="135">
        <v>1.03</v>
      </c>
      <c r="J54" s="99"/>
      <c r="K54" s="99"/>
      <c r="L54" s="99"/>
      <c r="M54" s="99"/>
      <c r="N54" s="99"/>
    </row>
    <row r="55" spans="1:14" x14ac:dyDescent="0.25">
      <c r="A55" s="130" t="s">
        <v>116</v>
      </c>
      <c r="B55" s="131" t="s">
        <v>132</v>
      </c>
      <c r="C55" s="132">
        <v>0.30499999999999999</v>
      </c>
      <c r="D55" s="132" t="s">
        <v>130</v>
      </c>
      <c r="E55" s="132">
        <v>1.56</v>
      </c>
      <c r="F55" s="133" t="s">
        <v>274</v>
      </c>
      <c r="G55" s="134">
        <v>0.6</v>
      </c>
      <c r="H55" s="132" t="s">
        <v>283</v>
      </c>
      <c r="I55" s="135">
        <v>1.03</v>
      </c>
      <c r="J55" s="99"/>
      <c r="K55" s="99"/>
      <c r="L55" s="99"/>
      <c r="M55" s="99"/>
      <c r="N55" s="99"/>
    </row>
    <row r="56" spans="1:14" x14ac:dyDescent="0.25">
      <c r="A56" s="130" t="s">
        <v>128</v>
      </c>
      <c r="B56" s="131" t="s">
        <v>132</v>
      </c>
      <c r="C56" s="132">
        <v>0.32300000000000001</v>
      </c>
      <c r="D56" s="132" t="s">
        <v>130</v>
      </c>
      <c r="E56" s="132">
        <v>1.56</v>
      </c>
      <c r="F56" s="133" t="s">
        <v>274</v>
      </c>
      <c r="G56" s="134">
        <v>0.6</v>
      </c>
      <c r="H56" s="132" t="s">
        <v>283</v>
      </c>
      <c r="I56" s="135">
        <v>1.03</v>
      </c>
      <c r="J56" s="99"/>
      <c r="K56" s="99"/>
      <c r="L56" s="99"/>
      <c r="M56" s="99"/>
      <c r="N56" s="99"/>
    </row>
    <row r="57" spans="1:14" x14ac:dyDescent="0.25">
      <c r="A57" s="130" t="s">
        <v>129</v>
      </c>
      <c r="B57" s="131" t="s">
        <v>132</v>
      </c>
      <c r="C57" s="132">
        <v>0.36699999999999999</v>
      </c>
      <c r="D57" s="132" t="s">
        <v>130</v>
      </c>
      <c r="E57" s="132">
        <v>1.56</v>
      </c>
      <c r="F57" s="133" t="s">
        <v>274</v>
      </c>
      <c r="G57" s="134">
        <v>0.6</v>
      </c>
      <c r="H57" s="132" t="s">
        <v>283</v>
      </c>
      <c r="I57" s="135">
        <v>1.03</v>
      </c>
      <c r="J57" s="99"/>
      <c r="K57" s="99"/>
      <c r="L57" s="99"/>
      <c r="M57" s="99"/>
      <c r="N57" s="99"/>
    </row>
    <row r="58" spans="1:14" x14ac:dyDescent="0.25">
      <c r="A58" s="130" t="s">
        <v>117</v>
      </c>
      <c r="B58" s="131" t="s">
        <v>132</v>
      </c>
      <c r="C58" s="132">
        <v>0.36</v>
      </c>
      <c r="D58" s="132" t="s">
        <v>130</v>
      </c>
      <c r="E58" s="132">
        <v>1.56</v>
      </c>
      <c r="F58" s="133" t="s">
        <v>274</v>
      </c>
      <c r="G58" s="134">
        <v>0.6</v>
      </c>
      <c r="H58" s="132" t="s">
        <v>283</v>
      </c>
      <c r="I58" s="135">
        <v>1.03</v>
      </c>
      <c r="J58" s="99"/>
      <c r="K58" s="99"/>
      <c r="L58" s="99"/>
      <c r="M58" s="99"/>
      <c r="N58" s="99"/>
    </row>
    <row r="59" spans="1:14" x14ac:dyDescent="0.25">
      <c r="A59" s="130" t="s">
        <v>118</v>
      </c>
      <c r="B59" s="131" t="s">
        <v>132</v>
      </c>
      <c r="C59" s="132">
        <v>0.36799999999999999</v>
      </c>
      <c r="D59" s="132" t="s">
        <v>130</v>
      </c>
      <c r="E59" s="132">
        <v>1.56</v>
      </c>
      <c r="F59" s="133" t="s">
        <v>274</v>
      </c>
      <c r="G59" s="134">
        <v>0.6</v>
      </c>
      <c r="H59" s="132" t="s">
        <v>283</v>
      </c>
      <c r="I59" s="135">
        <v>1.03</v>
      </c>
      <c r="J59" s="99"/>
      <c r="K59" s="99"/>
      <c r="L59" s="99"/>
      <c r="M59" s="99"/>
      <c r="N59" s="99"/>
    </row>
    <row r="60" spans="1:14" x14ac:dyDescent="0.25">
      <c r="A60" s="130" t="s">
        <v>119</v>
      </c>
      <c r="B60" s="131" t="s">
        <v>132</v>
      </c>
      <c r="C60" s="132">
        <v>0.30599999999999999</v>
      </c>
      <c r="D60" s="132" t="s">
        <v>130</v>
      </c>
      <c r="E60" s="132">
        <v>1.56</v>
      </c>
      <c r="F60" s="133" t="s">
        <v>274</v>
      </c>
      <c r="G60" s="134">
        <v>0.6</v>
      </c>
      <c r="H60" s="132" t="s">
        <v>283</v>
      </c>
      <c r="I60" s="135">
        <v>1.03</v>
      </c>
      <c r="J60" s="99"/>
      <c r="K60" s="99"/>
      <c r="L60" s="99"/>
      <c r="M60" s="99"/>
      <c r="N60" s="99"/>
    </row>
    <row r="61" spans="1:14" x14ac:dyDescent="0.25">
      <c r="A61" s="130" t="s">
        <v>120</v>
      </c>
      <c r="B61" s="131" t="s">
        <v>132</v>
      </c>
      <c r="C61" s="132">
        <v>0.313</v>
      </c>
      <c r="D61" s="132" t="s">
        <v>130</v>
      </c>
      <c r="E61" s="132">
        <v>1.56</v>
      </c>
      <c r="F61" s="133" t="s">
        <v>274</v>
      </c>
      <c r="G61" s="134">
        <v>0.6</v>
      </c>
      <c r="H61" s="132" t="s">
        <v>283</v>
      </c>
      <c r="I61" s="135">
        <v>1.03</v>
      </c>
      <c r="J61" s="99"/>
      <c r="K61" s="99"/>
      <c r="L61" s="99"/>
      <c r="M61" s="99"/>
      <c r="N61" s="99"/>
    </row>
    <row r="62" spans="1:14" x14ac:dyDescent="0.25">
      <c r="A62" s="130" t="s">
        <v>32</v>
      </c>
      <c r="B62" s="131" t="s">
        <v>133</v>
      </c>
      <c r="C62" s="132">
        <v>0.37</v>
      </c>
      <c r="D62" s="132" t="s">
        <v>161</v>
      </c>
      <c r="E62" s="132">
        <v>1.56</v>
      </c>
      <c r="F62" s="133" t="s">
        <v>274</v>
      </c>
      <c r="G62" s="134">
        <v>0.6</v>
      </c>
      <c r="H62" s="132" t="s">
        <v>283</v>
      </c>
      <c r="I62" s="135">
        <v>1.03</v>
      </c>
      <c r="J62" s="99"/>
      <c r="K62" s="99"/>
      <c r="L62" s="99"/>
      <c r="M62" s="99"/>
      <c r="N62" s="99"/>
    </row>
    <row r="63" spans="1:14" x14ac:dyDescent="0.25">
      <c r="A63" s="130" t="s">
        <v>90</v>
      </c>
      <c r="B63" s="131" t="s">
        <v>83</v>
      </c>
      <c r="C63" s="132">
        <v>0.45</v>
      </c>
      <c r="D63" s="132" t="s">
        <v>161</v>
      </c>
      <c r="E63" s="132">
        <v>1.3</v>
      </c>
      <c r="F63" s="133" t="s">
        <v>274</v>
      </c>
      <c r="G63" s="134">
        <v>0.45</v>
      </c>
      <c r="H63" s="132" t="s">
        <v>276</v>
      </c>
      <c r="I63" s="135">
        <v>0.43</v>
      </c>
      <c r="J63" s="99"/>
      <c r="K63" s="99"/>
      <c r="L63" s="99"/>
      <c r="M63" s="99"/>
      <c r="N63" s="99"/>
    </row>
    <row r="64" spans="1:14" x14ac:dyDescent="0.25">
      <c r="A64" s="130" t="s">
        <v>33</v>
      </c>
      <c r="B64" s="131" t="s">
        <v>134</v>
      </c>
      <c r="C64" s="132">
        <v>0.39</v>
      </c>
      <c r="D64" s="132" t="s">
        <v>161</v>
      </c>
      <c r="E64" s="132">
        <v>1.3</v>
      </c>
      <c r="F64" s="133" t="s">
        <v>274</v>
      </c>
      <c r="G64" s="134">
        <v>0.45</v>
      </c>
      <c r="H64" s="132" t="s">
        <v>276</v>
      </c>
      <c r="I64" s="135">
        <v>0.43</v>
      </c>
      <c r="J64" s="99"/>
      <c r="K64" s="99"/>
      <c r="L64" s="99"/>
      <c r="M64" s="99"/>
      <c r="N64" s="99"/>
    </row>
    <row r="65" spans="1:14" x14ac:dyDescent="0.25">
      <c r="A65" s="130" t="s">
        <v>34</v>
      </c>
      <c r="B65" s="131" t="s">
        <v>135</v>
      </c>
      <c r="C65" s="132">
        <v>0.44</v>
      </c>
      <c r="D65" s="132" t="s">
        <v>161</v>
      </c>
      <c r="E65" s="132">
        <v>1.3</v>
      </c>
      <c r="F65" s="133" t="s">
        <v>274</v>
      </c>
      <c r="G65" s="134">
        <v>0.45</v>
      </c>
      <c r="H65" s="132" t="s">
        <v>276</v>
      </c>
      <c r="I65" s="135">
        <v>0.43</v>
      </c>
      <c r="J65" s="99"/>
      <c r="K65" s="99"/>
      <c r="L65" s="99"/>
      <c r="M65" s="99"/>
      <c r="N65" s="99"/>
    </row>
    <row r="66" spans="1:14" x14ac:dyDescent="0.25">
      <c r="A66" s="130" t="s">
        <v>35</v>
      </c>
      <c r="B66" s="131" t="s">
        <v>84</v>
      </c>
      <c r="C66" s="132">
        <v>0.46</v>
      </c>
      <c r="D66" s="132" t="s">
        <v>161</v>
      </c>
      <c r="E66" s="132">
        <v>1.3</v>
      </c>
      <c r="F66" s="133" t="s">
        <v>274</v>
      </c>
      <c r="G66" s="134">
        <v>0.45</v>
      </c>
      <c r="H66" s="132" t="s">
        <v>276</v>
      </c>
      <c r="I66" s="135">
        <v>0.43</v>
      </c>
      <c r="J66" s="99"/>
      <c r="K66" s="99"/>
      <c r="L66" s="99"/>
      <c r="M66" s="99"/>
      <c r="N66" s="99"/>
    </row>
    <row r="67" spans="1:14" x14ac:dyDescent="0.25">
      <c r="A67" s="130" t="s">
        <v>36</v>
      </c>
      <c r="B67" s="131" t="s">
        <v>85</v>
      </c>
      <c r="C67" s="132">
        <v>0.46</v>
      </c>
      <c r="D67" s="132" t="s">
        <v>161</v>
      </c>
      <c r="E67" s="132">
        <v>1.3</v>
      </c>
      <c r="F67" s="133" t="s">
        <v>274</v>
      </c>
      <c r="G67" s="134">
        <v>0.45</v>
      </c>
      <c r="H67" s="132" t="s">
        <v>152</v>
      </c>
      <c r="I67" s="135">
        <v>0.59</v>
      </c>
      <c r="J67" s="99"/>
      <c r="K67" s="99"/>
      <c r="L67" s="99"/>
      <c r="M67" s="99"/>
      <c r="N67" s="99"/>
    </row>
    <row r="68" spans="1:14" x14ac:dyDescent="0.25">
      <c r="A68" s="130" t="s">
        <v>37</v>
      </c>
      <c r="B68" s="131" t="s">
        <v>136</v>
      </c>
      <c r="C68" s="132">
        <v>0.44</v>
      </c>
      <c r="D68" s="132" t="s">
        <v>161</v>
      </c>
      <c r="E68" s="132">
        <v>1.3</v>
      </c>
      <c r="F68" s="133" t="s">
        <v>274</v>
      </c>
      <c r="G68" s="134">
        <v>0.45</v>
      </c>
      <c r="H68" s="132" t="s">
        <v>276</v>
      </c>
      <c r="I68" s="135">
        <v>0.43</v>
      </c>
      <c r="J68" s="99"/>
      <c r="K68" s="99"/>
      <c r="L68" s="99"/>
      <c r="M68" s="99"/>
      <c r="N68" s="99"/>
    </row>
    <row r="69" spans="1:14" x14ac:dyDescent="0.25">
      <c r="A69" s="130" t="s">
        <v>38</v>
      </c>
      <c r="B69" s="131" t="s">
        <v>86</v>
      </c>
      <c r="C69" s="132">
        <v>0.46</v>
      </c>
      <c r="D69" s="132" t="s">
        <v>161</v>
      </c>
      <c r="E69" s="132">
        <v>1.3</v>
      </c>
      <c r="F69" s="133" t="s">
        <v>274</v>
      </c>
      <c r="G69" s="134">
        <v>0.45</v>
      </c>
      <c r="H69" s="132" t="s">
        <v>276</v>
      </c>
      <c r="I69" s="135">
        <v>0.43</v>
      </c>
      <c r="J69" s="99"/>
      <c r="K69" s="99"/>
      <c r="L69" s="99"/>
      <c r="M69" s="99"/>
      <c r="N69" s="99"/>
    </row>
    <row r="70" spans="1:14" x14ac:dyDescent="0.25">
      <c r="A70" s="130" t="s">
        <v>39</v>
      </c>
      <c r="B70" s="131" t="s">
        <v>137</v>
      </c>
      <c r="C70" s="132">
        <v>0.48</v>
      </c>
      <c r="D70" s="132" t="s">
        <v>161</v>
      </c>
      <c r="E70" s="132">
        <v>2.4</v>
      </c>
      <c r="F70" s="132" t="s">
        <v>284</v>
      </c>
      <c r="G70" s="134">
        <v>0.45</v>
      </c>
      <c r="H70" s="132" t="s">
        <v>276</v>
      </c>
      <c r="I70" s="135">
        <v>0.43</v>
      </c>
      <c r="J70" s="99"/>
      <c r="K70" s="99"/>
      <c r="L70" s="99"/>
      <c r="M70" s="99"/>
      <c r="N70" s="99"/>
    </row>
    <row r="71" spans="1:14" x14ac:dyDescent="0.25">
      <c r="A71" s="130" t="s">
        <v>40</v>
      </c>
      <c r="B71" s="131" t="s">
        <v>87</v>
      </c>
      <c r="C71" s="132">
        <v>0.46</v>
      </c>
      <c r="D71" s="132" t="s">
        <v>150</v>
      </c>
      <c r="E71" s="132">
        <v>1.3</v>
      </c>
      <c r="F71" s="133" t="s">
        <v>274</v>
      </c>
      <c r="G71" s="134">
        <v>0.45</v>
      </c>
      <c r="H71" s="132" t="s">
        <v>276</v>
      </c>
      <c r="I71" s="135">
        <v>0.43</v>
      </c>
      <c r="J71" s="99"/>
      <c r="K71" s="99"/>
      <c r="L71" s="99"/>
      <c r="M71" s="99"/>
      <c r="N71" s="99"/>
    </row>
    <row r="72" spans="1:14" x14ac:dyDescent="0.25">
      <c r="A72" s="130" t="s">
        <v>41</v>
      </c>
      <c r="B72" s="131" t="s">
        <v>88</v>
      </c>
      <c r="C72" s="132">
        <v>0.44</v>
      </c>
      <c r="D72" s="132" t="s">
        <v>161</v>
      </c>
      <c r="E72" s="132">
        <v>1.3</v>
      </c>
      <c r="F72" s="133" t="s">
        <v>274</v>
      </c>
      <c r="G72" s="134">
        <v>0.45</v>
      </c>
      <c r="H72" s="132" t="s">
        <v>276</v>
      </c>
      <c r="I72" s="135">
        <v>0.43</v>
      </c>
      <c r="J72" s="99"/>
      <c r="K72" s="99"/>
      <c r="L72" s="99"/>
      <c r="M72" s="99"/>
      <c r="N72" s="99"/>
    </row>
    <row r="73" spans="1:14" x14ac:dyDescent="0.25">
      <c r="A73" s="130" t="s">
        <v>138</v>
      </c>
      <c r="B73" s="131" t="s">
        <v>140</v>
      </c>
      <c r="C73" s="132">
        <v>0.46</v>
      </c>
      <c r="D73" s="132" t="s">
        <v>151</v>
      </c>
      <c r="E73" s="132">
        <v>1.3</v>
      </c>
      <c r="F73" s="133" t="s">
        <v>274</v>
      </c>
      <c r="G73" s="134">
        <v>0.45</v>
      </c>
      <c r="H73" s="132" t="s">
        <v>276</v>
      </c>
      <c r="I73" s="135">
        <v>0.43</v>
      </c>
      <c r="J73" s="99"/>
      <c r="K73" s="99"/>
      <c r="L73" s="99"/>
      <c r="M73" s="99"/>
      <c r="N73" s="99"/>
    </row>
    <row r="74" spans="1:14" x14ac:dyDescent="0.25">
      <c r="A74" s="130" t="s">
        <v>42</v>
      </c>
      <c r="B74" s="131" t="s">
        <v>139</v>
      </c>
      <c r="C74" s="132">
        <v>0.34</v>
      </c>
      <c r="D74" s="132" t="s">
        <v>161</v>
      </c>
      <c r="E74" s="132">
        <v>1.3</v>
      </c>
      <c r="F74" s="133" t="s">
        <v>274</v>
      </c>
      <c r="G74" s="134">
        <v>0.45</v>
      </c>
      <c r="H74" s="132" t="s">
        <v>276</v>
      </c>
      <c r="I74" s="135">
        <v>0.43</v>
      </c>
      <c r="J74" s="99"/>
      <c r="K74" s="99"/>
      <c r="L74" s="99"/>
      <c r="M74" s="99"/>
      <c r="N74" s="99"/>
    </row>
    <row r="75" spans="1:14" x14ac:dyDescent="0.25">
      <c r="A75" s="130" t="s">
        <v>43</v>
      </c>
      <c r="B75" s="131" t="s">
        <v>162</v>
      </c>
      <c r="C75" s="132">
        <v>0.5</v>
      </c>
      <c r="D75" s="132" t="s">
        <v>161</v>
      </c>
      <c r="E75" s="132">
        <v>1.56</v>
      </c>
      <c r="F75" s="133" t="s">
        <v>274</v>
      </c>
      <c r="G75" s="134">
        <v>0.53</v>
      </c>
      <c r="H75" s="132" t="s">
        <v>275</v>
      </c>
      <c r="I75" s="135">
        <v>0.25</v>
      </c>
      <c r="J75" s="99"/>
      <c r="K75" s="99"/>
      <c r="L75" s="99"/>
      <c r="M75" s="99"/>
      <c r="N75" s="99"/>
    </row>
    <row r="76" spans="1:14" x14ac:dyDescent="0.25">
      <c r="A76" s="130" t="s">
        <v>44</v>
      </c>
      <c r="B76" s="131" t="s">
        <v>89</v>
      </c>
      <c r="C76" s="132">
        <v>0.57999999999999996</v>
      </c>
      <c r="D76" s="132" t="s">
        <v>161</v>
      </c>
      <c r="E76" s="132">
        <v>1.56</v>
      </c>
      <c r="F76" s="133" t="s">
        <v>274</v>
      </c>
      <c r="G76" s="134">
        <v>0.3</v>
      </c>
      <c r="H76" s="132" t="s">
        <v>277</v>
      </c>
      <c r="I76" s="135">
        <v>0.25</v>
      </c>
      <c r="J76" s="99"/>
      <c r="K76" s="99"/>
      <c r="L76" s="99"/>
      <c r="M76" s="99"/>
      <c r="N76" s="99"/>
    </row>
    <row r="77" spans="1:14" x14ac:dyDescent="0.25">
      <c r="A77" s="130" t="s">
        <v>47</v>
      </c>
      <c r="B77" s="131" t="s">
        <v>141</v>
      </c>
      <c r="C77" s="132">
        <v>0.37</v>
      </c>
      <c r="D77" s="132" t="s">
        <v>161</v>
      </c>
      <c r="E77" s="132">
        <v>1.3</v>
      </c>
      <c r="F77" s="133" t="s">
        <v>274</v>
      </c>
      <c r="G77" s="134">
        <v>0.55000000000000004</v>
      </c>
      <c r="H77" s="132" t="s">
        <v>152</v>
      </c>
      <c r="I77" s="135">
        <v>0.43</v>
      </c>
      <c r="J77" s="99"/>
      <c r="K77" s="99"/>
      <c r="L77" s="99"/>
      <c r="M77" s="99"/>
      <c r="N77" s="99"/>
    </row>
    <row r="78" spans="1:14" x14ac:dyDescent="0.25">
      <c r="A78" s="130" t="s">
        <v>45</v>
      </c>
      <c r="B78" s="131" t="s">
        <v>96</v>
      </c>
      <c r="C78" s="132">
        <v>0.37</v>
      </c>
      <c r="D78" s="132" t="s">
        <v>161</v>
      </c>
      <c r="E78" s="132">
        <v>1.3</v>
      </c>
      <c r="F78" s="133" t="s">
        <v>274</v>
      </c>
      <c r="G78" s="134">
        <v>0.55000000000000004</v>
      </c>
      <c r="H78" s="132" t="s">
        <v>152</v>
      </c>
      <c r="I78" s="135">
        <v>0.43</v>
      </c>
      <c r="J78" s="99"/>
      <c r="K78" s="99"/>
      <c r="L78" s="99"/>
      <c r="M78" s="99"/>
      <c r="N78" s="99"/>
    </row>
    <row r="79" spans="1:14" x14ac:dyDescent="0.25">
      <c r="A79" s="130" t="s">
        <v>46</v>
      </c>
      <c r="B79" s="131" t="s">
        <v>95</v>
      </c>
      <c r="C79" s="132">
        <v>0.38</v>
      </c>
      <c r="D79" s="132" t="s">
        <v>161</v>
      </c>
      <c r="E79" s="132">
        <v>1.3</v>
      </c>
      <c r="F79" s="133" t="s">
        <v>274</v>
      </c>
      <c r="G79" s="134">
        <v>0.55000000000000004</v>
      </c>
      <c r="H79" s="132" t="s">
        <v>153</v>
      </c>
      <c r="I79" s="135">
        <v>0.43</v>
      </c>
      <c r="J79" s="99"/>
      <c r="K79" s="99"/>
      <c r="L79" s="99"/>
      <c r="M79" s="99"/>
      <c r="N79" s="99"/>
    </row>
    <row r="80" spans="1:14" x14ac:dyDescent="0.25">
      <c r="A80" s="130" t="s">
        <v>48</v>
      </c>
      <c r="B80" s="131" t="s">
        <v>94</v>
      </c>
      <c r="C80" s="132">
        <v>0.36</v>
      </c>
      <c r="D80" s="132" t="s">
        <v>161</v>
      </c>
      <c r="E80" s="132">
        <v>1.3</v>
      </c>
      <c r="F80" s="133" t="s">
        <v>274</v>
      </c>
      <c r="G80" s="134">
        <v>0.55000000000000004</v>
      </c>
      <c r="H80" s="132" t="s">
        <v>153</v>
      </c>
      <c r="I80" s="135">
        <v>0.43</v>
      </c>
      <c r="J80" s="99"/>
      <c r="K80" s="99"/>
      <c r="L80" s="99"/>
      <c r="M80" s="99"/>
      <c r="N80" s="99"/>
    </row>
    <row r="81" spans="1:14" x14ac:dyDescent="0.25">
      <c r="A81" s="130" t="s">
        <v>49</v>
      </c>
      <c r="B81" s="131" t="s">
        <v>142</v>
      </c>
      <c r="C81" s="132">
        <v>0.37</v>
      </c>
      <c r="D81" s="132" t="s">
        <v>161</v>
      </c>
      <c r="E81" s="132">
        <v>1.56</v>
      </c>
      <c r="F81" s="133" t="s">
        <v>274</v>
      </c>
      <c r="G81" s="134">
        <v>0.43</v>
      </c>
      <c r="H81" s="132" t="s">
        <v>278</v>
      </c>
      <c r="I81" s="135">
        <v>0.25</v>
      </c>
      <c r="J81" s="99"/>
      <c r="K81" s="99"/>
      <c r="L81" s="99"/>
      <c r="M81" s="99"/>
      <c r="N81" s="99"/>
    </row>
    <row r="82" spans="1:14" x14ac:dyDescent="0.25">
      <c r="A82" s="130" t="s">
        <v>158</v>
      </c>
      <c r="B82" s="131" t="s">
        <v>159</v>
      </c>
      <c r="C82" s="132">
        <v>0.35</v>
      </c>
      <c r="D82" s="132" t="s">
        <v>160</v>
      </c>
      <c r="E82" s="132">
        <v>1.3</v>
      </c>
      <c r="F82" s="133" t="s">
        <v>274</v>
      </c>
      <c r="G82" s="134">
        <v>0.55000000000000004</v>
      </c>
      <c r="H82" s="132" t="s">
        <v>153</v>
      </c>
      <c r="I82" s="135">
        <v>0.43</v>
      </c>
      <c r="J82" s="99"/>
      <c r="K82" s="99"/>
      <c r="L82" s="99"/>
      <c r="M82" s="99"/>
      <c r="N82" s="99"/>
    </row>
    <row r="83" spans="1:14" x14ac:dyDescent="0.25">
      <c r="A83" s="130" t="s">
        <v>156</v>
      </c>
      <c r="B83" s="131" t="s">
        <v>157</v>
      </c>
      <c r="C83" s="132">
        <v>0.34</v>
      </c>
      <c r="D83" s="132" t="s">
        <v>161</v>
      </c>
      <c r="E83" s="132">
        <v>1.3</v>
      </c>
      <c r="F83" s="133" t="s">
        <v>274</v>
      </c>
      <c r="G83" s="134">
        <v>0.55000000000000004</v>
      </c>
      <c r="H83" s="132" t="s">
        <v>153</v>
      </c>
      <c r="I83" s="135">
        <v>0.43</v>
      </c>
      <c r="J83" s="99"/>
      <c r="K83" s="99"/>
      <c r="L83" s="99"/>
      <c r="M83" s="99"/>
      <c r="N83" s="99"/>
    </row>
    <row r="84" spans="1:14" x14ac:dyDescent="0.25">
      <c r="A84" s="130" t="s">
        <v>92</v>
      </c>
      <c r="B84" s="131" t="s">
        <v>93</v>
      </c>
      <c r="C84" s="132">
        <v>0.31</v>
      </c>
      <c r="D84" s="132" t="s">
        <v>161</v>
      </c>
      <c r="E84" s="132">
        <v>1.3</v>
      </c>
      <c r="F84" s="133" t="s">
        <v>274</v>
      </c>
      <c r="G84" s="134">
        <v>0.55000000000000004</v>
      </c>
      <c r="H84" s="132" t="s">
        <v>153</v>
      </c>
      <c r="I84" s="135">
        <v>0.43</v>
      </c>
      <c r="J84" s="99"/>
      <c r="K84" s="99"/>
      <c r="L84" s="99"/>
      <c r="M84" s="99"/>
      <c r="N84" s="99"/>
    </row>
    <row r="85" spans="1:14" x14ac:dyDescent="0.25">
      <c r="A85" s="130" t="s">
        <v>50</v>
      </c>
      <c r="B85" s="131" t="s">
        <v>143</v>
      </c>
      <c r="C85" s="132">
        <v>0.43</v>
      </c>
      <c r="D85" s="132" t="s">
        <v>161</v>
      </c>
      <c r="E85" s="132">
        <v>1.56</v>
      </c>
      <c r="F85" s="133" t="s">
        <v>274</v>
      </c>
      <c r="G85" s="134">
        <v>0.53</v>
      </c>
      <c r="H85" s="132" t="s">
        <v>275</v>
      </c>
      <c r="I85" s="135">
        <v>0.25</v>
      </c>
      <c r="J85" s="99"/>
      <c r="K85" s="99"/>
      <c r="L85" s="99"/>
      <c r="M85" s="99"/>
      <c r="N85" s="99"/>
    </row>
    <row r="86" spans="1:14" x14ac:dyDescent="0.25">
      <c r="A86" s="130" t="s">
        <v>51</v>
      </c>
      <c r="B86" s="131" t="s">
        <v>91</v>
      </c>
      <c r="C86" s="132">
        <v>0.38</v>
      </c>
      <c r="D86" s="132" t="s">
        <v>161</v>
      </c>
      <c r="E86" s="132">
        <v>1.56</v>
      </c>
      <c r="F86" s="133" t="s">
        <v>274</v>
      </c>
      <c r="G86" s="134">
        <v>0.6</v>
      </c>
      <c r="H86" s="132" t="s">
        <v>279</v>
      </c>
      <c r="I86" s="135">
        <v>0.25</v>
      </c>
      <c r="J86" s="99"/>
      <c r="K86" s="99"/>
      <c r="L86" s="99"/>
      <c r="M86" s="99"/>
      <c r="N86" s="99"/>
    </row>
    <row r="87" spans="1:14" x14ac:dyDescent="0.25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99"/>
      <c r="K87" s="99"/>
      <c r="L87" s="99"/>
      <c r="M87" s="99"/>
      <c r="N87" s="99"/>
    </row>
    <row r="88" spans="1:14" x14ac:dyDescent="0.25">
      <c r="A88" s="130" t="s">
        <v>148</v>
      </c>
      <c r="B88" s="138"/>
      <c r="C88" s="132">
        <v>0.42</v>
      </c>
      <c r="D88" s="132" t="s">
        <v>161</v>
      </c>
      <c r="E88" s="132">
        <v>1.3</v>
      </c>
      <c r="F88" s="133" t="s">
        <v>274</v>
      </c>
      <c r="G88" s="139"/>
      <c r="H88" s="138"/>
      <c r="I88" s="140"/>
    </row>
    <row r="89" spans="1:14" ht="15.75" thickBot="1" x14ac:dyDescent="0.3">
      <c r="A89" s="141" t="s">
        <v>149</v>
      </c>
      <c r="B89" s="142"/>
      <c r="C89" s="143">
        <v>0.56999999999999995</v>
      </c>
      <c r="D89" s="144" t="s">
        <v>161</v>
      </c>
      <c r="E89" s="143">
        <v>1.56</v>
      </c>
      <c r="F89" s="143" t="s">
        <v>274</v>
      </c>
      <c r="G89" s="142"/>
      <c r="H89" s="142"/>
      <c r="I89" s="145"/>
    </row>
    <row r="93" spans="1:14" x14ac:dyDescent="0.25">
      <c r="A93" s="130" t="s">
        <v>208</v>
      </c>
    </row>
    <row r="94" spans="1:14" x14ac:dyDescent="0.25">
      <c r="A94" s="130" t="s">
        <v>209</v>
      </c>
    </row>
    <row r="95" spans="1:14" x14ac:dyDescent="0.25">
      <c r="A95" s="13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G4" workbookViewId="0">
      <selection activeCell="D13" sqref="D1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6" t="s">
        <v>207</v>
      </c>
      <c r="B5" s="147" t="s">
        <v>250</v>
      </c>
      <c r="C5" s="148" t="str">
        <f>Calculateur!S2</f>
        <v>ΔStock moyen de long terme (tCO₂/ha)</v>
      </c>
      <c r="D5" s="148" t="str">
        <f>Calculateur!T2</f>
        <v>Δstock CO₂ 30 ans (tCO₂/ha)</v>
      </c>
      <c r="E5" s="148" t="s">
        <v>228</v>
      </c>
      <c r="F5" s="148" t="s">
        <v>239</v>
      </c>
      <c r="G5" s="148" t="s">
        <v>240</v>
      </c>
      <c r="H5" s="149" t="s">
        <v>241</v>
      </c>
      <c r="I5" s="150" t="s">
        <v>242</v>
      </c>
      <c r="J5" s="151" t="s">
        <v>243</v>
      </c>
      <c r="K5" s="152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3" t="str">
        <f>IF('Données projet'!$B$9="","",'Données projet'!$B$9)</f>
        <v>Mélèze d'Europe</v>
      </c>
      <c r="B6" s="154">
        <f>'Données projet'!D9</f>
        <v>1.2008110399999998</v>
      </c>
      <c r="C6" s="155">
        <f ca="1">IF(OR('Données projet'!B9="",'Données projet'!C9="",'Données projet'!C9=0%),0,Calculateur!S3)</f>
        <v>175.05987582828078</v>
      </c>
      <c r="D6" s="155">
        <f>IF(OR('Données projet'!B9="",'Données projet'!C9="",'Données projet'!C9=0%),0,Calculateur!T3)</f>
        <v>268.54782308462387</v>
      </c>
      <c r="E6" s="155">
        <f ca="1">MIN(C6,D6)</f>
        <v>175.05987582828078</v>
      </c>
      <c r="F6" s="155">
        <f ca="1">E6*B6</f>
        <v>210.21383155562867</v>
      </c>
      <c r="G6" s="155">
        <f ca="1">F6*(100%-'Données projet'!$C$24)*(100%-'Données projet'!$C$25)*(100%-'Données projet'!$C$26)*(100%-'Données projet'!$C$27)</f>
        <v>189.19244840006581</v>
      </c>
      <c r="H6" s="156">
        <f>IF(OR('Données projet'!B9="",'Données projet'!C9="",'Données projet'!C9=0%),0,AVERAGE(Calculateur!$AC$3:$AC$33)*B6)</f>
        <v>3.5822467505225215</v>
      </c>
      <c r="I6" s="157">
        <f>H6*(100%-'Données projet'!$C$24)*(100%-'Données projet'!$C$25)*(100%-'Données projet'!$C$26)*(100%-'Données projet'!$C$27)</f>
        <v>3.2240220754702693</v>
      </c>
      <c r="J6" s="158">
        <f>IF(OR('Données projet'!B9="",'Données projet'!C9="",'Données projet'!C9=0%),0,SUM(Calculateur!$V$3:$V$33)*VLOOKUP('Données projet'!$B$9,Paramètres!$A$1:$I$89,9,0)*B6)</f>
        <v>66.092639641599987</v>
      </c>
      <c r="K6" s="159">
        <f>J6*(100%-'Données projet'!$C$24)*(100%-'Données projet'!$C$25)*(100%-'Données projet'!$C$26)*(100%-'Données projet'!$C$27)</f>
        <v>59.483375677439987</v>
      </c>
      <c r="L6" s="160">
        <f ca="1">G6+I6+K6</f>
        <v>251.89984615297607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1" t="str">
        <f>IF('Données projet'!$B$10="","",'Données projet'!$B$10)</f>
        <v>Chêne sessile</v>
      </c>
      <c r="B7" s="162">
        <f>'Données projet'!D10</f>
        <v>0.70010628999999991</v>
      </c>
      <c r="C7" s="155">
        <f ca="1">IF(OR('Données projet'!B10="",'Données projet'!C10="",'Données projet'!C10=0%),0,Calculateur!AN3)</f>
        <v>302.55602998433079</v>
      </c>
      <c r="D7" s="155">
        <f>IF(OR('Données projet'!B10="",'Données projet'!C10="",'Données projet'!C10=0%),0,Calculateur!AO3)</f>
        <v>172.32171001882188</v>
      </c>
      <c r="E7" s="155">
        <f t="shared" ref="E7:E15" ca="1" si="0">MIN(C7,D7)</f>
        <v>172.32171001882188</v>
      </c>
      <c r="F7" s="155">
        <f t="shared" ref="F7:F15" ca="1" si="1">E7*B7</f>
        <v>120.6435130877332</v>
      </c>
      <c r="G7" s="155">
        <f ca="1">F7*(100%-'Données projet'!$C$24)*(100%-'Données projet'!$C$25)*(100%-'Données projet'!$C$26)*(100%-'Données projet'!$C$27)</f>
        <v>108.57916177895989</v>
      </c>
      <c r="H7" s="163">
        <f>IF(OR('Données projet'!B10="",'Données projet'!C10="",'Données projet'!C10=0%),0,AVERAGE(Calculateur!$AX$3:$AX$33)*B7)</f>
        <v>0</v>
      </c>
      <c r="I7" s="157">
        <f>H7*(100%-'Données projet'!$C$24)*(100%-'Données projet'!$C$25)*(100%-'Données projet'!$C$26)*(100%-'Données projet'!$C$27)</f>
        <v>0</v>
      </c>
      <c r="J7" s="158">
        <f>IF(OR('Données projet'!B10="",'Données projet'!C10="",'Données projet'!C10=0%),0,SUM(Calculateur!$AQ$3:$AQ$33)*VLOOKUP('Données projet'!$B$10,Paramètres!$A$1:$I$89,9,0)*B7)</f>
        <v>5.0757706024999996</v>
      </c>
      <c r="K7" s="159">
        <f>J7*(100%-'Données projet'!$C$24)*(100%-'Données projet'!$C$25)*(100%-'Données projet'!$C$26)*(100%-'Données projet'!$C$27)</f>
        <v>4.5681935422499995</v>
      </c>
      <c r="L7" s="160">
        <f t="shared" ref="L7:L15" ca="1" si="2">G7+I7+K7</f>
        <v>113.14735532120989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1" t="str">
        <f>IF('Données projet'!$B$11="","",'Données projet'!$B$11)</f>
        <v>Merisier</v>
      </c>
      <c r="B8" s="162">
        <f>'Données projet'!D11</f>
        <v>0.15010137999999998</v>
      </c>
      <c r="C8" s="155">
        <f ca="1">IF(OR('Données projet'!B11="",'Données projet'!C11="",'Données projet'!C11=0%),0,Calculateur!BI3)</f>
        <v>216.95993967070063</v>
      </c>
      <c r="D8" s="155">
        <f>IF(OR('Données projet'!B11="",'Données projet'!C11="",'Données projet'!C11=0%),0,Calculateur!BJ3)</f>
        <v>208.79744153433245</v>
      </c>
      <c r="E8" s="155">
        <f t="shared" ca="1" si="0"/>
        <v>208.79744153433245</v>
      </c>
      <c r="F8" s="155">
        <f t="shared" ca="1" si="1"/>
        <v>31.340784114772614</v>
      </c>
      <c r="G8" s="155">
        <f ca="1">F8*(100%-'Données projet'!$C$24)*(100%-'Données projet'!$C$25)*(100%-'Données projet'!$C$26)*(100%-'Données projet'!$C$27)</f>
        <v>28.206705703295352</v>
      </c>
      <c r="H8" s="163">
        <f>IF(OR('Données projet'!B11="",'Données projet'!C11="",'Données projet'!C11=0%),0,AVERAGE(Calculateur!$BS$3:$BS$33)*B8)</f>
        <v>0</v>
      </c>
      <c r="I8" s="157">
        <f>H8*(100%-'Données projet'!$C$24)*(100%-'Données projet'!$C$25)*(100%-'Données projet'!$C$26)*(100%-'Données projet'!$C$27)</f>
        <v>0</v>
      </c>
      <c r="J8" s="158">
        <f>IF(OR('Données projet'!B11="",'Données projet'!C11="",'Données projet'!C11=0%),0,SUM(Calculateur!$BL$3:$BL$33)*VLOOKUP('Données projet'!$B$11,Paramètres!$A$1:$I$89,9,0)*B8)</f>
        <v>2.0638939749999996</v>
      </c>
      <c r="K8" s="159">
        <f>J8*(100%-'Données projet'!$C$24)*(100%-'Données projet'!$C$25)*(100%-'Données projet'!$C$26)*(100%-'Données projet'!$C$27)</f>
        <v>1.8575045774999996</v>
      </c>
      <c r="L8" s="160">
        <f t="shared" ca="1" si="2"/>
        <v>30.064210280795351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1" t="str">
        <f>IF('Données projet'!$B$12="","",'Données projet'!$B$12)</f>
        <v>Alisier torminal</v>
      </c>
      <c r="B9" s="162">
        <f>'Données projet'!D12</f>
        <v>9.992086E-2</v>
      </c>
      <c r="C9" s="155">
        <f ca="1">IF(OR('Données projet'!B12="",'Données projet'!C12="",'Données projet'!C12=0%),0,Calculateur!CD3)</f>
        <v>329.13617179625538</v>
      </c>
      <c r="D9" s="155">
        <f>IF(OR('Données projet'!B12="",'Données projet'!C12="",'Données projet'!C12=0%),0,Calculateur!CE3)</f>
        <v>186.45728006007261</v>
      </c>
      <c r="E9" s="155">
        <f t="shared" ca="1" si="0"/>
        <v>186.45728006007261</v>
      </c>
      <c r="F9" s="155">
        <f t="shared" ca="1" si="1"/>
        <v>18.630971776863305</v>
      </c>
      <c r="G9" s="155">
        <f ca="1">F9*(100%-'Données projet'!$C$24)*(100%-'Données projet'!$C$25)*(100%-'Données projet'!$C$26)*(100%-'Données projet'!$C$27)</f>
        <v>16.767874599176974</v>
      </c>
      <c r="H9" s="163">
        <f>IF(OR('Données projet'!B12="",'Données projet'!C12="",'Données projet'!C12=0%),0,AVERAGE(Calculateur!$CN$3:$CN$33)*B9)</f>
        <v>0</v>
      </c>
      <c r="I9" s="157">
        <f>H9*(100%-'Données projet'!$C$24)*(100%-'Données projet'!$C$25)*(100%-'Données projet'!$C$26)*(100%-'Données projet'!$C$27)</f>
        <v>0</v>
      </c>
      <c r="J9" s="158">
        <f>IF(OR('Données projet'!B12="",'Données projet'!C12="",'Données projet'!C12=0%),0,SUM(Calculateur!$CG$3:$CG$33)*VLOOKUP('Données projet'!$B$12,Paramètres!$A$1:$I$89,9,0)*B9)</f>
        <v>0.72442623500000003</v>
      </c>
      <c r="K9" s="159">
        <f>J9*(100%-'Données projet'!$C$24)*(100%-'Données projet'!$C$25)*(100%-'Données projet'!$C$26)*(100%-'Données projet'!$C$27)</f>
        <v>0.65198361150000006</v>
      </c>
      <c r="L9" s="160">
        <f t="shared" ca="1" si="2"/>
        <v>17.419858210676974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1" t="str">
        <f>IF('Données projet'!$B$13="","",'Données projet'!$B$13)</f>
        <v/>
      </c>
      <c r="B10" s="162">
        <f>'Données projet'!D13</f>
        <v>0</v>
      </c>
      <c r="C10" s="155">
        <f>IF(OR('Données projet'!B13="",'Données projet'!C13="",'Données projet'!C13=0%),0,Calculateur!CY3)</f>
        <v>0</v>
      </c>
      <c r="D10" s="155">
        <f>IF(OR('Données projet'!B13="",'Données projet'!C13="",'Données projet'!C13=0%),0,Calculateur!CZ3)</f>
        <v>0</v>
      </c>
      <c r="E10" s="155">
        <f t="shared" si="0"/>
        <v>0</v>
      </c>
      <c r="F10" s="155">
        <f t="shared" si="1"/>
        <v>0</v>
      </c>
      <c r="G10" s="155">
        <f>F10*(100%-'Données projet'!$C$24)*(100%-'Données projet'!$C$25)*(100%-'Données projet'!$C$26)*(100%-'Données projet'!$C$27)</f>
        <v>0</v>
      </c>
      <c r="H10" s="163">
        <f>IF(OR('Données projet'!B13="",'Données projet'!C13="",'Données projet'!C13=0%),0,AVERAGE(Calculateur!$DI$3:$DI$33)*B10)</f>
        <v>0</v>
      </c>
      <c r="I10" s="157">
        <f>H10*(100%-'Données projet'!$C$24)*(100%-'Données projet'!$C$25)*(100%-'Données projet'!$C$26)*(100%-'Données projet'!$C$27)</f>
        <v>0</v>
      </c>
      <c r="J10" s="158">
        <f>IF(OR('Données projet'!B13="",'Données projet'!C13="",'Données projet'!C13=0%),0,SUM(Calculateur!$DB$3:$DB$33)*VLOOKUP('Données projet'!$B$13,Paramètres!$A$1:$I$89,9,0)*B10)</f>
        <v>0</v>
      </c>
      <c r="K10" s="159">
        <f>J10*(100%-'Données projet'!$C$24)*(100%-'Données projet'!$C$25)*(100%-'Données projet'!$C$26)*(100%-'Données projet'!$C$27)</f>
        <v>0</v>
      </c>
      <c r="L10" s="160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1" t="str">
        <f>IF('Données projet'!$B$14="","",'Données projet'!$B$14)</f>
        <v/>
      </c>
      <c r="B11" s="162">
        <f>'Données projet'!D14</f>
        <v>0</v>
      </c>
      <c r="C11" s="155">
        <f>IF(OR('Données projet'!B14="",'Données projet'!C14="",'Données projet'!C14=0%),0,Calculateur!DT3)</f>
        <v>0</v>
      </c>
      <c r="D11" s="155">
        <f>IF(OR('Données projet'!B14="",'Données projet'!C14="",'Données projet'!C14=0%),0,Calculateur!DU3)</f>
        <v>0</v>
      </c>
      <c r="E11" s="155">
        <f t="shared" si="0"/>
        <v>0</v>
      </c>
      <c r="F11" s="155">
        <f t="shared" si="1"/>
        <v>0</v>
      </c>
      <c r="G11" s="155">
        <f>F11*(100%-'Données projet'!$C$24)*(100%-'Données projet'!$C$25)*(100%-'Données projet'!$C$26)*(100%-'Données projet'!$C$27)</f>
        <v>0</v>
      </c>
      <c r="H11" s="163">
        <f>IF(OR('Données projet'!B14="",'Données projet'!C14="",'Données projet'!C14=0%),0,AVERAGE(Calculateur!$ED$3:$ED$33)*B11)</f>
        <v>0</v>
      </c>
      <c r="I11" s="157">
        <f>H11*(100%-'Données projet'!$C$24)*(100%-'Données projet'!$C$25)*(100%-'Données projet'!$C$26)*(100%-'Données projet'!$C$27)</f>
        <v>0</v>
      </c>
      <c r="J11" s="158">
        <f>IF(OR('Données projet'!B14="",'Données projet'!C14="",'Données projet'!C14=0%),0,SUM(Calculateur!$DW$3:$DW$33)*VLOOKUP('Données projet'!$B$14,Paramètres!$A$1:$I$89,9,0)*B11)</f>
        <v>0</v>
      </c>
      <c r="K11" s="159">
        <f>J11*(100%-'Données projet'!$C$24)*(100%-'Données projet'!$C$25)*(100%-'Données projet'!$C$26)*(100%-'Données projet'!$C$27)</f>
        <v>0</v>
      </c>
      <c r="L11" s="160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1" t="str">
        <f>IF('Données projet'!$B$15="","",'Données projet'!$B$15)</f>
        <v/>
      </c>
      <c r="B12" s="162">
        <f>'Données projet'!D15</f>
        <v>0</v>
      </c>
      <c r="C12" s="155">
        <f>IF(OR('Données projet'!B15="",'Données projet'!C15="",'Données projet'!C15=0%),0,Calculateur!EO3)</f>
        <v>0</v>
      </c>
      <c r="D12" s="155">
        <f>IF(OR('Données projet'!B15="",'Données projet'!C15="",'Données projet'!C15=0%),0,Calculateur!EP3)</f>
        <v>0</v>
      </c>
      <c r="E12" s="155">
        <f t="shared" si="0"/>
        <v>0</v>
      </c>
      <c r="F12" s="155">
        <f t="shared" si="1"/>
        <v>0</v>
      </c>
      <c r="G12" s="155">
        <f>F12*(100%-'Données projet'!$C$24)*(100%-'Données projet'!$C$25)*(100%-'Données projet'!$C$26)*(100%-'Données projet'!$C$27)</f>
        <v>0</v>
      </c>
      <c r="H12" s="163">
        <f>IF(OR('Données projet'!B15="",'Données projet'!C15="",'Données projet'!C15=0%),0,AVERAGE(Calculateur!$EY$3:$EY$33)*B12)</f>
        <v>0</v>
      </c>
      <c r="I12" s="157">
        <f>H12*(100%-'Données projet'!$C$24)*(100%-'Données projet'!$C$25)*(100%-'Données projet'!$C$26)*(100%-'Données projet'!$C$27)</f>
        <v>0</v>
      </c>
      <c r="J12" s="158">
        <f>IF(OR('Données projet'!B15="",'Données projet'!C15="",'Données projet'!C15=0%),0,SUM(Calculateur!$ER$3:$ER$33)*VLOOKUP('Données projet'!$B$15,Paramètres!$A$1:$I$89,9,0)*B12)</f>
        <v>0</v>
      </c>
      <c r="K12" s="159">
        <f>J12*(100%-'Données projet'!$C$24)*(100%-'Données projet'!$C$25)*(100%-'Données projet'!$C$26)*(100%-'Données projet'!$C$27)</f>
        <v>0</v>
      </c>
      <c r="L12" s="160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1" t="str">
        <f>IF('Données projet'!$B$16="","",'Données projet'!$B$16)</f>
        <v/>
      </c>
      <c r="B13" s="162">
        <f>'Données projet'!D16</f>
        <v>0</v>
      </c>
      <c r="C13" s="155">
        <f>IF(OR('Données projet'!B16="",'Données projet'!C16="",'Données projet'!C16=0%),0,Calculateur!FJ3)</f>
        <v>0</v>
      </c>
      <c r="D13" s="155">
        <f>IF(OR('Données projet'!B16="",'Données projet'!C16="",'Données projet'!C16=0%),0,Calculateur!FK3)</f>
        <v>0</v>
      </c>
      <c r="E13" s="155">
        <f t="shared" si="0"/>
        <v>0</v>
      </c>
      <c r="F13" s="155">
        <f t="shared" si="1"/>
        <v>0</v>
      </c>
      <c r="G13" s="155">
        <f>F13*(100%-'Données projet'!$C$24)*(100%-'Données projet'!$C$25)*(100%-'Données projet'!$C$26)*(100%-'Données projet'!$C$27)</f>
        <v>0</v>
      </c>
      <c r="H13" s="163">
        <f>IF(OR('Données projet'!B16="",'Données projet'!C16="",'Données projet'!C16=0%),0,AVERAGE(Calculateur!$FT$3:$FT$33)*B13)</f>
        <v>0</v>
      </c>
      <c r="I13" s="157">
        <f>H13*(100%-'Données projet'!$C$24)*(100%-'Données projet'!$C$25)*(100%-'Données projet'!$C$26)*(100%-'Données projet'!$C$27)</f>
        <v>0</v>
      </c>
      <c r="J13" s="158">
        <f>IF(OR('Données projet'!C16="",'Données projet'!C16=0%),0,SUM(Calculateur!$FM$3:$FM$33)*VLOOKUP('Données projet'!$B$16,Paramètres!$A$1:$I$89,9,0)*B13)</f>
        <v>0</v>
      </c>
      <c r="K13" s="159">
        <f>J13*(100%-'Données projet'!$C$24)*(100%-'Données projet'!$C$25)*(100%-'Données projet'!$C$26)*(100%-'Données projet'!$C$27)</f>
        <v>0</v>
      </c>
      <c r="L13" s="160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1" t="str">
        <f>IF('Données projet'!$B$17="","",'Données projet'!$B$17)</f>
        <v/>
      </c>
      <c r="B14" s="162">
        <f>'Données projet'!D17</f>
        <v>0</v>
      </c>
      <c r="C14" s="155">
        <f>IF(OR('Données projet'!B17="",'Données projet'!C17="",'Données projet'!C17=0%),0,Calculateur!GE3)</f>
        <v>0</v>
      </c>
      <c r="D14" s="155">
        <f>IF(OR('Données projet'!B17="",'Données projet'!C17="",'Données projet'!C17=0%),0,Calculateur!GF3)</f>
        <v>0</v>
      </c>
      <c r="E14" s="155">
        <f t="shared" si="0"/>
        <v>0</v>
      </c>
      <c r="F14" s="155">
        <f t="shared" si="1"/>
        <v>0</v>
      </c>
      <c r="G14" s="155">
        <f>F14*(100%-'Données projet'!$C$24)*(100%-'Données projet'!$C$25)*(100%-'Données projet'!$C$26)*(100%-'Données projet'!$C$27)</f>
        <v>0</v>
      </c>
      <c r="H14" s="163">
        <f>IF(OR('Données projet'!B17="",'Données projet'!C17="",'Données projet'!C17=0%),0,AVERAGE(Calculateur!$GO$3:$GO$33)*B14)</f>
        <v>0</v>
      </c>
      <c r="I14" s="157">
        <f>H14*(100%-'Données projet'!$C$24)*(100%-'Données projet'!$C$25)*(100%-'Données projet'!$C$26)*(100%-'Données projet'!$C$27)</f>
        <v>0</v>
      </c>
      <c r="J14" s="158">
        <f>IF(OR('Données projet'!B17="",'Données projet'!C17="",'Données projet'!C17=0%),0,SUM(Calculateur!$GH$3:$GH$33)*VLOOKUP('Données projet'!$B$17,Paramètres!$A$1:$I$89,9,0)*B14)</f>
        <v>0</v>
      </c>
      <c r="K14" s="159">
        <f>J14*(100%-'Données projet'!$C$24)*(100%-'Données projet'!$C$25)*(100%-'Données projet'!$C$26)*(100%-'Données projet'!$C$27)</f>
        <v>0</v>
      </c>
      <c r="L14" s="160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4" t="str">
        <f>IF('Données projet'!B18="","",'Données projet'!B18)</f>
        <v/>
      </c>
      <c r="B15" s="165">
        <f>'Données projet'!D18</f>
        <v>0</v>
      </c>
      <c r="C15" s="166">
        <f>IF(OR('Données projet'!B18="",'Données projet'!C18="",'Données projet'!C18=0%),0,Calculateur!GZ3)</f>
        <v>0</v>
      </c>
      <c r="D15" s="166">
        <f>IF(OR('Données projet'!B18="",'Données projet'!C18="",'Données projet'!C18=0%),0,Calculateur!HA3)</f>
        <v>0</v>
      </c>
      <c r="E15" s="166">
        <f t="shared" si="0"/>
        <v>0</v>
      </c>
      <c r="F15" s="167">
        <f t="shared" si="1"/>
        <v>0</v>
      </c>
      <c r="G15" s="167">
        <f>F15*(100%-'Données projet'!$C$24)*(100%-'Données projet'!$C$25)*(100%-'Données projet'!$C$26)*(100%-'Données projet'!$C$27)</f>
        <v>0</v>
      </c>
      <c r="H15" s="168">
        <f>IF(OR('Données projet'!B18="",'Données projet'!C18="",'Données projet'!C18=0%),0,AVERAGE(Calculateur!$HJ$3:$HJ$33)*B15)</f>
        <v>0</v>
      </c>
      <c r="I15" s="169">
        <f>H15*(100%-'Données projet'!$C$24)*(100%-'Données projet'!$C$25)*(100%-'Données projet'!$C$26)*(100%-'Données projet'!$C$27)</f>
        <v>0</v>
      </c>
      <c r="J15" s="170">
        <f>IF(OR('Données projet'!B18="",'Données projet'!C18="",'Données projet'!C18=0%),0,SUM(Calculateur!$HC$3:$HC$33)*VLOOKUP('Données projet'!$B$18,Paramètres!$A$1:$I$89,9,0)*B15)</f>
        <v>0</v>
      </c>
      <c r="K15" s="171">
        <f>J15*(100%-'Données projet'!$C$24)*(100%-'Données projet'!$C$25)*(100%-'Données projet'!$C$26)*(100%-'Données projet'!$C$27)</f>
        <v>0</v>
      </c>
      <c r="L15" s="172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5"/>
      <c r="B16" s="232"/>
      <c r="C16" s="233"/>
      <c r="D16" s="25"/>
      <c r="E16" s="25"/>
      <c r="F16" s="173">
        <f t="shared" ref="F16:L16" ca="1" si="3">SUM(F6:F15)</f>
        <v>380.82910053499779</v>
      </c>
      <c r="G16" s="174">
        <f t="shared" ca="1" si="3"/>
        <v>342.74619048149805</v>
      </c>
      <c r="H16" s="175">
        <f t="shared" si="3"/>
        <v>3.5822467505225215</v>
      </c>
      <c r="I16" s="175">
        <f t="shared" si="3"/>
        <v>3.2240220754702693</v>
      </c>
      <c r="J16" s="176">
        <f t="shared" si="3"/>
        <v>73.956730454099983</v>
      </c>
      <c r="K16" s="176">
        <f t="shared" si="3"/>
        <v>66.561057408689976</v>
      </c>
      <c r="L16" s="177">
        <f t="shared" ca="1" si="3"/>
        <v>412.53126996565828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8" t="str">
        <f>A6</f>
        <v>Mélèze d'Europe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8" t="str">
        <f>A7</f>
        <v>Chêne sessile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8" t="str">
        <f>A8</f>
        <v>Merisier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8" t="str">
        <f>A9</f>
        <v>Alisier torminal</v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8" t="str">
        <f>A10</f>
        <v/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8" t="str">
        <f>A11</f>
        <v/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8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8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8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8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A131" zoomScale="90" zoomScaleNormal="90" workbookViewId="0">
      <selection activeCell="I20" sqref="I2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1" customFormat="1" x14ac:dyDescent="0.25">
      <c r="A3" s="98"/>
      <c r="B3" s="98"/>
      <c r="C3" s="98"/>
      <c r="D3" s="98"/>
      <c r="E3" s="98"/>
      <c r="F3" s="179"/>
      <c r="G3" s="179"/>
      <c r="H3" s="180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</row>
    <row r="4" spans="1:42" s="201" customFormat="1" x14ac:dyDescent="0.25">
      <c r="A4" s="98"/>
      <c r="B4" s="98"/>
      <c r="C4" s="98"/>
      <c r="D4" s="98"/>
      <c r="E4" s="98"/>
      <c r="G4" s="179"/>
      <c r="H4" s="325" t="s">
        <v>315</v>
      </c>
      <c r="I4" s="325"/>
      <c r="K4" s="322" t="s">
        <v>253</v>
      </c>
      <c r="L4" s="323"/>
      <c r="M4" s="267">
        <v>4.4999999999999998E-2</v>
      </c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</row>
    <row r="5" spans="1:42" s="201" customFormat="1" x14ac:dyDescent="0.25">
      <c r="A5" s="98"/>
      <c r="B5" s="98"/>
      <c r="C5" s="98"/>
      <c r="D5" s="98"/>
      <c r="E5" s="98"/>
      <c r="G5" s="179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</row>
    <row r="6" spans="1:42" s="201" customFormat="1" ht="15.75" thickBot="1" x14ac:dyDescent="0.3">
      <c r="A6" s="98"/>
      <c r="B6" s="98"/>
      <c r="C6" s="98"/>
      <c r="D6" s="98"/>
      <c r="E6" s="98"/>
      <c r="F6" s="228"/>
      <c r="G6" s="179"/>
      <c r="H6" s="181"/>
      <c r="I6" s="181"/>
      <c r="J6" s="181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</row>
    <row r="7" spans="1:42" s="201" customFormat="1" ht="27.75" customHeight="1" thickBot="1" x14ac:dyDescent="0.4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33" t="s">
        <v>310</v>
      </c>
      <c r="S7" s="334"/>
      <c r="T7" s="334"/>
      <c r="U7" s="334"/>
      <c r="V7" s="335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</row>
    <row r="8" spans="1:42" x14ac:dyDescent="0.25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4" t="s">
        <v>262</v>
      </c>
      <c r="U9" s="187" t="s">
        <v>249</v>
      </c>
      <c r="V9" s="184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4" t="str">
        <f>B14</f>
        <v>Mélèze d'Europe</v>
      </c>
      <c r="T10" s="188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2660.1713864881458</v>
      </c>
      <c r="U10" s="189">
        <f>'Données projet'!D9</f>
        <v>1.2008110399999998</v>
      </c>
      <c r="V10" s="188">
        <f>U10*T10</f>
        <v>3194.3631691870719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4" t="str">
        <f>B45</f>
        <v>Chêne sessile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513.68058214193627</v>
      </c>
      <c r="U11" s="189">
        <f>'Données projet'!D10</f>
        <v>0.70010628999999991</v>
      </c>
      <c r="V11" s="188">
        <f t="shared" ref="V11" si="0">U11*T11</f>
        <v>359.63100660843122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4" t="str">
        <f>B76</f>
        <v>Merisier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2439.5309881713192</v>
      </c>
      <c r="U12" s="189">
        <f>'Données projet'!D11</f>
        <v>0.15010137999999998</v>
      </c>
      <c r="V12" s="188">
        <f t="shared" ref="V12:V19" si="1">U12*T12</f>
        <v>366.17696787727863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0"/>
      <c r="J13" s="25"/>
      <c r="K13" s="224"/>
      <c r="L13" s="183" t="s">
        <v>257</v>
      </c>
      <c r="M13" s="25"/>
      <c r="N13" s="25"/>
      <c r="O13" s="25"/>
      <c r="P13" s="25"/>
      <c r="Q13" s="264"/>
      <c r="R13" s="25"/>
      <c r="S13" s="184" t="str">
        <f>B107</f>
        <v>Alisier torminal</v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591.11058663896722</v>
      </c>
      <c r="U13" s="189">
        <f>'Données projet'!D12</f>
        <v>9.992086E-2</v>
      </c>
      <c r="V13" s="188">
        <f t="shared" si="1"/>
        <v>59.064278172070111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5" t="str">
        <f>IF('Données projet'!$B$9="","",'Données projet'!$B$9)</f>
        <v>Mélèze d'Europe</v>
      </c>
      <c r="C14" s="5"/>
      <c r="D14" s="5"/>
      <c r="E14" s="5"/>
      <c r="F14" s="260"/>
      <c r="G14" s="220"/>
      <c r="H14" s="184" t="s">
        <v>178</v>
      </c>
      <c r="I14" s="184" t="s">
        <v>290</v>
      </c>
      <c r="J14" s="214"/>
      <c r="K14" s="182"/>
      <c r="L14" s="216"/>
      <c r="M14" s="25"/>
      <c r="N14" s="25"/>
      <c r="O14" s="5"/>
      <c r="P14" s="5"/>
      <c r="Q14" s="265"/>
      <c r="R14" s="5"/>
      <c r="S14" s="184" t="str">
        <f>B138</f>
        <v/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9">
        <f>'Données projet'!D13</f>
        <v>0</v>
      </c>
      <c r="V14" s="188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0"/>
      <c r="G15" s="326" t="s">
        <v>318</v>
      </c>
      <c r="H15" s="202">
        <v>0</v>
      </c>
      <c r="I15" s="203">
        <v>0</v>
      </c>
      <c r="J15" s="215"/>
      <c r="K15" s="224"/>
      <c r="L15" s="216"/>
      <c r="M15" s="25"/>
      <c r="N15" s="25"/>
      <c r="O15" s="25"/>
      <c r="P15" s="25"/>
      <c r="Q15" s="264"/>
      <c r="R15" s="25"/>
      <c r="S15" s="184" t="str">
        <f>B169</f>
        <v/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9">
        <f>'Données projet'!D14</f>
        <v>0</v>
      </c>
      <c r="V15" s="188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26"/>
      <c r="H16" s="202"/>
      <c r="I16" s="203"/>
      <c r="J16" s="215"/>
      <c r="K16" s="224"/>
      <c r="L16" s="322" t="s">
        <v>254</v>
      </c>
      <c r="M16" s="323"/>
      <c r="N16" s="2">
        <v>100</v>
      </c>
      <c r="O16" s="25"/>
      <c r="P16" s="25"/>
      <c r="Q16" s="264"/>
      <c r="R16" s="25"/>
      <c r="S16" s="184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9">
        <f>'Données projet'!D15</f>
        <v>0</v>
      </c>
      <c r="V16" s="188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9">
        <v>0</v>
      </c>
      <c r="B17" s="212" t="s">
        <v>132</v>
      </c>
      <c r="C17" s="211" t="s">
        <v>132</v>
      </c>
      <c r="D17" s="210" t="s">
        <v>132</v>
      </c>
      <c r="E17" s="205"/>
      <c r="F17" s="260"/>
      <c r="G17" s="326"/>
      <c r="J17" s="215"/>
      <c r="K17" s="224"/>
      <c r="L17" s="293" t="s">
        <v>289</v>
      </c>
      <c r="M17" s="295"/>
      <c r="N17" s="186">
        <f>VLOOKUP(N16,Calculateur!$A$2:$H$153,3,0)/VLOOKUP('Scénario référence'!$G$15,Paramètres!A1:I89,3,0)/VLOOKUP('Scénario référence'!$G$15,Paramètres!A1:I89,5,0)</f>
        <v>99.999999999999915</v>
      </c>
      <c r="O17" s="25"/>
      <c r="P17" s="25"/>
      <c r="Q17" s="264"/>
      <c r="R17" s="25"/>
      <c r="S17" s="184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9">
        <f>'Données projet'!D16</f>
        <v>0</v>
      </c>
      <c r="V17" s="188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9">
        <v>1</v>
      </c>
      <c r="B18" s="212" t="s">
        <v>132</v>
      </c>
      <c r="C18" s="211" t="s">
        <v>132</v>
      </c>
      <c r="D18" s="210" t="s">
        <v>132</v>
      </c>
      <c r="E18" s="205"/>
      <c r="F18" s="260"/>
      <c r="G18" s="326"/>
      <c r="J18" s="215"/>
      <c r="K18" s="224"/>
      <c r="L18" s="293" t="s">
        <v>255</v>
      </c>
      <c r="M18" s="295"/>
      <c r="N18" s="204">
        <v>20</v>
      </c>
      <c r="O18" s="25"/>
      <c r="P18" s="25"/>
      <c r="Q18" s="264"/>
      <c r="R18" s="25"/>
      <c r="S18" s="184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9">
        <f>'Données projet'!D17</f>
        <v>0</v>
      </c>
      <c r="V18" s="188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9">
        <v>2</v>
      </c>
      <c r="B19" s="212" t="s">
        <v>132</v>
      </c>
      <c r="C19" s="211" t="s">
        <v>132</v>
      </c>
      <c r="D19" s="210" t="s">
        <v>132</v>
      </c>
      <c r="E19" s="205"/>
      <c r="F19" s="260"/>
      <c r="G19" s="326"/>
      <c r="H19" s="231" t="s">
        <v>178</v>
      </c>
      <c r="I19" s="231" t="s">
        <v>287</v>
      </c>
      <c r="J19" s="259"/>
      <c r="K19" s="182"/>
      <c r="L19" s="322" t="s">
        <v>288</v>
      </c>
      <c r="M19" s="323"/>
      <c r="N19" s="190">
        <f>N17*N18</f>
        <v>1999.9999999999982</v>
      </c>
      <c r="O19" s="25"/>
      <c r="P19" s="5"/>
      <c r="Q19" s="265"/>
      <c r="R19" s="5"/>
      <c r="S19" s="184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9">
        <f>'Données projet'!D18</f>
        <v>0</v>
      </c>
      <c r="V19" s="188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9">
        <v>3</v>
      </c>
      <c r="B20" s="212" t="s">
        <v>132</v>
      </c>
      <c r="C20" s="211" t="s">
        <v>132</v>
      </c>
      <c r="D20" s="210" t="s">
        <v>132</v>
      </c>
      <c r="E20" s="205"/>
      <c r="F20" s="260"/>
      <c r="G20" s="326"/>
      <c r="H20" s="202">
        <v>0</v>
      </c>
      <c r="I20" s="203">
        <f>19793.79/2.2</f>
        <v>8997.1772727272728</v>
      </c>
      <c r="J20" s="5"/>
      <c r="K20" s="182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9">
        <v>4</v>
      </c>
      <c r="B21" s="212" t="s">
        <v>132</v>
      </c>
      <c r="C21" s="211" t="s">
        <v>132</v>
      </c>
      <c r="D21" s="210" t="s">
        <v>132</v>
      </c>
      <c r="E21" s="205"/>
      <c r="F21" s="260"/>
      <c r="H21" s="202"/>
      <c r="I21" s="203"/>
      <c r="K21" s="182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9">
        <v>5</v>
      </c>
      <c r="B22" s="212" t="s">
        <v>132</v>
      </c>
      <c r="C22" s="211" t="s">
        <v>132</v>
      </c>
      <c r="D22" s="210" t="s">
        <v>132</v>
      </c>
      <c r="E22" s="205"/>
      <c r="F22" s="260"/>
      <c r="H22" s="202"/>
      <c r="I22" s="203"/>
      <c r="K22" s="182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1">
        <f>'Données projet'!A36</f>
        <v>18</v>
      </c>
      <c r="B23" s="192">
        <f>'Données projet'!D36</f>
        <v>20</v>
      </c>
      <c r="C23" s="205">
        <v>10</v>
      </c>
      <c r="D23" s="193">
        <f>B23*C23</f>
        <v>200</v>
      </c>
      <c r="E23" s="205"/>
      <c r="F23" s="260"/>
      <c r="H23" s="202"/>
      <c r="I23" s="203"/>
      <c r="K23" s="224"/>
      <c r="L23" s="324" t="s">
        <v>260</v>
      </c>
      <c r="M23" s="324"/>
      <c r="N23" s="324"/>
      <c r="O23" s="25"/>
      <c r="P23" s="25"/>
      <c r="Q23" s="264"/>
      <c r="R23" s="25"/>
      <c r="S23" s="184" t="s">
        <v>264</v>
      </c>
      <c r="T23" s="3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-15822.652037700602</v>
      </c>
      <c r="U23" s="338"/>
      <c r="V23" s="33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1">
        <f>'Données projet'!A37</f>
        <v>21</v>
      </c>
      <c r="B24" s="192">
        <f>'Données projet'!D37</f>
        <v>26</v>
      </c>
      <c r="C24" s="205">
        <v>10</v>
      </c>
      <c r="D24" s="193">
        <f t="shared" ref="D24:D42" si="2">B24*C24</f>
        <v>260</v>
      </c>
      <c r="E24" s="205"/>
      <c r="F24" s="263"/>
      <c r="H24" s="202"/>
      <c r="I24" s="203"/>
      <c r="K24" s="224"/>
      <c r="O24" s="25"/>
      <c r="P24" s="25"/>
      <c r="Q24" s="264"/>
      <c r="R24" s="25"/>
      <c r="S24" s="184" t="s">
        <v>261</v>
      </c>
      <c r="T24" s="339">
        <f ca="1">'Scénario référence'!$B$8*$M$30*'Données projet'!$C$5+('Scénario référence'!B9+'Scénario référence'!B10+'Scénario référence'!F8+'Scénario référence'!F9)*$N$19/(1+M4)^N16*'Données projet'!$C$5</f>
        <v>53.95121894814767</v>
      </c>
      <c r="U24" s="339"/>
      <c r="V24" s="33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1">
        <f>'Données projet'!A38</f>
        <v>24</v>
      </c>
      <c r="B25" s="192">
        <f>'Données projet'!D38</f>
        <v>29</v>
      </c>
      <c r="C25" s="205">
        <v>15</v>
      </c>
      <c r="D25" s="193">
        <f t="shared" si="2"/>
        <v>435</v>
      </c>
      <c r="E25" s="205"/>
      <c r="F25" s="263"/>
      <c r="G25" s="1"/>
      <c r="H25" s="202"/>
      <c r="I25" s="203"/>
      <c r="K25" s="224"/>
      <c r="L25" s="270" t="s">
        <v>285</v>
      </c>
      <c r="M25" s="270"/>
      <c r="N25" s="270"/>
      <c r="O25" s="270"/>
      <c r="P25" s="204"/>
      <c r="Q25" s="264"/>
      <c r="R25" s="25"/>
      <c r="S25" s="197" t="s">
        <v>266</v>
      </c>
      <c r="T25" s="340">
        <f ca="1">T23-T24</f>
        <v>-15876.60325664875</v>
      </c>
      <c r="U25" s="340"/>
      <c r="V25" s="34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1">
        <f>'Données projet'!A39</f>
        <v>30</v>
      </c>
      <c r="B26" s="192">
        <f>'Données projet'!D39</f>
        <v>53</v>
      </c>
      <c r="C26" s="205">
        <v>20</v>
      </c>
      <c r="D26" s="193">
        <f t="shared" si="2"/>
        <v>1060</v>
      </c>
      <c r="E26" s="205"/>
      <c r="F26" s="263"/>
      <c r="G26" s="258"/>
      <c r="H26" s="202"/>
      <c r="I26" s="203"/>
      <c r="K26" s="224"/>
      <c r="L26" s="327" t="s">
        <v>258</v>
      </c>
      <c r="M26" s="328"/>
      <c r="N26" s="328"/>
      <c r="O26" s="328"/>
      <c r="P26" s="329"/>
      <c r="Q26" s="264"/>
      <c r="R26" s="25"/>
      <c r="S26" s="197" t="s">
        <v>265</v>
      </c>
      <c r="T26" s="337" t="str">
        <f ca="1">IF(T25&lt;0,"Votre projet est additionnel","Votre projet n'est pas additionnel")</f>
        <v>Votre projet est additionnel</v>
      </c>
      <c r="U26" s="337"/>
      <c r="V26" s="33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1">
        <f>'Données projet'!A40</f>
        <v>36</v>
      </c>
      <c r="B27" s="192">
        <f>'Données projet'!D40</f>
        <v>62</v>
      </c>
      <c r="C27" s="205">
        <v>25</v>
      </c>
      <c r="D27" s="193">
        <f t="shared" si="2"/>
        <v>1550</v>
      </c>
      <c r="E27" s="205"/>
      <c r="F27" s="263"/>
      <c r="G27" s="258"/>
      <c r="H27" s="202"/>
      <c r="I27" s="203"/>
      <c r="K27" s="224"/>
      <c r="L27" s="330"/>
      <c r="M27" s="331"/>
      <c r="N27" s="331"/>
      <c r="O27" s="331"/>
      <c r="P27" s="332"/>
      <c r="Q27" s="264"/>
      <c r="R27" s="25"/>
      <c r="S27" s="336" t="s">
        <v>267</v>
      </c>
      <c r="T27" s="336"/>
      <c r="U27" s="336"/>
      <c r="V27" s="33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1">
        <f>'Données projet'!A41</f>
        <v>42</v>
      </c>
      <c r="B28" s="192">
        <f>'Données projet'!D41</f>
        <v>67</v>
      </c>
      <c r="C28" s="205">
        <v>30</v>
      </c>
      <c r="D28" s="193">
        <f t="shared" si="2"/>
        <v>2010</v>
      </c>
      <c r="E28" s="205"/>
      <c r="F28" s="263"/>
      <c r="G28" s="221"/>
      <c r="H28" s="202"/>
      <c r="I28" s="203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1">
        <f>'Données projet'!A42</f>
        <v>48</v>
      </c>
      <c r="B29" s="192">
        <f>'Données projet'!D42</f>
        <v>65</v>
      </c>
      <c r="C29" s="205">
        <v>40</v>
      </c>
      <c r="D29" s="193">
        <f t="shared" si="2"/>
        <v>2600</v>
      </c>
      <c r="E29" s="205"/>
      <c r="F29" s="263"/>
      <c r="G29" s="217"/>
      <c r="H29" s="202"/>
      <c r="I29" s="203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1">
        <f>'Données projet'!A43</f>
        <v>60</v>
      </c>
      <c r="B30" s="192">
        <f>'Données projet'!D43</f>
        <v>304</v>
      </c>
      <c r="C30" s="205">
        <v>50</v>
      </c>
      <c r="D30" s="193">
        <f t="shared" si="2"/>
        <v>15200</v>
      </c>
      <c r="E30" s="205"/>
      <c r="F30" s="263"/>
      <c r="G30" s="217"/>
      <c r="H30" s="202"/>
      <c r="I30" s="203"/>
      <c r="K30" s="194"/>
      <c r="L30" s="184" t="s">
        <v>259</v>
      </c>
      <c r="M30" s="195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1">
        <f>'Données projet'!A44</f>
        <v>0</v>
      </c>
      <c r="B31" s="192">
        <f>'Données projet'!D44</f>
        <v>0</v>
      </c>
      <c r="C31" s="205"/>
      <c r="D31" s="193">
        <f t="shared" si="2"/>
        <v>0</v>
      </c>
      <c r="E31" s="205"/>
      <c r="F31" s="263"/>
      <c r="G31" s="217"/>
      <c r="H31" s="202"/>
      <c r="I31" s="203"/>
      <c r="K31" s="182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1">
        <f>'Données projet'!A45</f>
        <v>0</v>
      </c>
      <c r="B32" s="192">
        <f>'Données projet'!D45</f>
        <v>0</v>
      </c>
      <c r="C32" s="205"/>
      <c r="D32" s="193">
        <f t="shared" si="2"/>
        <v>0</v>
      </c>
      <c r="E32" s="205"/>
      <c r="F32" s="263"/>
      <c r="G32" s="217"/>
      <c r="H32" s="202"/>
      <c r="I32" s="203"/>
      <c r="K32" s="182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1">
        <f>'Données projet'!A46</f>
        <v>0</v>
      </c>
      <c r="B33" s="192">
        <f>'Données projet'!D46</f>
        <v>0</v>
      </c>
      <c r="C33" s="205"/>
      <c r="D33" s="193">
        <f t="shared" si="2"/>
        <v>0</v>
      </c>
      <c r="E33" s="205"/>
      <c r="F33" s="263"/>
      <c r="G33" s="217"/>
      <c r="H33" s="202"/>
      <c r="I33" s="203"/>
      <c r="K33" s="182"/>
      <c r="L33" s="5"/>
      <c r="M33" s="5"/>
      <c r="N33" s="5"/>
      <c r="O33" s="206">
        <v>0</v>
      </c>
      <c r="P33" s="196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1">
        <f>'Données projet'!A47</f>
        <v>0</v>
      </c>
      <c r="B34" s="192">
        <f>'Données projet'!D47</f>
        <v>0</v>
      </c>
      <c r="C34" s="205"/>
      <c r="D34" s="193">
        <f t="shared" si="2"/>
        <v>0</v>
      </c>
      <c r="E34" s="205"/>
      <c r="F34" s="263"/>
      <c r="G34" s="217"/>
      <c r="H34" s="202"/>
      <c r="I34" s="203"/>
      <c r="K34" s="182"/>
      <c r="L34" s="283"/>
      <c r="M34" s="283"/>
      <c r="N34" s="284"/>
      <c r="O34" s="206">
        <f>IF(O33+1&lt;=MIN('Données projet'!$E$9:$E$18),O33+1,"STOP")</f>
        <v>1</v>
      </c>
      <c r="P34" s="196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1">
        <f>'Données projet'!A48</f>
        <v>0</v>
      </c>
      <c r="B35" s="192">
        <f>'Données projet'!D48</f>
        <v>0</v>
      </c>
      <c r="C35" s="205"/>
      <c r="D35" s="193">
        <f t="shared" si="2"/>
        <v>0</v>
      </c>
      <c r="E35" s="205"/>
      <c r="F35" s="263"/>
      <c r="G35" s="217"/>
      <c r="H35" s="202"/>
      <c r="I35" s="203"/>
      <c r="K35" s="182"/>
      <c r="L35" s="283"/>
      <c r="M35" s="283"/>
      <c r="N35" s="284"/>
      <c r="O35" s="206">
        <f>IF(O34+1&lt;=MIN('Données projet'!$E$9:$E$18),O34+1,"STOP")</f>
        <v>2</v>
      </c>
      <c r="P35" s="196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1">
        <f>'Données projet'!A49</f>
        <v>0</v>
      </c>
      <c r="B36" s="192">
        <f>'Données projet'!D49</f>
        <v>0</v>
      </c>
      <c r="C36" s="205"/>
      <c r="D36" s="193">
        <f t="shared" si="2"/>
        <v>0</v>
      </c>
      <c r="E36" s="205"/>
      <c r="F36" s="263"/>
      <c r="G36" s="217"/>
      <c r="H36" s="202"/>
      <c r="I36" s="203"/>
      <c r="K36" s="182"/>
      <c r="L36" s="25"/>
      <c r="M36" s="25"/>
      <c r="N36" s="25"/>
      <c r="O36" s="206">
        <f>IF(O35+1&lt;=MIN('Données projet'!$E$9:$E$18),O35+1,"STOP")</f>
        <v>3</v>
      </c>
      <c r="P36" s="196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1">
        <f>'Données projet'!A50</f>
        <v>0</v>
      </c>
      <c r="B37" s="192">
        <f>'Données projet'!D50</f>
        <v>0</v>
      </c>
      <c r="C37" s="205"/>
      <c r="D37" s="193">
        <f t="shared" si="2"/>
        <v>0</v>
      </c>
      <c r="E37" s="205"/>
      <c r="F37" s="263"/>
      <c r="G37" s="217"/>
      <c r="H37" s="202"/>
      <c r="I37" s="203"/>
      <c r="K37" s="182"/>
      <c r="L37" s="25"/>
      <c r="M37" s="25"/>
      <c r="N37" s="25"/>
      <c r="O37" s="206">
        <f>IF(O36+1&lt;=MIN('Données projet'!$E$9:$E$18),O36+1,"STOP")</f>
        <v>4</v>
      </c>
      <c r="P37" s="196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1">
        <f>'Données projet'!A51</f>
        <v>0</v>
      </c>
      <c r="B38" s="192">
        <f>'Données projet'!D51</f>
        <v>0</v>
      </c>
      <c r="C38" s="205"/>
      <c r="D38" s="193">
        <f t="shared" si="2"/>
        <v>0</v>
      </c>
      <c r="E38" s="205"/>
      <c r="F38" s="263"/>
      <c r="G38" s="217"/>
      <c r="H38" s="202"/>
      <c r="I38" s="203"/>
      <c r="K38" s="182"/>
      <c r="L38" s="25"/>
      <c r="M38" s="25"/>
      <c r="N38" s="25"/>
      <c r="O38" s="206">
        <f>IF(O37+1&lt;=MIN('Données projet'!$E$9:$E$18),O37+1,"STOP")</f>
        <v>5</v>
      </c>
      <c r="P38" s="196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1">
        <f>'Données projet'!A52</f>
        <v>0</v>
      </c>
      <c r="B39" s="192">
        <f>'Données projet'!D52</f>
        <v>0</v>
      </c>
      <c r="C39" s="205"/>
      <c r="D39" s="193">
        <f t="shared" si="2"/>
        <v>0</v>
      </c>
      <c r="E39" s="205"/>
      <c r="F39" s="263"/>
      <c r="G39" s="217"/>
      <c r="H39" s="202"/>
      <c r="I39" s="203"/>
      <c r="K39" s="224"/>
      <c r="L39" s="25"/>
      <c r="M39" s="25"/>
      <c r="N39" s="25"/>
      <c r="O39" s="206">
        <f>IF(O38+1&lt;=MIN('Données projet'!$E$9:$E$18),O38+1,"STOP")</f>
        <v>6</v>
      </c>
      <c r="P39" s="196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1">
        <f>'Données projet'!A53</f>
        <v>0</v>
      </c>
      <c r="B40" s="192">
        <f>'Données projet'!D53</f>
        <v>0</v>
      </c>
      <c r="C40" s="205"/>
      <c r="D40" s="193">
        <f t="shared" si="2"/>
        <v>0</v>
      </c>
      <c r="E40" s="205"/>
      <c r="F40" s="263"/>
      <c r="G40" s="217"/>
      <c r="H40" s="202"/>
      <c r="I40" s="203"/>
      <c r="K40" s="224"/>
      <c r="L40" s="25"/>
      <c r="M40" s="25"/>
      <c r="N40" s="25"/>
      <c r="O40" s="206">
        <f>IF(O39+1&lt;=MIN('Données projet'!$E$9:$E$18),O39+1,"STOP")</f>
        <v>7</v>
      </c>
      <c r="P40" s="196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1">
        <f>'Données projet'!A54</f>
        <v>0</v>
      </c>
      <c r="B41" s="192">
        <f>'Données projet'!D54</f>
        <v>0</v>
      </c>
      <c r="C41" s="205"/>
      <c r="D41" s="193">
        <f t="shared" si="2"/>
        <v>0</v>
      </c>
      <c r="E41" s="205"/>
      <c r="F41" s="263"/>
      <c r="G41" s="217"/>
      <c r="H41" s="202"/>
      <c r="I41" s="203"/>
      <c r="K41" s="224"/>
      <c r="L41" s="25"/>
      <c r="M41" s="25"/>
      <c r="N41" s="25"/>
      <c r="O41" s="206">
        <f>IF(O40+1&lt;=MIN('Données projet'!$E$9:$E$18),O40+1,"STOP")</f>
        <v>8</v>
      </c>
      <c r="P41" s="196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1">
        <f>'Données projet'!A55</f>
        <v>0</v>
      </c>
      <c r="B42" s="192">
        <f>'Données projet'!D55</f>
        <v>0</v>
      </c>
      <c r="C42" s="205"/>
      <c r="D42" s="193">
        <f t="shared" si="2"/>
        <v>0</v>
      </c>
      <c r="E42" s="205"/>
      <c r="F42" s="263"/>
      <c r="G42" s="217"/>
      <c r="H42" s="202"/>
      <c r="I42" s="203"/>
      <c r="K42" s="224"/>
      <c r="L42" s="25"/>
      <c r="M42" s="25"/>
      <c r="N42" s="25"/>
      <c r="O42" s="206">
        <f>IF(O41+1&lt;=MIN('Données projet'!$E$9:$E$18),O41+1,"STOP")</f>
        <v>9</v>
      </c>
      <c r="P42" s="196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8"/>
      <c r="B43" s="198"/>
      <c r="C43" s="198"/>
      <c r="D43" s="255"/>
      <c r="E43" s="255"/>
      <c r="F43" s="268"/>
      <c r="G43" s="217"/>
      <c r="H43" s="202"/>
      <c r="I43" s="203"/>
      <c r="K43" s="224"/>
      <c r="L43" s="25"/>
      <c r="M43" s="25"/>
      <c r="N43" s="25"/>
      <c r="O43" s="206">
        <f>IF(O42+1&lt;=MIN('Données projet'!$E$9:$E$18),O42+1,"STOP")</f>
        <v>10</v>
      </c>
      <c r="P43" s="196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0"/>
      <c r="G44" s="217"/>
      <c r="H44" s="202"/>
      <c r="I44" s="203"/>
      <c r="K44" s="224"/>
      <c r="L44" s="25"/>
      <c r="M44" s="25"/>
      <c r="N44" s="25"/>
      <c r="O44" s="206">
        <f>IF(O43+1&lt;=MIN('Données projet'!$E$9:$E$18),O43+1,"STOP")</f>
        <v>11</v>
      </c>
      <c r="P44" s="196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5" t="str">
        <f>IF('Données projet'!$B$10="","",'Données projet'!$B$10)</f>
        <v>Chêne sessile</v>
      </c>
      <c r="C45" s="5"/>
      <c r="D45" s="5"/>
      <c r="E45" s="5"/>
      <c r="F45" s="260"/>
      <c r="G45" s="217"/>
      <c r="H45" s="202"/>
      <c r="I45" s="203"/>
      <c r="J45" s="25"/>
      <c r="K45" s="224"/>
      <c r="L45" s="25"/>
      <c r="M45" s="25"/>
      <c r="N45" s="25"/>
      <c r="O45" s="206">
        <f>IF(O44+1&lt;=MIN('Données projet'!$E$9:$E$18),O44+1,"STOP")</f>
        <v>12</v>
      </c>
      <c r="P45" s="196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0"/>
      <c r="G46" s="217"/>
      <c r="H46" s="202"/>
      <c r="I46" s="203"/>
      <c r="J46" s="25"/>
      <c r="K46" s="224"/>
      <c r="L46" s="219"/>
      <c r="M46" s="219"/>
      <c r="N46" s="219"/>
      <c r="O46" s="206">
        <f>IF(O45+1&lt;=MIN('Données projet'!$E$9:$E$18),O45+1,"STOP")</f>
        <v>13</v>
      </c>
      <c r="P46" s="199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2"/>
      <c r="I47" s="203"/>
      <c r="J47" s="25"/>
      <c r="K47" s="224"/>
      <c r="L47" s="5"/>
      <c r="M47" s="5"/>
      <c r="N47" s="5"/>
      <c r="O47" s="206">
        <f>IF(O46+1&lt;=MIN('Données projet'!$E$9:$E$18),O46+1,"STOP")</f>
        <v>14</v>
      </c>
      <c r="P47" s="196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9">
        <v>0</v>
      </c>
      <c r="B48" s="212" t="s">
        <v>132</v>
      </c>
      <c r="C48" s="211" t="s">
        <v>132</v>
      </c>
      <c r="D48" s="210" t="s">
        <v>132</v>
      </c>
      <c r="E48" s="205"/>
      <c r="F48" s="261"/>
      <c r="G48" s="217"/>
      <c r="H48" s="202"/>
      <c r="I48" s="203"/>
      <c r="J48" s="25"/>
      <c r="K48" s="224"/>
      <c r="L48" s="5"/>
      <c r="M48" s="5"/>
      <c r="N48" s="5"/>
      <c r="O48" s="206">
        <f>IF(O47+1&lt;=MIN('Données projet'!$E$9:$E$18),O47+1,"STOP")</f>
        <v>15</v>
      </c>
      <c r="P48" s="196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7" customFormat="1" ht="17.25" customHeight="1" x14ac:dyDescent="0.25">
      <c r="A49" s="209">
        <v>1</v>
      </c>
      <c r="B49" s="212" t="s">
        <v>132</v>
      </c>
      <c r="C49" s="211" t="s">
        <v>132</v>
      </c>
      <c r="D49" s="210" t="s">
        <v>132</v>
      </c>
      <c r="E49" s="205"/>
      <c r="F49" s="261"/>
      <c r="G49" s="218"/>
      <c r="H49" s="202"/>
      <c r="I49" s="203"/>
      <c r="J49" s="219"/>
      <c r="K49" s="226"/>
      <c r="L49" s="5"/>
      <c r="M49" s="5"/>
      <c r="N49" s="5"/>
      <c r="O49" s="206">
        <f>IF(O48+1&lt;=MIN('Données projet'!$E$9:$E$18),O48+1,"STOP")</f>
        <v>16</v>
      </c>
      <c r="P49" s="196">
        <f t="shared" si="3"/>
        <v>0</v>
      </c>
      <c r="Q49" s="266"/>
      <c r="R49" s="198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</row>
    <row r="50" spans="1:56" x14ac:dyDescent="0.25">
      <c r="A50" s="209">
        <v>2</v>
      </c>
      <c r="B50" s="212" t="s">
        <v>132</v>
      </c>
      <c r="C50" s="211" t="s">
        <v>132</v>
      </c>
      <c r="D50" s="210" t="s">
        <v>132</v>
      </c>
      <c r="E50" s="205"/>
      <c r="F50" s="261"/>
      <c r="G50" s="220"/>
      <c r="H50" s="202"/>
      <c r="I50" s="203"/>
      <c r="J50" s="25"/>
      <c r="K50" s="182"/>
      <c r="L50" s="5"/>
      <c r="M50" s="5"/>
      <c r="N50" s="5"/>
      <c r="O50" s="206">
        <f>IF(O49+1&lt;=MIN('Données projet'!$E$9:$E$18),O49+1,"STOP")</f>
        <v>17</v>
      </c>
      <c r="P50" s="196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9">
        <v>3</v>
      </c>
      <c r="B51" s="212" t="s">
        <v>132</v>
      </c>
      <c r="C51" s="211" t="s">
        <v>132</v>
      </c>
      <c r="D51" s="210" t="s">
        <v>132</v>
      </c>
      <c r="E51" s="205"/>
      <c r="F51" s="261"/>
      <c r="G51" s="220"/>
      <c r="H51" s="202"/>
      <c r="I51" s="203"/>
      <c r="J51" s="25"/>
      <c r="K51" s="182"/>
      <c r="L51" s="5"/>
      <c r="M51" s="5"/>
      <c r="N51" s="5"/>
      <c r="O51" s="206">
        <f>IF(O50+1&lt;=MIN('Données projet'!$E$9:$E$18),O50+1,"STOP")</f>
        <v>18</v>
      </c>
      <c r="P51" s="196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9">
        <v>4</v>
      </c>
      <c r="B52" s="212" t="s">
        <v>132</v>
      </c>
      <c r="C52" s="211" t="s">
        <v>132</v>
      </c>
      <c r="D52" s="210" t="s">
        <v>132</v>
      </c>
      <c r="E52" s="205"/>
      <c r="F52" s="261"/>
      <c r="G52" s="220"/>
      <c r="H52" s="202"/>
      <c r="I52" s="203"/>
      <c r="J52" s="25"/>
      <c r="K52" s="182"/>
      <c r="L52" s="5"/>
      <c r="M52" s="5"/>
      <c r="N52" s="5"/>
      <c r="O52" s="206">
        <f>IF(O51+1&lt;=MIN('Données projet'!$E$9:$E$18),O51+1,"STOP")</f>
        <v>19</v>
      </c>
      <c r="P52" s="196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9">
        <v>5</v>
      </c>
      <c r="B53" s="212" t="s">
        <v>132</v>
      </c>
      <c r="C53" s="211" t="s">
        <v>132</v>
      </c>
      <c r="D53" s="210" t="s">
        <v>132</v>
      </c>
      <c r="E53" s="205"/>
      <c r="F53" s="261"/>
      <c r="G53" s="221"/>
      <c r="H53" s="202"/>
      <c r="I53" s="203"/>
      <c r="J53" s="25"/>
      <c r="K53" s="182"/>
      <c r="L53" s="5"/>
      <c r="M53" s="5"/>
      <c r="N53" s="5"/>
      <c r="O53" s="206">
        <f>IF(O52+1&lt;=MIN('Données projet'!$E$9:$E$18),O52+1,"STOP")</f>
        <v>20</v>
      </c>
      <c r="P53" s="196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1">
        <f>'Données projet'!A62</f>
        <v>25</v>
      </c>
      <c r="B54" s="192">
        <f>'Données projet'!D62</f>
        <v>0</v>
      </c>
      <c r="C54" s="203"/>
      <c r="D54" s="190">
        <f>B54*C54</f>
        <v>0</v>
      </c>
      <c r="E54" s="205"/>
      <c r="F54" s="262"/>
      <c r="G54" s="221"/>
      <c r="H54" s="202"/>
      <c r="I54" s="203"/>
      <c r="J54" s="25"/>
      <c r="K54" s="182"/>
      <c r="L54" s="5"/>
      <c r="M54" s="5"/>
      <c r="N54" s="5"/>
      <c r="O54" s="206">
        <f>IF(O53+1&lt;=MIN('Données projet'!$E$9:$E$18),O53+1,"STOP")</f>
        <v>21</v>
      </c>
      <c r="P54" s="196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1">
        <f>'Données projet'!A63</f>
        <v>30</v>
      </c>
      <c r="B55" s="192">
        <f>'Données projet'!D63</f>
        <v>29</v>
      </c>
      <c r="C55" s="203">
        <v>10</v>
      </c>
      <c r="D55" s="190">
        <f t="shared" ref="D55:D73" si="4">B55*C55</f>
        <v>290</v>
      </c>
      <c r="E55" s="205"/>
      <c r="F55" s="262"/>
      <c r="G55" s="221"/>
      <c r="H55" s="202"/>
      <c r="I55" s="203"/>
      <c r="J55" s="25"/>
      <c r="K55" s="182"/>
      <c r="L55" s="5"/>
      <c r="M55" s="5"/>
      <c r="N55" s="5"/>
      <c r="O55" s="206">
        <f>IF(O54+1&lt;=MIN('Données projet'!$E$9:$E$18),O54+1,"STOP")</f>
        <v>22</v>
      </c>
      <c r="P55" s="196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1">
        <f>'Données projet'!A64</f>
        <v>35</v>
      </c>
      <c r="B56" s="192">
        <f>'Données projet'!D64</f>
        <v>0</v>
      </c>
      <c r="C56" s="203"/>
      <c r="D56" s="190">
        <f t="shared" si="4"/>
        <v>0</v>
      </c>
      <c r="E56" s="205"/>
      <c r="F56" s="262"/>
      <c r="G56" s="221"/>
      <c r="H56" s="202"/>
      <c r="I56" s="203"/>
      <c r="J56" s="25"/>
      <c r="K56" s="182"/>
      <c r="L56" s="5"/>
      <c r="M56" s="5"/>
      <c r="N56" s="5"/>
      <c r="O56" s="206">
        <f>IF(O55+1&lt;=MIN('Données projet'!$E$9:$E$18),O55+1,"STOP")</f>
        <v>23</v>
      </c>
      <c r="P56" s="196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1">
        <f>'Données projet'!A65</f>
        <v>40</v>
      </c>
      <c r="B57" s="192">
        <f>'Données projet'!D65</f>
        <v>42</v>
      </c>
      <c r="C57" s="203">
        <v>10</v>
      </c>
      <c r="D57" s="190">
        <f t="shared" si="4"/>
        <v>420</v>
      </c>
      <c r="E57" s="205"/>
      <c r="F57" s="262"/>
      <c r="G57" s="221"/>
      <c r="H57" s="202"/>
      <c r="I57" s="203"/>
      <c r="J57" s="25"/>
      <c r="K57" s="182"/>
      <c r="L57" s="5"/>
      <c r="M57" s="5"/>
      <c r="N57" s="5"/>
      <c r="O57" s="206">
        <f>IF(O56+1&lt;=MIN('Données projet'!$E$9:$E$18),O56+1,"STOP")</f>
        <v>24</v>
      </c>
      <c r="P57" s="196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1">
        <f>'Données projet'!A66</f>
        <v>45</v>
      </c>
      <c r="B58" s="192">
        <f>'Données projet'!D66</f>
        <v>0</v>
      </c>
      <c r="C58" s="203"/>
      <c r="D58" s="190">
        <f t="shared" si="4"/>
        <v>0</v>
      </c>
      <c r="E58" s="205"/>
      <c r="F58" s="262"/>
      <c r="G58" s="221"/>
      <c r="H58" s="202"/>
      <c r="I58" s="203"/>
      <c r="J58" s="25"/>
      <c r="K58" s="182"/>
      <c r="L58" s="5"/>
      <c r="M58" s="5"/>
      <c r="N58" s="5"/>
      <c r="O58" s="206">
        <f>IF(O57+1&lt;=MIN('Données projet'!$E$9:$E$18),O57+1,"STOP")</f>
        <v>25</v>
      </c>
      <c r="P58" s="196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1">
        <f>'Données projet'!A67</f>
        <v>50</v>
      </c>
      <c r="B59" s="192">
        <f>'Données projet'!D67</f>
        <v>42</v>
      </c>
      <c r="C59" s="203">
        <v>20</v>
      </c>
      <c r="D59" s="190">
        <f t="shared" si="4"/>
        <v>840</v>
      </c>
      <c r="E59" s="205"/>
      <c r="F59" s="262"/>
      <c r="G59" s="221"/>
      <c r="H59" s="202"/>
      <c r="I59" s="203"/>
      <c r="J59" s="25"/>
      <c r="K59" s="182"/>
      <c r="L59" s="5"/>
      <c r="M59" s="5"/>
      <c r="N59" s="5"/>
      <c r="O59" s="206">
        <f>IF(O58+1&lt;=MIN('Données projet'!$E$9:$E$18),O58+1,"STOP")</f>
        <v>26</v>
      </c>
      <c r="P59" s="196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1">
        <f>'Données projet'!A68</f>
        <v>55</v>
      </c>
      <c r="B60" s="192">
        <f>'Données projet'!D68</f>
        <v>0</v>
      </c>
      <c r="C60" s="203"/>
      <c r="D60" s="190">
        <f t="shared" si="4"/>
        <v>0</v>
      </c>
      <c r="E60" s="205"/>
      <c r="F60" s="262"/>
      <c r="G60" s="222"/>
      <c r="H60" s="202"/>
      <c r="I60" s="203"/>
      <c r="J60" s="25"/>
      <c r="K60" s="182"/>
      <c r="L60" s="5"/>
      <c r="M60" s="5"/>
      <c r="N60" s="5"/>
      <c r="O60" s="206">
        <f>IF(O59+1&lt;=MIN('Données projet'!$E$9:$E$18),O59+1,"STOP")</f>
        <v>27</v>
      </c>
      <c r="P60" s="196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1">
        <f>'Données projet'!A69</f>
        <v>60</v>
      </c>
      <c r="B61" s="192">
        <f>'Données projet'!D69</f>
        <v>42</v>
      </c>
      <c r="C61" s="203">
        <v>20</v>
      </c>
      <c r="D61" s="190">
        <f t="shared" si="4"/>
        <v>840</v>
      </c>
      <c r="E61" s="205"/>
      <c r="F61" s="262"/>
      <c r="G61" s="222"/>
      <c r="H61" s="202"/>
      <c r="I61" s="203"/>
      <c r="J61" s="25"/>
      <c r="K61" s="182"/>
      <c r="L61" s="5"/>
      <c r="M61" s="5"/>
      <c r="N61" s="5"/>
      <c r="O61" s="206">
        <f>IF(O60+1&lt;=MIN('Données projet'!$E$9:$E$18),O60+1,"STOP")</f>
        <v>28</v>
      </c>
      <c r="P61" s="196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1">
        <f>'Données projet'!A70</f>
        <v>65</v>
      </c>
      <c r="B62" s="192">
        <f>'Données projet'!D70</f>
        <v>0</v>
      </c>
      <c r="C62" s="203"/>
      <c r="D62" s="190">
        <f t="shared" si="4"/>
        <v>0</v>
      </c>
      <c r="E62" s="205"/>
      <c r="F62" s="262"/>
      <c r="G62" s="222"/>
      <c r="H62" s="202"/>
      <c r="I62" s="203"/>
      <c r="J62" s="25"/>
      <c r="K62" s="182"/>
      <c r="L62" s="5"/>
      <c r="M62" s="5"/>
      <c r="N62" s="5"/>
      <c r="O62" s="206">
        <f>IF(O61+1&lt;=MIN('Données projet'!$E$9:$E$18),O61+1,"STOP")</f>
        <v>29</v>
      </c>
      <c r="P62" s="196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1">
        <f>'Données projet'!A71</f>
        <v>70</v>
      </c>
      <c r="B63" s="192">
        <f>'Données projet'!D71</f>
        <v>42</v>
      </c>
      <c r="C63" s="203">
        <v>30</v>
      </c>
      <c r="D63" s="190">
        <f t="shared" si="4"/>
        <v>1260</v>
      </c>
      <c r="E63" s="205"/>
      <c r="F63" s="262"/>
      <c r="G63" s="222"/>
      <c r="H63" s="202"/>
      <c r="I63" s="203"/>
      <c r="J63" s="25"/>
      <c r="K63" s="182"/>
      <c r="L63" s="5"/>
      <c r="M63" s="5"/>
      <c r="N63" s="5"/>
      <c r="O63" s="206">
        <f>IF(O62+1&lt;=MIN('Données projet'!$E$9:$E$18),O62+1,"STOP")</f>
        <v>30</v>
      </c>
      <c r="P63" s="196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1">
        <f>'Données projet'!A72</f>
        <v>75</v>
      </c>
      <c r="B64" s="192">
        <f>'Données projet'!D72</f>
        <v>0</v>
      </c>
      <c r="C64" s="203"/>
      <c r="D64" s="190">
        <f t="shared" si="4"/>
        <v>0</v>
      </c>
      <c r="E64" s="205"/>
      <c r="F64" s="262"/>
      <c r="G64" s="222"/>
      <c r="H64" s="202"/>
      <c r="I64" s="203"/>
      <c r="J64" s="223"/>
      <c r="K64" s="182"/>
      <c r="L64" s="5"/>
      <c r="M64" s="5"/>
      <c r="N64" s="5"/>
      <c r="O64" s="206">
        <f>IF(O63+1&lt;=MIN('Données projet'!$E$9:$E$18),O63+1,"STOP")</f>
        <v>31</v>
      </c>
      <c r="P64" s="196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1">
        <f>'Données projet'!A73</f>
        <v>80</v>
      </c>
      <c r="B65" s="192">
        <f>'Données projet'!D73</f>
        <v>42</v>
      </c>
      <c r="C65" s="203">
        <v>40</v>
      </c>
      <c r="D65" s="190">
        <f t="shared" si="4"/>
        <v>1680</v>
      </c>
      <c r="E65" s="205"/>
      <c r="F65" s="262"/>
      <c r="G65" s="222"/>
      <c r="H65" s="202"/>
      <c r="I65" s="203"/>
      <c r="J65" s="200"/>
      <c r="K65" s="182"/>
      <c r="L65" s="5"/>
      <c r="M65" s="5"/>
      <c r="N65" s="5"/>
      <c r="O65" s="206">
        <f>IF(O64+1&lt;=MIN('Données projet'!$E$9:$E$18),O64+1,"STOP")</f>
        <v>32</v>
      </c>
      <c r="P65" s="196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1">
        <f>'Données projet'!A74</f>
        <v>85</v>
      </c>
      <c r="B66" s="192">
        <f>'Données projet'!D74</f>
        <v>0</v>
      </c>
      <c r="C66" s="203"/>
      <c r="D66" s="190">
        <f t="shared" si="4"/>
        <v>0</v>
      </c>
      <c r="E66" s="205"/>
      <c r="F66" s="262"/>
      <c r="G66" s="222"/>
      <c r="H66" s="202"/>
      <c r="I66" s="203"/>
      <c r="J66" s="200"/>
      <c r="K66" s="182"/>
      <c r="L66" s="5"/>
      <c r="M66" s="5"/>
      <c r="N66" s="5"/>
      <c r="O66" s="206">
        <f>IF(O65+1&lt;=MIN('Données projet'!$E$9:$E$18),O65+1,"STOP")</f>
        <v>33</v>
      </c>
      <c r="P66" s="196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1">
        <f>'Données projet'!A75</f>
        <v>90</v>
      </c>
      <c r="B67" s="192">
        <f>'Données projet'!D75</f>
        <v>42</v>
      </c>
      <c r="C67" s="203">
        <v>50</v>
      </c>
      <c r="D67" s="190">
        <f t="shared" si="4"/>
        <v>2100</v>
      </c>
      <c r="E67" s="205"/>
      <c r="F67" s="262"/>
      <c r="G67" s="222"/>
      <c r="H67" s="202"/>
      <c r="I67" s="203"/>
      <c r="J67" s="200"/>
      <c r="K67" s="182"/>
      <c r="L67" s="5"/>
      <c r="M67" s="5"/>
      <c r="N67" s="5"/>
      <c r="O67" s="206">
        <f>IF(O66+1&lt;=MIN('Données projet'!$E$9:$E$18),O66+1,"STOP")</f>
        <v>34</v>
      </c>
      <c r="P67" s="196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1">
        <f>'Données projet'!A76</f>
        <v>100</v>
      </c>
      <c r="B68" s="192">
        <f>'Données projet'!D76</f>
        <v>42</v>
      </c>
      <c r="C68" s="203">
        <v>60</v>
      </c>
      <c r="D68" s="190">
        <f t="shared" si="4"/>
        <v>2520</v>
      </c>
      <c r="E68" s="205"/>
      <c r="F68" s="262"/>
      <c r="G68" s="222"/>
      <c r="H68" s="202"/>
      <c r="I68" s="203"/>
      <c r="J68" s="200"/>
      <c r="K68" s="182"/>
      <c r="L68" s="5"/>
      <c r="M68" s="5"/>
      <c r="N68" s="5"/>
      <c r="O68" s="206">
        <f>IF(O67+1&lt;=MIN('Données projet'!$E$9:$E$18),O67+1,"STOP")</f>
        <v>35</v>
      </c>
      <c r="P68" s="196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1">
        <f>'Données projet'!A77</f>
        <v>110</v>
      </c>
      <c r="B69" s="192">
        <f>'Données projet'!D77</f>
        <v>39</v>
      </c>
      <c r="C69" s="203">
        <v>70</v>
      </c>
      <c r="D69" s="190">
        <f t="shared" si="4"/>
        <v>2730</v>
      </c>
      <c r="E69" s="205"/>
      <c r="F69" s="262"/>
      <c r="G69" s="222"/>
      <c r="H69" s="202"/>
      <c r="I69" s="203"/>
      <c r="J69" s="200"/>
      <c r="K69" s="182"/>
      <c r="L69" s="5"/>
      <c r="M69" s="5"/>
      <c r="N69" s="5"/>
      <c r="O69" s="206">
        <f>IF(O68+1&lt;=MIN('Données projet'!$E$9:$E$18),O68+1,"STOP")</f>
        <v>36</v>
      </c>
      <c r="P69" s="196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1">
        <f>'Données projet'!A78</f>
        <v>120</v>
      </c>
      <c r="B70" s="192">
        <f>'Données projet'!D78</f>
        <v>35</v>
      </c>
      <c r="C70" s="203">
        <v>80</v>
      </c>
      <c r="D70" s="190">
        <f t="shared" si="4"/>
        <v>2800</v>
      </c>
      <c r="E70" s="205"/>
      <c r="F70" s="262"/>
      <c r="G70" s="222"/>
      <c r="H70" s="202"/>
      <c r="I70" s="203"/>
      <c r="J70" s="200"/>
      <c r="K70" s="182"/>
      <c r="L70" s="5"/>
      <c r="M70" s="5"/>
      <c r="N70" s="5"/>
      <c r="O70" s="206">
        <f>IF(O69+1&lt;=MIN('Données projet'!$E$9:$E$18),O69+1,"STOP")</f>
        <v>37</v>
      </c>
      <c r="P70" s="196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1">
        <f>'Données projet'!A79</f>
        <v>130</v>
      </c>
      <c r="B71" s="192">
        <f>'Données projet'!D79</f>
        <v>31</v>
      </c>
      <c r="C71" s="203">
        <v>90</v>
      </c>
      <c r="D71" s="190">
        <f t="shared" si="4"/>
        <v>2790</v>
      </c>
      <c r="E71" s="205"/>
      <c r="F71" s="262"/>
      <c r="G71" s="222"/>
      <c r="H71" s="202"/>
      <c r="I71" s="203"/>
      <c r="J71" s="200"/>
      <c r="K71" s="182"/>
      <c r="L71" s="5"/>
      <c r="M71" s="5"/>
      <c r="N71" s="5"/>
      <c r="O71" s="206">
        <f>IF(O70+1&lt;=MIN('Données projet'!$E$9:$E$18),O70+1,"STOP")</f>
        <v>38</v>
      </c>
      <c r="P71" s="196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1">
        <f>'Données projet'!A80</f>
        <v>140</v>
      </c>
      <c r="B72" s="192">
        <f>'Données projet'!D80</f>
        <v>27</v>
      </c>
      <c r="C72" s="203">
        <v>100</v>
      </c>
      <c r="D72" s="190">
        <f t="shared" si="4"/>
        <v>2700</v>
      </c>
      <c r="E72" s="205"/>
      <c r="F72" s="262"/>
      <c r="G72" s="222"/>
      <c r="H72" s="202"/>
      <c r="I72" s="203"/>
      <c r="J72" s="5"/>
      <c r="K72" s="182"/>
      <c r="L72" s="5"/>
      <c r="M72" s="5"/>
      <c r="N72" s="5"/>
      <c r="O72" s="206">
        <f>IF(O71+1&lt;=MIN('Données projet'!$E$9:$E$18),O71+1,"STOP")</f>
        <v>39</v>
      </c>
      <c r="P72" s="196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1">
        <f>'Données projet'!A81</f>
        <v>150</v>
      </c>
      <c r="B73" s="192">
        <f>'Données projet'!D81</f>
        <v>293</v>
      </c>
      <c r="C73" s="203">
        <v>150</v>
      </c>
      <c r="D73" s="190">
        <f t="shared" si="4"/>
        <v>43950</v>
      </c>
      <c r="E73" s="205"/>
      <c r="F73" s="262"/>
      <c r="G73" s="222"/>
      <c r="H73" s="202"/>
      <c r="I73" s="203"/>
      <c r="J73" s="5"/>
      <c r="K73" s="182"/>
      <c r="L73" s="5"/>
      <c r="M73" s="5"/>
      <c r="N73" s="5"/>
      <c r="O73" s="206">
        <f>IF(O72+1&lt;=MIN('Données projet'!$E$9:$E$18),O72+1,"STOP")</f>
        <v>40</v>
      </c>
      <c r="P73" s="196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0"/>
      <c r="G74" s="222"/>
      <c r="H74" s="202"/>
      <c r="I74" s="203"/>
      <c r="J74" s="5"/>
      <c r="K74" s="182"/>
      <c r="L74" s="5"/>
      <c r="M74" s="5"/>
      <c r="N74" s="5"/>
      <c r="O74" s="206">
        <f>IF(O73+1&lt;=MIN('Données projet'!$E$9:$E$18),O73+1,"STOP")</f>
        <v>41</v>
      </c>
      <c r="P74" s="196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0"/>
      <c r="G75" s="222"/>
      <c r="H75" s="202"/>
      <c r="I75" s="203"/>
      <c r="J75" s="5"/>
      <c r="K75" s="182"/>
      <c r="L75" s="5"/>
      <c r="M75" s="5"/>
      <c r="N75" s="5"/>
      <c r="O75" s="206">
        <f>IF(O74+1&lt;=MIN('Données projet'!$E$9:$E$18),O74+1,"STOP")</f>
        <v>42</v>
      </c>
      <c r="P75" s="196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5" t="str">
        <f>IF('Données projet'!B11="","",'Données projet'!B11)</f>
        <v>Merisier</v>
      </c>
      <c r="C76" s="5"/>
      <c r="D76" s="5"/>
      <c r="E76" s="5"/>
      <c r="F76" s="260"/>
      <c r="G76" s="222"/>
      <c r="H76" s="202"/>
      <c r="I76" s="203"/>
      <c r="J76" s="5"/>
      <c r="K76" s="182"/>
      <c r="L76" s="5"/>
      <c r="M76" s="5"/>
      <c r="N76" s="5"/>
      <c r="O76" s="206">
        <f>IF(O75+1&lt;=MIN('Données projet'!$E$9:$E$18),O75+1,"STOP")</f>
        <v>43</v>
      </c>
      <c r="P76" s="196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0"/>
      <c r="G77" s="222"/>
      <c r="H77" s="202"/>
      <c r="I77" s="203"/>
      <c r="J77" s="5"/>
      <c r="K77" s="182"/>
      <c r="L77" s="5"/>
      <c r="M77" s="5"/>
      <c r="N77" s="5"/>
      <c r="O77" s="206">
        <f>IF(O76+1&lt;=MIN('Données projet'!$E$9:$E$18),O76+1,"STOP")</f>
        <v>44</v>
      </c>
      <c r="P77" s="196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2"/>
      <c r="I78" s="203"/>
      <c r="J78" s="5"/>
      <c r="K78" s="182"/>
      <c r="L78" s="5"/>
      <c r="M78" s="5"/>
      <c r="N78" s="5"/>
      <c r="O78" s="206">
        <f>IF(O77+1&lt;=MIN('Données projet'!$E$9:$E$18),O77+1,"STOP")</f>
        <v>45</v>
      </c>
      <c r="P78" s="196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9">
        <v>0</v>
      </c>
      <c r="B79" s="212" t="s">
        <v>132</v>
      </c>
      <c r="C79" s="211" t="s">
        <v>132</v>
      </c>
      <c r="D79" s="210" t="s">
        <v>132</v>
      </c>
      <c r="E79" s="205"/>
      <c r="F79" s="261"/>
      <c r="G79" s="222"/>
      <c r="H79" s="202"/>
      <c r="I79" s="203"/>
      <c r="J79" s="5"/>
      <c r="K79" s="182"/>
      <c r="L79" s="5"/>
      <c r="M79" s="5"/>
      <c r="N79" s="5"/>
      <c r="O79" s="206">
        <f>IF(O78+1&lt;=MIN('Données projet'!$E$9:$E$18),O78+1,"STOP")</f>
        <v>46</v>
      </c>
      <c r="P79" s="196">
        <f t="shared" si="5"/>
        <v>0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9">
        <v>1</v>
      </c>
      <c r="B80" s="212" t="s">
        <v>132</v>
      </c>
      <c r="C80" s="211" t="s">
        <v>132</v>
      </c>
      <c r="D80" s="210" t="s">
        <v>132</v>
      </c>
      <c r="E80" s="205"/>
      <c r="F80" s="261"/>
      <c r="G80" s="220"/>
      <c r="H80" s="202"/>
      <c r="I80" s="203"/>
      <c r="J80" s="5"/>
      <c r="K80" s="182"/>
      <c r="L80" s="5"/>
      <c r="M80" s="5"/>
      <c r="N80" s="5"/>
      <c r="O80" s="206">
        <f>IF(O79+1&lt;=MIN('Données projet'!$E$9:$E$18),O79+1,"STOP")</f>
        <v>47</v>
      </c>
      <c r="P80" s="196">
        <f t="shared" si="5"/>
        <v>0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9">
        <v>2</v>
      </c>
      <c r="B81" s="212" t="s">
        <v>132</v>
      </c>
      <c r="C81" s="211" t="s">
        <v>132</v>
      </c>
      <c r="D81" s="210" t="s">
        <v>132</v>
      </c>
      <c r="E81" s="205"/>
      <c r="F81" s="261"/>
      <c r="G81" s="220"/>
      <c r="H81" s="202"/>
      <c r="I81" s="203"/>
      <c r="J81" s="5"/>
      <c r="K81" s="182"/>
      <c r="L81" s="5"/>
      <c r="M81" s="5"/>
      <c r="N81" s="5"/>
      <c r="O81" s="206">
        <f>IF(O80+1&lt;=MIN('Données projet'!$E$9:$E$18),O80+1,"STOP")</f>
        <v>48</v>
      </c>
      <c r="P81" s="196">
        <f t="shared" si="5"/>
        <v>0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9">
        <v>3</v>
      </c>
      <c r="B82" s="212" t="s">
        <v>132</v>
      </c>
      <c r="C82" s="211" t="s">
        <v>132</v>
      </c>
      <c r="D82" s="210" t="s">
        <v>132</v>
      </c>
      <c r="E82" s="205"/>
      <c r="F82" s="261"/>
      <c r="G82" s="220"/>
      <c r="H82" s="202"/>
      <c r="I82" s="203"/>
      <c r="J82" s="5"/>
      <c r="K82" s="182"/>
      <c r="L82" s="5"/>
      <c r="M82" s="5"/>
      <c r="N82" s="5"/>
      <c r="O82" s="206">
        <f>IF(O81+1&lt;=MIN('Données projet'!$E$9:$E$18),O81+1,"STOP")</f>
        <v>49</v>
      </c>
      <c r="P82" s="196">
        <f t="shared" si="5"/>
        <v>0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9">
        <v>4</v>
      </c>
      <c r="B83" s="212" t="s">
        <v>132</v>
      </c>
      <c r="C83" s="211" t="s">
        <v>132</v>
      </c>
      <c r="D83" s="210" t="s">
        <v>132</v>
      </c>
      <c r="E83" s="205"/>
      <c r="F83" s="261"/>
      <c r="G83" s="220"/>
      <c r="H83" s="202"/>
      <c r="I83" s="203"/>
      <c r="J83" s="5"/>
      <c r="K83" s="182"/>
      <c r="L83" s="5"/>
      <c r="M83" s="5"/>
      <c r="N83" s="5"/>
      <c r="O83" s="206">
        <f>IF(O82+1&lt;=MIN('Données projet'!$E$9:$E$18),O82+1,"STOP")</f>
        <v>50</v>
      </c>
      <c r="P83" s="196">
        <f t="shared" si="5"/>
        <v>0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9">
        <v>5</v>
      </c>
      <c r="B84" s="212" t="s">
        <v>132</v>
      </c>
      <c r="C84" s="211" t="s">
        <v>132</v>
      </c>
      <c r="D84" s="210" t="s">
        <v>132</v>
      </c>
      <c r="E84" s="205"/>
      <c r="F84" s="261"/>
      <c r="G84" s="221"/>
      <c r="H84" s="202"/>
      <c r="I84" s="203"/>
      <c r="J84" s="5"/>
      <c r="K84" s="182"/>
      <c r="L84" s="5"/>
      <c r="M84" s="5"/>
      <c r="N84" s="5"/>
      <c r="O84" s="206">
        <f>IF(O83+1&lt;=MIN('Données projet'!$E$9:$E$18),O83+1,"STOP")</f>
        <v>51</v>
      </c>
      <c r="P84" s="196">
        <f t="shared" si="5"/>
        <v>0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1">
        <f>'Données projet'!A88</f>
        <v>15</v>
      </c>
      <c r="B85" s="192">
        <f>'Données projet'!D88</f>
        <v>3</v>
      </c>
      <c r="C85" s="203">
        <v>10</v>
      </c>
      <c r="D85" s="190">
        <f>B85*C85</f>
        <v>30</v>
      </c>
      <c r="E85" s="205"/>
      <c r="F85" s="262"/>
      <c r="G85" s="221"/>
      <c r="H85" s="202"/>
      <c r="I85" s="203"/>
      <c r="J85" s="5"/>
      <c r="K85" s="182"/>
      <c r="L85" s="5"/>
      <c r="M85" s="5"/>
      <c r="N85" s="5"/>
      <c r="O85" s="206">
        <f>IF(O84+1&lt;=MIN('Données projet'!$E$9:$E$18),O84+1,"STOP")</f>
        <v>52</v>
      </c>
      <c r="P85" s="196">
        <f t="shared" si="5"/>
        <v>0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1">
        <f>'Données projet'!A89</f>
        <v>20</v>
      </c>
      <c r="B86" s="192">
        <f>'Données projet'!D89</f>
        <v>25</v>
      </c>
      <c r="C86" s="203">
        <v>10</v>
      </c>
      <c r="D86" s="190">
        <f t="shared" ref="D86:D104" si="6">B86*C86</f>
        <v>250</v>
      </c>
      <c r="E86" s="205"/>
      <c r="F86" s="262"/>
      <c r="G86" s="221"/>
      <c r="H86" s="202"/>
      <c r="I86" s="203"/>
      <c r="J86" s="5"/>
      <c r="K86" s="182"/>
      <c r="L86" s="5"/>
      <c r="M86" s="5"/>
      <c r="N86" s="5"/>
      <c r="O86" s="206">
        <f>IF(O85+1&lt;=MIN('Données projet'!$E$9:$E$18),O85+1,"STOP")</f>
        <v>53</v>
      </c>
      <c r="P86" s="196">
        <f t="shared" si="5"/>
        <v>0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1">
        <f>'Données projet'!A90</f>
        <v>25</v>
      </c>
      <c r="B87" s="192">
        <f>'Données projet'!D90</f>
        <v>27</v>
      </c>
      <c r="C87" s="203">
        <v>10</v>
      </c>
      <c r="D87" s="190">
        <f t="shared" si="6"/>
        <v>270</v>
      </c>
      <c r="E87" s="205"/>
      <c r="F87" s="262"/>
      <c r="G87" s="221"/>
      <c r="H87" s="202"/>
      <c r="I87" s="203"/>
      <c r="J87" s="5"/>
      <c r="K87" s="182"/>
      <c r="L87" s="5"/>
      <c r="M87" s="5"/>
      <c r="N87" s="5"/>
      <c r="O87" s="206">
        <f>IF(O86+1&lt;=MIN('Données projet'!$E$9:$E$18),O86+1,"STOP")</f>
        <v>54</v>
      </c>
      <c r="P87" s="196">
        <f t="shared" si="5"/>
        <v>0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1">
        <f>'Données projet'!A91</f>
        <v>31</v>
      </c>
      <c r="B88" s="192">
        <f>'Données projet'!D91</f>
        <v>36</v>
      </c>
      <c r="C88" s="203">
        <v>15</v>
      </c>
      <c r="D88" s="190">
        <f t="shared" si="6"/>
        <v>540</v>
      </c>
      <c r="E88" s="205"/>
      <c r="F88" s="262"/>
      <c r="G88" s="221"/>
      <c r="H88" s="202"/>
      <c r="I88" s="203"/>
      <c r="J88" s="5"/>
      <c r="K88" s="182"/>
      <c r="L88" s="5"/>
      <c r="M88" s="5"/>
      <c r="N88" s="5"/>
      <c r="O88" s="206">
        <f>IF(O87+1&lt;=MIN('Données projet'!$E$9:$E$18),O87+1,"STOP")</f>
        <v>55</v>
      </c>
      <c r="P88" s="196">
        <f t="shared" si="5"/>
        <v>0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1">
        <f>'Données projet'!A92</f>
        <v>37</v>
      </c>
      <c r="B89" s="192">
        <f>'Données projet'!D92</f>
        <v>36</v>
      </c>
      <c r="C89" s="203">
        <v>15</v>
      </c>
      <c r="D89" s="190">
        <f t="shared" si="6"/>
        <v>540</v>
      </c>
      <c r="E89" s="205"/>
      <c r="F89" s="262"/>
      <c r="G89" s="221"/>
      <c r="H89" s="202"/>
      <c r="I89" s="203"/>
      <c r="J89" s="5"/>
      <c r="K89" s="182"/>
      <c r="L89" s="5"/>
      <c r="M89" s="5"/>
      <c r="N89" s="5"/>
      <c r="O89" s="206">
        <f>IF(O88+1&lt;=MIN('Données projet'!$E$9:$E$18),O88+1,"STOP")</f>
        <v>56</v>
      </c>
      <c r="P89" s="196">
        <f t="shared" si="5"/>
        <v>0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1">
        <f>'Données projet'!A93</f>
        <v>44</v>
      </c>
      <c r="B90" s="192">
        <f>'Données projet'!D93</f>
        <v>43</v>
      </c>
      <c r="C90" s="203">
        <v>20</v>
      </c>
      <c r="D90" s="190">
        <f t="shared" si="6"/>
        <v>860</v>
      </c>
      <c r="E90" s="205"/>
      <c r="F90" s="262"/>
      <c r="G90" s="221"/>
      <c r="H90" s="202"/>
      <c r="I90" s="203"/>
      <c r="J90" s="5"/>
      <c r="K90" s="182"/>
      <c r="L90" s="5"/>
      <c r="M90" s="5"/>
      <c r="N90" s="5"/>
      <c r="O90" s="206">
        <f>IF(O89+1&lt;=MIN('Données projet'!$E$9:$E$18),O89+1,"STOP")</f>
        <v>57</v>
      </c>
      <c r="P90" s="196">
        <f t="shared" si="5"/>
        <v>0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1">
        <f>'Données projet'!A94</f>
        <v>52</v>
      </c>
      <c r="B91" s="192">
        <f>'Données projet'!D94</f>
        <v>48</v>
      </c>
      <c r="C91" s="203">
        <v>25</v>
      </c>
      <c r="D91" s="190">
        <f t="shared" si="6"/>
        <v>1200</v>
      </c>
      <c r="E91" s="205"/>
      <c r="F91" s="262"/>
      <c r="G91" s="222"/>
      <c r="H91" s="202"/>
      <c r="I91" s="203"/>
      <c r="J91" s="5"/>
      <c r="K91" s="182"/>
      <c r="L91" s="5"/>
      <c r="M91" s="5"/>
      <c r="N91" s="5"/>
      <c r="O91" s="206">
        <f>IF(O90+1&lt;=MIN('Données projet'!$E$9:$E$18),O90+1,"STOP")</f>
        <v>58</v>
      </c>
      <c r="P91" s="196">
        <f t="shared" si="5"/>
        <v>0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1">
        <f>'Données projet'!A95</f>
        <v>60</v>
      </c>
      <c r="B92" s="192">
        <f>'Données projet'!D95</f>
        <v>47</v>
      </c>
      <c r="C92" s="203">
        <v>50</v>
      </c>
      <c r="D92" s="190">
        <f t="shared" si="6"/>
        <v>2350</v>
      </c>
      <c r="E92" s="205"/>
      <c r="F92" s="262"/>
      <c r="G92" s="222"/>
      <c r="H92" s="202"/>
      <c r="I92" s="203"/>
      <c r="J92" s="5"/>
      <c r="K92" s="182"/>
      <c r="L92" s="5"/>
      <c r="M92" s="5"/>
      <c r="N92" s="5"/>
      <c r="O92" s="206">
        <f>IF(O91+1&lt;=MIN('Données projet'!$E$9:$E$18),O91+1,"STOP")</f>
        <v>59</v>
      </c>
      <c r="P92" s="196">
        <f t="shared" si="5"/>
        <v>0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1">
        <f>'Données projet'!A96</f>
        <v>69</v>
      </c>
      <c r="B93" s="192">
        <f>'Données projet'!D96</f>
        <v>328</v>
      </c>
      <c r="C93" s="203">
        <v>100</v>
      </c>
      <c r="D93" s="190">
        <f t="shared" si="6"/>
        <v>32800</v>
      </c>
      <c r="E93" s="205"/>
      <c r="F93" s="262"/>
      <c r="G93" s="222"/>
      <c r="H93" s="202"/>
      <c r="I93" s="203"/>
      <c r="J93" s="5"/>
      <c r="K93" s="182"/>
      <c r="L93" s="5"/>
      <c r="M93" s="5"/>
      <c r="N93" s="5"/>
      <c r="O93" s="206">
        <f>IF(O92+1&lt;=MIN('Données projet'!$E$9:$E$18),O92+1,"STOP")</f>
        <v>60</v>
      </c>
      <c r="P93" s="196">
        <f t="shared" si="5"/>
        <v>0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1">
        <f>'Données projet'!A97</f>
        <v>0</v>
      </c>
      <c r="B94" s="192">
        <f>'Données projet'!D97</f>
        <v>0</v>
      </c>
      <c r="C94" s="203"/>
      <c r="D94" s="190">
        <f t="shared" si="6"/>
        <v>0</v>
      </c>
      <c r="E94" s="205"/>
      <c r="F94" s="262"/>
      <c r="G94" s="222"/>
      <c r="H94" s="202"/>
      <c r="I94" s="203"/>
      <c r="J94" s="5"/>
      <c r="K94" s="182"/>
      <c r="L94" s="5"/>
      <c r="M94" s="5"/>
      <c r="N94" s="5"/>
      <c r="O94" s="206" t="str">
        <f>IF(O93+1&lt;=MIN('Données projet'!$E$9:$E$18),O93+1,"STOP")</f>
        <v>STOP</v>
      </c>
      <c r="P94" s="196" t="e">
        <f t="shared" si="5"/>
        <v>#VALUE!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1">
        <f>'Données projet'!A98</f>
        <v>0</v>
      </c>
      <c r="B95" s="192">
        <f>'Données projet'!D98</f>
        <v>0</v>
      </c>
      <c r="C95" s="203"/>
      <c r="D95" s="190">
        <f t="shared" si="6"/>
        <v>0</v>
      </c>
      <c r="E95" s="205"/>
      <c r="F95" s="262"/>
      <c r="G95" s="222"/>
      <c r="H95" s="202"/>
      <c r="I95" s="203"/>
      <c r="J95" s="5"/>
      <c r="K95" s="182"/>
      <c r="L95" s="5"/>
      <c r="M95" s="5"/>
      <c r="N95" s="5"/>
      <c r="O95" s="206" t="e">
        <f>IF(O94+1&lt;=MIN('Données projet'!$E$9:$E$18),O94+1,"STOP")</f>
        <v>#VALUE!</v>
      </c>
      <c r="P95" s="196" t="e">
        <f t="shared" si="5"/>
        <v>#VALUE!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1">
        <f>'Données projet'!A99</f>
        <v>0</v>
      </c>
      <c r="B96" s="192">
        <f>'Données projet'!D99</f>
        <v>0</v>
      </c>
      <c r="C96" s="203"/>
      <c r="D96" s="190">
        <f t="shared" si="6"/>
        <v>0</v>
      </c>
      <c r="E96" s="205"/>
      <c r="F96" s="262"/>
      <c r="G96" s="222"/>
      <c r="H96" s="202"/>
      <c r="I96" s="203"/>
      <c r="J96" s="5"/>
      <c r="K96" s="182"/>
      <c r="L96" s="5"/>
      <c r="M96" s="5"/>
      <c r="N96" s="5"/>
      <c r="O96" s="206" t="e">
        <f>IF(O95+1&lt;=MIN('Données projet'!$E$9:$E$18),O95+1,"STOP")</f>
        <v>#VALUE!</v>
      </c>
      <c r="P96" s="196" t="e">
        <f t="shared" si="5"/>
        <v>#VALUE!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1">
        <f>'Données projet'!A100</f>
        <v>0</v>
      </c>
      <c r="B97" s="192">
        <f>'Données projet'!D100</f>
        <v>0</v>
      </c>
      <c r="C97" s="203"/>
      <c r="D97" s="190">
        <f t="shared" si="6"/>
        <v>0</v>
      </c>
      <c r="E97" s="205"/>
      <c r="F97" s="262"/>
      <c r="G97" s="222"/>
      <c r="H97" s="202"/>
      <c r="I97" s="203"/>
      <c r="J97" s="5"/>
      <c r="K97" s="182"/>
      <c r="L97" s="5"/>
      <c r="M97" s="5"/>
      <c r="N97" s="5"/>
      <c r="O97" s="206" t="e">
        <f>IF(O96+1&lt;=MIN('Données projet'!$E$9:$E$18),O96+1,"STOP")</f>
        <v>#VALUE!</v>
      </c>
      <c r="P97" s="196" t="e">
        <f t="shared" ref="P97:P128" si="7">$P$25/(1+$M$4)^O97</f>
        <v>#VALUE!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1">
        <f>'Données projet'!A101</f>
        <v>0</v>
      </c>
      <c r="B98" s="192">
        <f>'Données projet'!D101</f>
        <v>0</v>
      </c>
      <c r="C98" s="203"/>
      <c r="D98" s="190">
        <f t="shared" si="6"/>
        <v>0</v>
      </c>
      <c r="E98" s="205"/>
      <c r="F98" s="262"/>
      <c r="G98" s="222"/>
      <c r="H98" s="202"/>
      <c r="I98" s="203"/>
      <c r="J98" s="5"/>
      <c r="K98" s="182"/>
      <c r="L98" s="5"/>
      <c r="M98" s="5"/>
      <c r="N98" s="5"/>
      <c r="O98" s="206" t="e">
        <f>IF(O97+1&lt;=MIN('Données projet'!$E$9:$E$18),O97+1,"STOP")</f>
        <v>#VALUE!</v>
      </c>
      <c r="P98" s="196" t="e">
        <f t="shared" si="7"/>
        <v>#VALUE!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1">
        <f>'Données projet'!A102</f>
        <v>0</v>
      </c>
      <c r="B99" s="192">
        <f>'Données projet'!D102</f>
        <v>0</v>
      </c>
      <c r="C99" s="203"/>
      <c r="D99" s="190">
        <f t="shared" si="6"/>
        <v>0</v>
      </c>
      <c r="E99" s="205"/>
      <c r="F99" s="262"/>
      <c r="G99" s="222"/>
      <c r="H99" s="202"/>
      <c r="I99" s="203"/>
      <c r="J99" s="5"/>
      <c r="K99" s="182"/>
      <c r="L99" s="5"/>
      <c r="M99" s="5"/>
      <c r="N99" s="5"/>
      <c r="O99" s="206" t="e">
        <f>IF(O98+1&lt;=MIN('Données projet'!$E$9:$E$18),O98+1,"STOP")</f>
        <v>#VALUE!</v>
      </c>
      <c r="P99" s="196" t="e">
        <f t="shared" si="7"/>
        <v>#VALUE!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1">
        <f>'Données projet'!A103</f>
        <v>0</v>
      </c>
      <c r="B100" s="192">
        <f>'Données projet'!D103</f>
        <v>0</v>
      </c>
      <c r="C100" s="203"/>
      <c r="D100" s="190">
        <f t="shared" si="6"/>
        <v>0</v>
      </c>
      <c r="E100" s="205"/>
      <c r="F100" s="262"/>
      <c r="G100" s="222"/>
      <c r="H100" s="202"/>
      <c r="I100" s="203"/>
      <c r="J100" s="5"/>
      <c r="K100" s="182"/>
      <c r="L100" s="5"/>
      <c r="M100" s="5"/>
      <c r="N100" s="5"/>
      <c r="O100" s="206" t="e">
        <f>IF(O99+1&lt;=MIN('Données projet'!$E$9:$E$18),O99+1,"STOP")</f>
        <v>#VALUE!</v>
      </c>
      <c r="P100" s="196" t="e">
        <f t="shared" si="7"/>
        <v>#VALUE!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1">
        <f>'Données projet'!A104</f>
        <v>0</v>
      </c>
      <c r="B101" s="192">
        <f>'Données projet'!D104</f>
        <v>0</v>
      </c>
      <c r="C101" s="203"/>
      <c r="D101" s="190">
        <f t="shared" si="6"/>
        <v>0</v>
      </c>
      <c r="E101" s="205"/>
      <c r="F101" s="262"/>
      <c r="G101" s="222"/>
      <c r="H101" s="202"/>
      <c r="I101" s="203"/>
      <c r="J101" s="5"/>
      <c r="K101" s="182"/>
      <c r="L101" s="5"/>
      <c r="M101" s="5"/>
      <c r="N101" s="5"/>
      <c r="O101" s="206" t="e">
        <f>IF(O100+1&lt;=MIN('Données projet'!$E$9:$E$18),O100+1,"STOP")</f>
        <v>#VALUE!</v>
      </c>
      <c r="P101" s="196" t="e">
        <f t="shared" si="7"/>
        <v>#VALUE!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1">
        <f>'Données projet'!A105</f>
        <v>0</v>
      </c>
      <c r="B102" s="192">
        <f>'Données projet'!D105</f>
        <v>0</v>
      </c>
      <c r="C102" s="203"/>
      <c r="D102" s="190">
        <f t="shared" si="6"/>
        <v>0</v>
      </c>
      <c r="E102" s="205"/>
      <c r="F102" s="262"/>
      <c r="G102" s="222"/>
      <c r="H102" s="202"/>
      <c r="I102" s="203"/>
      <c r="J102" s="5"/>
      <c r="K102" s="182"/>
      <c r="L102" s="5"/>
      <c r="M102" s="5"/>
      <c r="N102" s="5"/>
      <c r="O102" s="206" t="e">
        <f>IF(O101+1&lt;=MIN('Données projet'!$E$9:$E$18),O101+1,"STOP")</f>
        <v>#VALUE!</v>
      </c>
      <c r="P102" s="196" t="e">
        <f t="shared" si="7"/>
        <v>#VALUE!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1">
        <f>'Données projet'!A106</f>
        <v>0</v>
      </c>
      <c r="B103" s="192">
        <f>'Données projet'!D106</f>
        <v>0</v>
      </c>
      <c r="C103" s="203"/>
      <c r="D103" s="190">
        <f t="shared" si="6"/>
        <v>0</v>
      </c>
      <c r="E103" s="205"/>
      <c r="F103" s="262"/>
      <c r="G103" s="222"/>
      <c r="H103" s="202"/>
      <c r="I103" s="203"/>
      <c r="J103" s="5"/>
      <c r="K103" s="182"/>
      <c r="L103" s="5"/>
      <c r="M103" s="5"/>
      <c r="N103" s="5"/>
      <c r="O103" s="206" t="e">
        <f>IF(O102+1&lt;=MIN('Données projet'!$E$9:$E$18),O102+1,"STOP")</f>
        <v>#VALUE!</v>
      </c>
      <c r="P103" s="196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1">
        <f>'Données projet'!A107</f>
        <v>0</v>
      </c>
      <c r="B104" s="192">
        <f>'Données projet'!D107</f>
        <v>0</v>
      </c>
      <c r="C104" s="203"/>
      <c r="D104" s="190">
        <f t="shared" si="6"/>
        <v>0</v>
      </c>
      <c r="E104" s="205"/>
      <c r="F104" s="262"/>
      <c r="G104" s="222"/>
      <c r="H104" s="202"/>
      <c r="I104" s="203"/>
      <c r="J104" s="5"/>
      <c r="K104" s="182"/>
      <c r="L104" s="5"/>
      <c r="M104" s="5"/>
      <c r="N104" s="5"/>
      <c r="O104" s="206" t="e">
        <f>IF(O103+1&lt;=MIN('Données projet'!$E$9:$E$18),O103+1,"STOP")</f>
        <v>#VALUE!</v>
      </c>
      <c r="P104" s="196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0"/>
      <c r="G105" s="222"/>
      <c r="H105" s="202"/>
      <c r="I105" s="203"/>
      <c r="J105" s="5"/>
      <c r="K105" s="182"/>
      <c r="L105" s="5"/>
      <c r="M105" s="5"/>
      <c r="N105" s="5"/>
      <c r="O105" s="206" t="e">
        <f>IF(O104+1&lt;=MIN('Données projet'!$E$9:$E$18),O104+1,"STOP")</f>
        <v>#VALUE!</v>
      </c>
      <c r="P105" s="196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0"/>
      <c r="G106" s="222"/>
      <c r="H106" s="202"/>
      <c r="I106" s="203"/>
      <c r="J106" s="5"/>
      <c r="K106" s="182"/>
      <c r="L106" s="5"/>
      <c r="M106" s="5"/>
      <c r="N106" s="5"/>
      <c r="O106" s="206" t="e">
        <f>IF(O105+1&lt;=MIN('Données projet'!$E$9:$E$18),O105+1,"STOP")</f>
        <v>#VALUE!</v>
      </c>
      <c r="P106" s="196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5" t="str">
        <f>IF('Données projet'!B12="","",'Données projet'!B12)</f>
        <v>Alisier torminal</v>
      </c>
      <c r="C107" s="5"/>
      <c r="D107" s="5"/>
      <c r="E107" s="5"/>
      <c r="F107" s="260"/>
      <c r="G107" s="222"/>
      <c r="H107" s="202"/>
      <c r="I107" s="203"/>
      <c r="J107" s="5"/>
      <c r="K107" s="182"/>
      <c r="L107" s="5"/>
      <c r="M107" s="5"/>
      <c r="N107" s="5"/>
      <c r="O107" s="206" t="e">
        <f>IF(O106+1&lt;=MIN('Données projet'!$E$9:$E$18),O106+1,"STOP")</f>
        <v>#VALUE!</v>
      </c>
      <c r="P107" s="196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0"/>
      <c r="G108" s="222"/>
      <c r="H108" s="202"/>
      <c r="I108" s="203"/>
      <c r="J108" s="5"/>
      <c r="K108" s="182"/>
      <c r="L108" s="5"/>
      <c r="M108" s="5"/>
      <c r="N108" s="5"/>
      <c r="O108" s="206" t="e">
        <f>IF(O107+1&lt;=MIN('Données projet'!$E$9:$E$18),O107+1,"STOP")</f>
        <v>#VALUE!</v>
      </c>
      <c r="P108" s="196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2"/>
      <c r="I109" s="203"/>
      <c r="J109" s="5"/>
      <c r="K109" s="182"/>
      <c r="L109" s="5"/>
      <c r="M109" s="5"/>
      <c r="N109" s="5"/>
      <c r="O109" s="206" t="e">
        <f>IF(O108+1&lt;=MIN('Données projet'!$E$9:$E$18),O108+1,"STOP")</f>
        <v>#VALUE!</v>
      </c>
      <c r="P109" s="196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9">
        <v>0</v>
      </c>
      <c r="B110" s="212" t="s">
        <v>132</v>
      </c>
      <c r="C110" s="211" t="s">
        <v>132</v>
      </c>
      <c r="D110" s="210" t="s">
        <v>132</v>
      </c>
      <c r="E110" s="205"/>
      <c r="F110" s="261"/>
      <c r="G110" s="222"/>
      <c r="H110" s="202"/>
      <c r="I110" s="203"/>
      <c r="J110" s="5"/>
      <c r="K110" s="182"/>
      <c r="L110" s="5"/>
      <c r="M110" s="5"/>
      <c r="N110" s="5"/>
      <c r="O110" s="206" t="e">
        <f>IF(O109+1&lt;=MIN('Données projet'!$E$9:$E$18),O109+1,"STOP")</f>
        <v>#VALUE!</v>
      </c>
      <c r="P110" s="196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9">
        <v>1</v>
      </c>
      <c r="B111" s="212" t="s">
        <v>132</v>
      </c>
      <c r="C111" s="211" t="s">
        <v>132</v>
      </c>
      <c r="D111" s="210" t="s">
        <v>132</v>
      </c>
      <c r="E111" s="205"/>
      <c r="F111" s="261"/>
      <c r="G111" s="220"/>
      <c r="H111" s="202"/>
      <c r="I111" s="203"/>
      <c r="J111" s="5"/>
      <c r="K111" s="182"/>
      <c r="L111" s="5"/>
      <c r="M111" s="5"/>
      <c r="N111" s="5"/>
      <c r="O111" s="206" t="e">
        <f>IF(O110+1&lt;=MIN('Données projet'!$E$9:$E$18),O110+1,"STOP")</f>
        <v>#VALUE!</v>
      </c>
      <c r="P111" s="196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9">
        <v>2</v>
      </c>
      <c r="B112" s="212" t="s">
        <v>132</v>
      </c>
      <c r="C112" s="211" t="s">
        <v>132</v>
      </c>
      <c r="D112" s="210" t="s">
        <v>132</v>
      </c>
      <c r="E112" s="205"/>
      <c r="F112" s="261"/>
      <c r="G112" s="220"/>
      <c r="H112" s="202"/>
      <c r="I112" s="203"/>
      <c r="J112" s="5"/>
      <c r="K112" s="182"/>
      <c r="L112" s="5"/>
      <c r="M112" s="5"/>
      <c r="N112" s="5"/>
      <c r="O112" s="206" t="e">
        <f>IF(O111+1&lt;=MIN('Données projet'!$E$9:$E$18),O111+1,"STOP")</f>
        <v>#VALUE!</v>
      </c>
      <c r="P112" s="196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9">
        <v>3</v>
      </c>
      <c r="B113" s="212" t="s">
        <v>132</v>
      </c>
      <c r="C113" s="211" t="s">
        <v>132</v>
      </c>
      <c r="D113" s="210" t="s">
        <v>132</v>
      </c>
      <c r="E113" s="205"/>
      <c r="F113" s="261"/>
      <c r="G113" s="220"/>
      <c r="H113" s="202"/>
      <c r="I113" s="203"/>
      <c r="J113" s="5"/>
      <c r="K113" s="182"/>
      <c r="L113" s="5"/>
      <c r="M113" s="5"/>
      <c r="N113" s="5"/>
      <c r="O113" s="206" t="e">
        <f>IF(O112+1&lt;=MIN('Données projet'!$E$9:$E$18),O112+1,"STOP")</f>
        <v>#VALUE!</v>
      </c>
      <c r="P113" s="196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9">
        <v>4</v>
      </c>
      <c r="B114" s="212" t="s">
        <v>132</v>
      </c>
      <c r="C114" s="211" t="s">
        <v>132</v>
      </c>
      <c r="D114" s="210" t="s">
        <v>132</v>
      </c>
      <c r="E114" s="205"/>
      <c r="F114" s="261"/>
      <c r="G114" s="220"/>
      <c r="H114" s="202"/>
      <c r="I114" s="203"/>
      <c r="J114" s="5"/>
      <c r="K114" s="182"/>
      <c r="L114" s="5"/>
      <c r="M114" s="5"/>
      <c r="N114" s="5"/>
      <c r="O114" s="206" t="e">
        <f>IF(O113+1&lt;=MIN('Données projet'!$E$9:$E$18),O113+1,"STOP")</f>
        <v>#VALUE!</v>
      </c>
      <c r="P114" s="196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9">
        <v>5</v>
      </c>
      <c r="B115" s="212" t="s">
        <v>132</v>
      </c>
      <c r="C115" s="211" t="s">
        <v>132</v>
      </c>
      <c r="D115" s="210" t="s">
        <v>132</v>
      </c>
      <c r="E115" s="205"/>
      <c r="F115" s="261"/>
      <c r="G115" s="221"/>
      <c r="H115" s="202"/>
      <c r="I115" s="203"/>
      <c r="J115" s="5"/>
      <c r="K115" s="182"/>
      <c r="L115" s="5"/>
      <c r="M115" s="5"/>
      <c r="N115" s="5"/>
      <c r="O115" s="206" t="e">
        <f>IF(O114+1&lt;=MIN('Données projet'!$E$9:$E$18),O114+1,"STOP")</f>
        <v>#VALUE!</v>
      </c>
      <c r="P115" s="196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1">
        <f>'Données projet'!A114</f>
        <v>25</v>
      </c>
      <c r="B116" s="192">
        <f>'Données projet'!D114</f>
        <v>0</v>
      </c>
      <c r="C116" s="203"/>
      <c r="D116" s="190">
        <f>B116*C116</f>
        <v>0</v>
      </c>
      <c r="E116" s="205"/>
      <c r="F116" s="262"/>
      <c r="G116" s="221"/>
      <c r="H116" s="202"/>
      <c r="I116" s="203"/>
      <c r="J116" s="5"/>
      <c r="K116" s="182"/>
      <c r="L116" s="5"/>
      <c r="M116" s="5"/>
      <c r="N116" s="5"/>
      <c r="O116" s="206" t="e">
        <f>IF(O115+1&lt;=MIN('Données projet'!$E$9:$E$18),O115+1,"STOP")</f>
        <v>#VALUE!</v>
      </c>
      <c r="P116" s="196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1">
        <f>'Données projet'!A115</f>
        <v>30</v>
      </c>
      <c r="B117" s="192">
        <f>'Données projet'!D115</f>
        <v>29</v>
      </c>
      <c r="C117" s="203">
        <v>10</v>
      </c>
      <c r="D117" s="190">
        <f t="shared" ref="D117:D135" si="8">B117*C117</f>
        <v>290</v>
      </c>
      <c r="E117" s="205"/>
      <c r="F117" s="262"/>
      <c r="G117" s="221"/>
      <c r="H117" s="202"/>
      <c r="I117" s="203"/>
      <c r="J117" s="5"/>
      <c r="K117" s="182"/>
      <c r="L117" s="5"/>
      <c r="M117" s="5"/>
      <c r="N117" s="5"/>
      <c r="O117" s="206" t="e">
        <f>IF(O116+1&lt;=MIN('Données projet'!$E$9:$E$18),O116+1,"STOP")</f>
        <v>#VALUE!</v>
      </c>
      <c r="P117" s="196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1">
        <f>'Données projet'!A116</f>
        <v>35</v>
      </c>
      <c r="B118" s="192">
        <f>'Données projet'!D116</f>
        <v>0</v>
      </c>
      <c r="C118" s="203"/>
      <c r="D118" s="190">
        <f t="shared" si="8"/>
        <v>0</v>
      </c>
      <c r="E118" s="205"/>
      <c r="F118" s="262"/>
      <c r="G118" s="221"/>
      <c r="H118" s="202"/>
      <c r="I118" s="203"/>
      <c r="J118" s="5"/>
      <c r="K118" s="182"/>
      <c r="L118" s="5"/>
      <c r="M118" s="5"/>
      <c r="N118" s="5"/>
      <c r="O118" s="206" t="e">
        <f>IF(O117+1&lt;=MIN('Données projet'!$E$9:$E$18),O117+1,"STOP")</f>
        <v>#VALUE!</v>
      </c>
      <c r="P118" s="196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1">
        <f>'Données projet'!A117</f>
        <v>40</v>
      </c>
      <c r="B119" s="192">
        <f>'Données projet'!D117</f>
        <v>42</v>
      </c>
      <c r="C119" s="203">
        <v>10</v>
      </c>
      <c r="D119" s="190">
        <f t="shared" si="8"/>
        <v>420</v>
      </c>
      <c r="E119" s="205"/>
      <c r="F119" s="262"/>
      <c r="G119" s="221"/>
      <c r="H119" s="202"/>
      <c r="I119" s="203"/>
      <c r="J119" s="5"/>
      <c r="K119" s="182"/>
      <c r="L119" s="5"/>
      <c r="M119" s="5"/>
      <c r="N119" s="5"/>
      <c r="O119" s="206" t="e">
        <f>IF(O118+1&lt;=MIN('Données projet'!$E$9:$E$18),O118+1,"STOP")</f>
        <v>#VALUE!</v>
      </c>
      <c r="P119" s="196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1">
        <f>'Données projet'!A118</f>
        <v>45</v>
      </c>
      <c r="B120" s="192">
        <f>'Données projet'!D118</f>
        <v>0</v>
      </c>
      <c r="C120" s="203"/>
      <c r="D120" s="190">
        <f t="shared" si="8"/>
        <v>0</v>
      </c>
      <c r="E120" s="205"/>
      <c r="F120" s="262"/>
      <c r="G120" s="221"/>
      <c r="H120" s="202"/>
      <c r="I120" s="203"/>
      <c r="J120" s="5"/>
      <c r="K120" s="182"/>
      <c r="L120" s="5"/>
      <c r="M120" s="5"/>
      <c r="N120" s="5"/>
      <c r="O120" s="206" t="e">
        <f>IF(O119+1&lt;=MIN('Données projet'!$E$9:$E$18),O119+1,"STOP")</f>
        <v>#VALUE!</v>
      </c>
      <c r="P120" s="196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1">
        <f>'Données projet'!A119</f>
        <v>50</v>
      </c>
      <c r="B121" s="192">
        <f>'Données projet'!D119</f>
        <v>42</v>
      </c>
      <c r="C121" s="203">
        <v>20</v>
      </c>
      <c r="D121" s="190">
        <f t="shared" si="8"/>
        <v>840</v>
      </c>
      <c r="E121" s="205"/>
      <c r="F121" s="262"/>
      <c r="G121" s="221"/>
      <c r="H121" s="202"/>
      <c r="I121" s="203"/>
      <c r="J121" s="5"/>
      <c r="K121" s="182"/>
      <c r="L121" s="5"/>
      <c r="M121" s="5"/>
      <c r="N121" s="5"/>
      <c r="O121" s="206" t="e">
        <f>IF(O120+1&lt;=MIN('Données projet'!$E$9:$E$18),O120+1,"STOP")</f>
        <v>#VALUE!</v>
      </c>
      <c r="P121" s="196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1">
        <f>'Données projet'!A120</f>
        <v>55</v>
      </c>
      <c r="B122" s="192">
        <f>'Données projet'!D120</f>
        <v>0</v>
      </c>
      <c r="C122" s="203"/>
      <c r="D122" s="190">
        <f t="shared" si="8"/>
        <v>0</v>
      </c>
      <c r="E122" s="205"/>
      <c r="F122" s="262"/>
      <c r="G122" s="222"/>
      <c r="H122" s="202"/>
      <c r="I122" s="203"/>
      <c r="J122" s="5"/>
      <c r="K122" s="182"/>
      <c r="L122" s="5"/>
      <c r="M122" s="5"/>
      <c r="N122" s="5"/>
      <c r="O122" s="206" t="e">
        <f>IF(O121+1&lt;=MIN('Données projet'!$E$9:$E$18),O121+1,"STOP")</f>
        <v>#VALUE!</v>
      </c>
      <c r="P122" s="196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1">
        <f>'Données projet'!A121</f>
        <v>60</v>
      </c>
      <c r="B123" s="192">
        <f>'Données projet'!D121</f>
        <v>42</v>
      </c>
      <c r="C123" s="203">
        <v>20</v>
      </c>
      <c r="D123" s="190">
        <f t="shared" si="8"/>
        <v>840</v>
      </c>
      <c r="E123" s="205"/>
      <c r="F123" s="262"/>
      <c r="G123" s="222"/>
      <c r="H123" s="202"/>
      <c r="I123" s="203"/>
      <c r="J123" s="5"/>
      <c r="K123" s="182"/>
      <c r="L123" s="5"/>
      <c r="M123" s="5"/>
      <c r="N123" s="5"/>
      <c r="O123" s="206" t="e">
        <f>IF(O122+1&lt;=MIN('Données projet'!$E$9:$E$18),O122+1,"STOP")</f>
        <v>#VALUE!</v>
      </c>
      <c r="P123" s="196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1">
        <f>'Données projet'!A122</f>
        <v>65</v>
      </c>
      <c r="B124" s="192">
        <f>'Données projet'!D122</f>
        <v>0</v>
      </c>
      <c r="C124" s="203"/>
      <c r="D124" s="190">
        <f t="shared" si="8"/>
        <v>0</v>
      </c>
      <c r="E124" s="205"/>
      <c r="F124" s="262"/>
      <c r="G124" s="222"/>
      <c r="H124" s="202"/>
      <c r="I124" s="203"/>
      <c r="J124" s="5"/>
      <c r="K124" s="182"/>
      <c r="L124" s="5"/>
      <c r="M124" s="5"/>
      <c r="N124" s="5"/>
      <c r="O124" s="206" t="e">
        <f>IF(O123+1&lt;=MIN('Données projet'!$E$9:$E$18),O123+1,"STOP")</f>
        <v>#VALUE!</v>
      </c>
      <c r="P124" s="196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1">
        <f>'Données projet'!A123</f>
        <v>70</v>
      </c>
      <c r="B125" s="192">
        <f>'Données projet'!D123</f>
        <v>42</v>
      </c>
      <c r="C125" s="203">
        <v>30</v>
      </c>
      <c r="D125" s="190">
        <f t="shared" si="8"/>
        <v>1260</v>
      </c>
      <c r="E125" s="205"/>
      <c r="F125" s="262"/>
      <c r="G125" s="222"/>
      <c r="H125" s="202"/>
      <c r="I125" s="203"/>
      <c r="J125" s="5"/>
      <c r="K125" s="182"/>
      <c r="L125" s="5"/>
      <c r="M125" s="5"/>
      <c r="N125" s="5"/>
      <c r="O125" s="206" t="e">
        <f>IF(O124+1&lt;=MIN('Données projet'!$E$9:$E$18),O124+1,"STOP")</f>
        <v>#VALUE!</v>
      </c>
      <c r="P125" s="196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1">
        <f>'Données projet'!A124</f>
        <v>75</v>
      </c>
      <c r="B126" s="192">
        <f>'Données projet'!D124</f>
        <v>0</v>
      </c>
      <c r="C126" s="203"/>
      <c r="D126" s="190">
        <f t="shared" si="8"/>
        <v>0</v>
      </c>
      <c r="E126" s="205"/>
      <c r="F126" s="262"/>
      <c r="G126" s="222"/>
      <c r="H126" s="202"/>
      <c r="I126" s="203"/>
      <c r="J126" s="5"/>
      <c r="K126" s="182"/>
      <c r="L126" s="5"/>
      <c r="M126" s="5"/>
      <c r="N126" s="5"/>
      <c r="O126" s="206" t="e">
        <f>IF(O125+1&lt;=MIN('Données projet'!$E$9:$E$18),O125+1,"STOP")</f>
        <v>#VALUE!</v>
      </c>
      <c r="P126" s="196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1">
        <f>'Données projet'!A125</f>
        <v>80</v>
      </c>
      <c r="B127" s="192">
        <f>'Données projet'!D125</f>
        <v>42</v>
      </c>
      <c r="C127" s="203">
        <v>40</v>
      </c>
      <c r="D127" s="190">
        <f t="shared" si="8"/>
        <v>1680</v>
      </c>
      <c r="E127" s="205"/>
      <c r="F127" s="262"/>
      <c r="G127" s="222"/>
      <c r="H127" s="202"/>
      <c r="I127" s="203"/>
      <c r="J127" s="5"/>
      <c r="K127" s="182"/>
      <c r="L127" s="5"/>
      <c r="M127" s="5"/>
      <c r="N127" s="5"/>
      <c r="O127" s="206" t="e">
        <f>IF(O126+1&lt;=MIN('Données projet'!$E$9:$E$18),O126+1,"STOP")</f>
        <v>#VALUE!</v>
      </c>
      <c r="P127" s="196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1">
        <f>'Données projet'!A126</f>
        <v>85</v>
      </c>
      <c r="B128" s="192">
        <f>'Données projet'!D126</f>
        <v>0</v>
      </c>
      <c r="C128" s="203"/>
      <c r="D128" s="190">
        <f t="shared" si="8"/>
        <v>0</v>
      </c>
      <c r="E128" s="205"/>
      <c r="F128" s="262"/>
      <c r="G128" s="222"/>
      <c r="H128" s="202"/>
      <c r="I128" s="203"/>
      <c r="J128" s="5"/>
      <c r="K128" s="182"/>
      <c r="L128" s="5"/>
      <c r="M128" s="5"/>
      <c r="N128" s="5"/>
      <c r="O128" s="206" t="e">
        <f>IF(O127+1&lt;=MIN('Données projet'!$E$9:$E$18),O127+1,"STOP")</f>
        <v>#VALUE!</v>
      </c>
      <c r="P128" s="196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1">
        <f>'Données projet'!A127</f>
        <v>90</v>
      </c>
      <c r="B129" s="192">
        <f>'Données projet'!D127</f>
        <v>42</v>
      </c>
      <c r="C129" s="203">
        <v>50</v>
      </c>
      <c r="D129" s="190">
        <f t="shared" si="8"/>
        <v>2100</v>
      </c>
      <c r="E129" s="205"/>
      <c r="F129" s="262"/>
      <c r="G129" s="222"/>
      <c r="H129" s="202"/>
      <c r="I129" s="203"/>
      <c r="J129" s="5"/>
      <c r="K129" s="182"/>
      <c r="L129" s="5"/>
      <c r="M129" s="5"/>
      <c r="N129" s="5"/>
      <c r="O129" s="206" t="e">
        <f>IF(O128+1&lt;=MIN('Données projet'!$E$9:$E$18),O128+1,"STOP")</f>
        <v>#VALUE!</v>
      </c>
      <c r="P129" s="196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1">
        <f>'Données projet'!A128</f>
        <v>100</v>
      </c>
      <c r="B130" s="192">
        <f>'Données projet'!D128</f>
        <v>42</v>
      </c>
      <c r="C130" s="203">
        <v>60</v>
      </c>
      <c r="D130" s="190">
        <f t="shared" si="8"/>
        <v>2520</v>
      </c>
      <c r="E130" s="205"/>
      <c r="F130" s="262"/>
      <c r="G130" s="222"/>
      <c r="H130" s="202"/>
      <c r="I130" s="203"/>
      <c r="J130" s="5"/>
      <c r="K130" s="182"/>
      <c r="L130" s="5"/>
      <c r="M130" s="5"/>
      <c r="N130" s="5"/>
      <c r="O130" s="206" t="e">
        <f>IF(O129+1&lt;=MIN('Données projet'!$E$9:$E$18),O129+1,"STOP")</f>
        <v>#VALUE!</v>
      </c>
      <c r="P130" s="196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1">
        <f>'Données projet'!A129</f>
        <v>110</v>
      </c>
      <c r="B131" s="192">
        <f>'Données projet'!D129</f>
        <v>39</v>
      </c>
      <c r="C131" s="203">
        <v>70</v>
      </c>
      <c r="D131" s="190">
        <f t="shared" si="8"/>
        <v>2730</v>
      </c>
      <c r="E131" s="205"/>
      <c r="F131" s="262"/>
      <c r="G131" s="222"/>
      <c r="H131" s="202"/>
      <c r="I131" s="203"/>
      <c r="J131" s="5"/>
      <c r="K131" s="182"/>
      <c r="L131" s="5"/>
      <c r="M131" s="5"/>
      <c r="N131" s="5"/>
      <c r="O131" s="206" t="e">
        <f>IF(O130+1&lt;=MIN('Données projet'!$E$9:$E$18),O130+1,"STOP")</f>
        <v>#VALUE!</v>
      </c>
      <c r="P131" s="196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1">
        <f>'Données projet'!A130</f>
        <v>120</v>
      </c>
      <c r="B132" s="192">
        <f>'Données projet'!D130</f>
        <v>35</v>
      </c>
      <c r="C132" s="203">
        <v>80</v>
      </c>
      <c r="D132" s="190">
        <f t="shared" si="8"/>
        <v>2800</v>
      </c>
      <c r="E132" s="205"/>
      <c r="F132" s="262"/>
      <c r="G132" s="222"/>
      <c r="H132" s="202"/>
      <c r="I132" s="203"/>
      <c r="J132" s="5"/>
      <c r="K132" s="182"/>
      <c r="L132" s="5"/>
      <c r="M132" s="5"/>
      <c r="N132" s="5"/>
      <c r="O132" s="206" t="e">
        <f>IF(O131+1&lt;=MIN('Données projet'!$E$9:$E$18),O131+1,"STOP")</f>
        <v>#VALUE!</v>
      </c>
      <c r="P132" s="196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1">
        <f>'Données projet'!A131</f>
        <v>130</v>
      </c>
      <c r="B133" s="192">
        <f>'Données projet'!D131</f>
        <v>31</v>
      </c>
      <c r="C133" s="203">
        <v>90</v>
      </c>
      <c r="D133" s="190">
        <f t="shared" si="8"/>
        <v>2790</v>
      </c>
      <c r="E133" s="205"/>
      <c r="F133" s="262"/>
      <c r="G133" s="222"/>
      <c r="H133" s="202"/>
      <c r="I133" s="203"/>
      <c r="J133" s="5"/>
      <c r="K133" s="182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1">
        <f>'Données projet'!A132</f>
        <v>140</v>
      </c>
      <c r="B134" s="192">
        <f>'Données projet'!D132</f>
        <v>27</v>
      </c>
      <c r="C134" s="203">
        <v>100</v>
      </c>
      <c r="D134" s="190">
        <f t="shared" si="8"/>
        <v>2700</v>
      </c>
      <c r="E134" s="205"/>
      <c r="F134" s="262"/>
      <c r="G134" s="222"/>
      <c r="H134" s="202"/>
      <c r="I134" s="203"/>
      <c r="J134" s="5"/>
      <c r="K134" s="182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1">
        <f>'Données projet'!A133</f>
        <v>150</v>
      </c>
      <c r="B135" s="192">
        <f>'Données projet'!D133</f>
        <v>293</v>
      </c>
      <c r="C135" s="203">
        <v>150</v>
      </c>
      <c r="D135" s="190">
        <f t="shared" si="8"/>
        <v>43950</v>
      </c>
      <c r="E135" s="205"/>
      <c r="F135" s="262"/>
      <c r="G135" s="222"/>
      <c r="H135" s="202"/>
      <c r="I135" s="203"/>
      <c r="J135" s="5"/>
      <c r="K135" s="182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0"/>
      <c r="G136" s="222"/>
      <c r="H136" s="202"/>
      <c r="I136" s="203"/>
      <c r="J136" s="5"/>
      <c r="K136" s="182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0"/>
      <c r="G137" s="222"/>
      <c r="H137" s="202"/>
      <c r="I137" s="203"/>
      <c r="J137" s="5"/>
      <c r="K137" s="182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5" t="str">
        <f>IF('Données projet'!B13="","",'Données projet'!B13)</f>
        <v/>
      </c>
      <c r="C138" s="5"/>
      <c r="D138" s="5"/>
      <c r="E138" s="5"/>
      <c r="F138" s="260"/>
      <c r="G138" s="222"/>
      <c r="H138" s="202"/>
      <c r="I138" s="203"/>
      <c r="J138" s="5"/>
      <c r="K138" s="182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0"/>
      <c r="G139" s="222"/>
      <c r="H139" s="202"/>
      <c r="I139" s="203"/>
      <c r="J139" s="5"/>
      <c r="K139" s="182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2"/>
      <c r="I140" s="203"/>
      <c r="J140" s="5"/>
      <c r="K140" s="182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9">
        <v>0</v>
      </c>
      <c r="B141" s="212" t="s">
        <v>132</v>
      </c>
      <c r="C141" s="211" t="s">
        <v>132</v>
      </c>
      <c r="D141" s="210" t="s">
        <v>132</v>
      </c>
      <c r="E141" s="205"/>
      <c r="F141" s="261"/>
      <c r="G141" s="222"/>
      <c r="H141" s="202"/>
      <c r="I141" s="203"/>
      <c r="J141" s="5"/>
      <c r="K141" s="182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9">
        <v>1</v>
      </c>
      <c r="B142" s="212" t="s">
        <v>132</v>
      </c>
      <c r="C142" s="211" t="s">
        <v>132</v>
      </c>
      <c r="D142" s="210" t="s">
        <v>132</v>
      </c>
      <c r="E142" s="205"/>
      <c r="F142" s="261"/>
      <c r="G142" s="220"/>
      <c r="H142" s="202"/>
      <c r="I142" s="203"/>
      <c r="J142" s="5"/>
      <c r="K142" s="182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9">
        <v>2</v>
      </c>
      <c r="B143" s="212" t="s">
        <v>132</v>
      </c>
      <c r="C143" s="211" t="s">
        <v>132</v>
      </c>
      <c r="D143" s="210" t="s">
        <v>132</v>
      </c>
      <c r="E143" s="205"/>
      <c r="F143" s="261"/>
      <c r="G143" s="220"/>
      <c r="H143" s="202"/>
      <c r="I143" s="203"/>
      <c r="J143" s="5"/>
      <c r="K143" s="182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9">
        <v>3</v>
      </c>
      <c r="B144" s="212" t="s">
        <v>132</v>
      </c>
      <c r="C144" s="211" t="s">
        <v>132</v>
      </c>
      <c r="D144" s="210" t="s">
        <v>132</v>
      </c>
      <c r="E144" s="205"/>
      <c r="F144" s="261"/>
      <c r="G144" s="220"/>
      <c r="H144" s="202"/>
      <c r="I144" s="203"/>
      <c r="J144" s="5"/>
      <c r="K144" s="182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9">
        <v>4</v>
      </c>
      <c r="B145" s="212" t="s">
        <v>132</v>
      </c>
      <c r="C145" s="211" t="s">
        <v>132</v>
      </c>
      <c r="D145" s="210" t="s">
        <v>132</v>
      </c>
      <c r="E145" s="205"/>
      <c r="F145" s="261"/>
      <c r="G145" s="220"/>
      <c r="H145" s="202"/>
      <c r="I145" s="203"/>
      <c r="J145" s="5"/>
      <c r="K145" s="182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9">
        <v>5</v>
      </c>
      <c r="B146" s="212" t="s">
        <v>132</v>
      </c>
      <c r="C146" s="211" t="s">
        <v>132</v>
      </c>
      <c r="D146" s="210" t="s">
        <v>132</v>
      </c>
      <c r="E146" s="205"/>
      <c r="F146" s="261"/>
      <c r="G146" s="221"/>
      <c r="H146" s="202"/>
      <c r="I146" s="203"/>
      <c r="J146" s="5"/>
      <c r="K146" s="182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6">
        <f>'Données projet'!D140</f>
        <v>0</v>
      </c>
      <c r="C147" s="203"/>
      <c r="D147" s="193">
        <f>B147*C147</f>
        <v>0</v>
      </c>
      <c r="E147" s="205"/>
      <c r="F147" s="263"/>
      <c r="G147" s="221"/>
      <c r="H147" s="202"/>
      <c r="I147" s="203"/>
      <c r="J147" s="5"/>
      <c r="K147" s="182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6">
        <f>'Données projet'!D141</f>
        <v>0</v>
      </c>
      <c r="C148" s="203"/>
      <c r="D148" s="193">
        <f t="shared" ref="D148:D166" si="10">B148*C148</f>
        <v>0</v>
      </c>
      <c r="E148" s="205"/>
      <c r="F148" s="263"/>
      <c r="G148" s="221"/>
      <c r="H148" s="202"/>
      <c r="I148" s="203"/>
      <c r="J148" s="5"/>
      <c r="K148" s="182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6">
        <f>'Données projet'!D142</f>
        <v>0</v>
      </c>
      <c r="C149" s="203"/>
      <c r="D149" s="193">
        <f t="shared" si="10"/>
        <v>0</v>
      </c>
      <c r="E149" s="205"/>
      <c r="F149" s="263"/>
      <c r="G149" s="221"/>
      <c r="H149" s="202"/>
      <c r="I149" s="203"/>
      <c r="J149" s="5"/>
      <c r="K149" s="182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6">
        <f>'Données projet'!D143</f>
        <v>0</v>
      </c>
      <c r="C150" s="203"/>
      <c r="D150" s="193">
        <f t="shared" si="10"/>
        <v>0</v>
      </c>
      <c r="E150" s="205"/>
      <c r="F150" s="263"/>
      <c r="G150" s="221"/>
      <c r="H150" s="202"/>
      <c r="I150" s="203"/>
      <c r="J150" s="5"/>
      <c r="K150" s="182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6">
        <f>'Données projet'!D144</f>
        <v>0</v>
      </c>
      <c r="C151" s="203"/>
      <c r="D151" s="193">
        <f t="shared" si="10"/>
        <v>0</v>
      </c>
      <c r="E151" s="205"/>
      <c r="F151" s="263"/>
      <c r="G151" s="221"/>
      <c r="H151" s="202"/>
      <c r="I151" s="203"/>
      <c r="J151" s="5"/>
      <c r="K151" s="182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6">
        <f>'Données projet'!D145</f>
        <v>0</v>
      </c>
      <c r="C152" s="203"/>
      <c r="D152" s="193">
        <f t="shared" si="10"/>
        <v>0</v>
      </c>
      <c r="E152" s="205"/>
      <c r="F152" s="263"/>
      <c r="G152" s="221"/>
      <c r="H152" s="202"/>
      <c r="I152" s="203"/>
      <c r="J152" s="5"/>
      <c r="K152" s="182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6">
        <f>'Données projet'!D146</f>
        <v>0</v>
      </c>
      <c r="C153" s="203"/>
      <c r="D153" s="193">
        <f t="shared" si="10"/>
        <v>0</v>
      </c>
      <c r="E153" s="205"/>
      <c r="F153" s="263"/>
      <c r="G153" s="217"/>
      <c r="H153" s="202"/>
      <c r="I153" s="203"/>
      <c r="J153" s="5"/>
      <c r="K153" s="182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6">
        <f>'Données projet'!D147</f>
        <v>0</v>
      </c>
      <c r="C154" s="203"/>
      <c r="D154" s="193">
        <f t="shared" si="10"/>
        <v>0</v>
      </c>
      <c r="E154" s="205"/>
      <c r="F154" s="263"/>
      <c r="G154" s="217"/>
      <c r="H154" s="202"/>
      <c r="I154" s="203"/>
      <c r="J154" s="5"/>
      <c r="K154" s="182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6">
        <f>'Données projet'!D148</f>
        <v>0</v>
      </c>
      <c r="C155" s="203"/>
      <c r="D155" s="193">
        <f t="shared" si="10"/>
        <v>0</v>
      </c>
      <c r="E155" s="205"/>
      <c r="F155" s="263"/>
      <c r="G155" s="217"/>
      <c r="H155" s="202"/>
      <c r="I155" s="203"/>
      <c r="J155" s="5"/>
      <c r="K155" s="182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6">
        <f>'Données projet'!D149</f>
        <v>0</v>
      </c>
      <c r="C156" s="203"/>
      <c r="D156" s="193">
        <f t="shared" si="10"/>
        <v>0</v>
      </c>
      <c r="E156" s="205"/>
      <c r="F156" s="263"/>
      <c r="G156" s="217"/>
      <c r="H156" s="202"/>
      <c r="I156" s="203"/>
      <c r="J156" s="5"/>
      <c r="K156" s="182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6">
        <f>'Données projet'!D150</f>
        <v>0</v>
      </c>
      <c r="C157" s="203"/>
      <c r="D157" s="193">
        <f t="shared" si="10"/>
        <v>0</v>
      </c>
      <c r="E157" s="205"/>
      <c r="F157" s="263"/>
      <c r="G157" s="217"/>
      <c r="H157" s="202"/>
      <c r="I157" s="203"/>
      <c r="J157" s="5"/>
      <c r="K157" s="182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6">
        <f>'Données projet'!D151</f>
        <v>0</v>
      </c>
      <c r="C158" s="203"/>
      <c r="D158" s="193">
        <f t="shared" si="10"/>
        <v>0</v>
      </c>
      <c r="E158" s="205"/>
      <c r="F158" s="263"/>
      <c r="G158" s="217"/>
      <c r="H158" s="202"/>
      <c r="I158" s="203"/>
      <c r="J158" s="5"/>
      <c r="K158" s="182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6">
        <f>'Données projet'!D152</f>
        <v>0</v>
      </c>
      <c r="C159" s="203"/>
      <c r="D159" s="193">
        <f t="shared" si="10"/>
        <v>0</v>
      </c>
      <c r="E159" s="205"/>
      <c r="F159" s="263"/>
      <c r="G159" s="217"/>
      <c r="H159" s="202"/>
      <c r="I159" s="203"/>
      <c r="J159" s="5"/>
      <c r="K159" s="182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6">
        <f>'Données projet'!D153</f>
        <v>0</v>
      </c>
      <c r="C160" s="203"/>
      <c r="D160" s="193">
        <f t="shared" si="10"/>
        <v>0</v>
      </c>
      <c r="E160" s="205"/>
      <c r="F160" s="263"/>
      <c r="G160" s="217"/>
      <c r="H160" s="202"/>
      <c r="I160" s="203"/>
      <c r="J160" s="5"/>
      <c r="K160" s="182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6">
        <f>'Données projet'!D154</f>
        <v>0</v>
      </c>
      <c r="C161" s="203"/>
      <c r="D161" s="193">
        <f t="shared" si="10"/>
        <v>0</v>
      </c>
      <c r="E161" s="205"/>
      <c r="F161" s="263"/>
      <c r="G161" s="217"/>
      <c r="H161" s="202"/>
      <c r="I161" s="203"/>
      <c r="J161" s="5"/>
      <c r="K161" s="182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6">
        <f>'Données projet'!D155</f>
        <v>0</v>
      </c>
      <c r="C162" s="203"/>
      <c r="D162" s="193">
        <f t="shared" si="10"/>
        <v>0</v>
      </c>
      <c r="E162" s="205"/>
      <c r="F162" s="263"/>
      <c r="G162" s="217"/>
      <c r="H162" s="202"/>
      <c r="I162" s="203"/>
      <c r="J162" s="5"/>
      <c r="K162" s="182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6">
        <f>'Données projet'!D156</f>
        <v>0</v>
      </c>
      <c r="C163" s="203"/>
      <c r="D163" s="193">
        <f t="shared" si="10"/>
        <v>0</v>
      </c>
      <c r="E163" s="205"/>
      <c r="F163" s="263"/>
      <c r="G163" s="217"/>
      <c r="H163" s="202"/>
      <c r="I163" s="203"/>
      <c r="J163" s="5"/>
      <c r="K163" s="182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6">
        <f>'Données projet'!D157</f>
        <v>0</v>
      </c>
      <c r="C164" s="203"/>
      <c r="D164" s="193">
        <f t="shared" si="10"/>
        <v>0</v>
      </c>
      <c r="E164" s="205"/>
      <c r="F164" s="263"/>
      <c r="G164" s="217"/>
      <c r="H164" s="202"/>
      <c r="I164" s="203"/>
      <c r="J164" s="5"/>
      <c r="K164" s="182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6">
        <f>'Données projet'!D158</f>
        <v>0</v>
      </c>
      <c r="C165" s="203"/>
      <c r="D165" s="193">
        <f t="shared" si="10"/>
        <v>0</v>
      </c>
      <c r="E165" s="205"/>
      <c r="F165" s="263"/>
      <c r="G165" s="217"/>
      <c r="H165" s="202"/>
      <c r="I165" s="203"/>
      <c r="J165" s="5"/>
      <c r="K165" s="182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6">
        <f>'Données projet'!D159</f>
        <v>0</v>
      </c>
      <c r="C166" s="203"/>
      <c r="D166" s="193">
        <f t="shared" si="10"/>
        <v>0</v>
      </c>
      <c r="E166" s="205"/>
      <c r="F166" s="263"/>
      <c r="G166" s="217"/>
      <c r="H166" s="202"/>
      <c r="I166" s="203"/>
      <c r="J166" s="5"/>
      <c r="K166" s="182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0"/>
      <c r="G167" s="217"/>
      <c r="H167" s="202"/>
      <c r="I167" s="203"/>
      <c r="J167" s="5"/>
      <c r="K167" s="182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0"/>
      <c r="G168" s="217"/>
      <c r="H168" s="202"/>
      <c r="I168" s="203"/>
      <c r="J168" s="5"/>
      <c r="K168" s="182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5" t="str">
        <f>IF('Données projet'!B14="","",'Données projet'!B14)</f>
        <v/>
      </c>
      <c r="C169" s="5"/>
      <c r="D169" s="5"/>
      <c r="E169" s="5"/>
      <c r="F169" s="260"/>
      <c r="G169" s="217"/>
      <c r="H169" s="202"/>
      <c r="I169" s="203"/>
      <c r="J169" s="5"/>
      <c r="K169" s="182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0"/>
      <c r="G170" s="217"/>
      <c r="H170" s="202"/>
      <c r="I170" s="203"/>
      <c r="J170" s="5"/>
      <c r="K170" s="182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2"/>
      <c r="I171" s="203"/>
      <c r="J171" s="5"/>
      <c r="K171" s="182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9">
        <v>0</v>
      </c>
      <c r="B172" s="212" t="s">
        <v>132</v>
      </c>
      <c r="C172" s="211" t="s">
        <v>132</v>
      </c>
      <c r="D172" s="210" t="s">
        <v>132</v>
      </c>
      <c r="E172" s="205"/>
      <c r="F172" s="261"/>
      <c r="G172" s="217"/>
      <c r="H172" s="202"/>
      <c r="I172" s="203"/>
      <c r="J172" s="5"/>
      <c r="K172" s="182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9">
        <v>1</v>
      </c>
      <c r="B173" s="212" t="s">
        <v>132</v>
      </c>
      <c r="C173" s="211" t="s">
        <v>132</v>
      </c>
      <c r="D173" s="210" t="s">
        <v>132</v>
      </c>
      <c r="E173" s="205"/>
      <c r="F173" s="261"/>
      <c r="G173" s="220"/>
      <c r="H173" s="202"/>
      <c r="I173" s="203"/>
      <c r="J173" s="5"/>
      <c r="K173" s="182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9">
        <v>2</v>
      </c>
      <c r="B174" s="212" t="s">
        <v>132</v>
      </c>
      <c r="C174" s="211" t="s">
        <v>132</v>
      </c>
      <c r="D174" s="210" t="s">
        <v>132</v>
      </c>
      <c r="E174" s="205"/>
      <c r="F174" s="261"/>
      <c r="G174" s="220"/>
      <c r="H174" s="202"/>
      <c r="I174" s="203"/>
      <c r="J174" s="5"/>
      <c r="K174" s="182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9">
        <v>3</v>
      </c>
      <c r="B175" s="212" t="s">
        <v>132</v>
      </c>
      <c r="C175" s="211" t="s">
        <v>132</v>
      </c>
      <c r="D175" s="210" t="s">
        <v>132</v>
      </c>
      <c r="E175" s="205"/>
      <c r="F175" s="261"/>
      <c r="G175" s="220"/>
      <c r="H175" s="202"/>
      <c r="I175" s="203"/>
      <c r="J175" s="5"/>
      <c r="K175" s="182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9">
        <v>4</v>
      </c>
      <c r="B176" s="212" t="s">
        <v>132</v>
      </c>
      <c r="C176" s="211" t="s">
        <v>132</v>
      </c>
      <c r="D176" s="210" t="s">
        <v>132</v>
      </c>
      <c r="E176" s="205"/>
      <c r="F176" s="261"/>
      <c r="G176" s="220"/>
      <c r="H176" s="202"/>
      <c r="I176" s="203"/>
      <c r="J176" s="5"/>
      <c r="K176" s="182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9">
        <v>5</v>
      </c>
      <c r="B177" s="212" t="s">
        <v>132</v>
      </c>
      <c r="C177" s="211" t="s">
        <v>132</v>
      </c>
      <c r="D177" s="210" t="s">
        <v>132</v>
      </c>
      <c r="E177" s="205"/>
      <c r="F177" s="261"/>
      <c r="G177" s="221"/>
      <c r="H177" s="202"/>
      <c r="I177" s="203"/>
      <c r="J177" s="5"/>
      <c r="K177" s="182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1">
        <f>'Données projet'!A166</f>
        <v>0</v>
      </c>
      <c r="B178" s="192">
        <f>'Données projet'!D166</f>
        <v>0</v>
      </c>
      <c r="C178" s="205"/>
      <c r="D178" s="190">
        <f>B178*C178</f>
        <v>0</v>
      </c>
      <c r="E178" s="205"/>
      <c r="F178" s="262"/>
      <c r="G178" s="221"/>
      <c r="H178" s="202"/>
      <c r="I178" s="203"/>
      <c r="J178" s="5"/>
      <c r="K178" s="182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1">
        <f>'Données projet'!A167</f>
        <v>0</v>
      </c>
      <c r="B179" s="192">
        <f>'Données projet'!D167</f>
        <v>0</v>
      </c>
      <c r="C179" s="205"/>
      <c r="D179" s="190">
        <f t="shared" ref="D179:D197" si="11">B179*C179</f>
        <v>0</v>
      </c>
      <c r="E179" s="205"/>
      <c r="F179" s="262"/>
      <c r="G179" s="221"/>
      <c r="H179" s="202"/>
      <c r="I179" s="203"/>
      <c r="J179" s="5"/>
      <c r="K179" s="182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1">
        <f>'Données projet'!A168</f>
        <v>0</v>
      </c>
      <c r="B180" s="192">
        <f>'Données projet'!D168</f>
        <v>0</v>
      </c>
      <c r="C180" s="205"/>
      <c r="D180" s="190">
        <f t="shared" si="11"/>
        <v>0</v>
      </c>
      <c r="E180" s="205"/>
      <c r="F180" s="262"/>
      <c r="G180" s="221"/>
      <c r="H180" s="202"/>
      <c r="I180" s="203"/>
      <c r="J180" s="5"/>
      <c r="K180" s="182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1">
        <f>'Données projet'!A169</f>
        <v>0</v>
      </c>
      <c r="B181" s="192">
        <f>'Données projet'!D169</f>
        <v>0</v>
      </c>
      <c r="C181" s="205"/>
      <c r="D181" s="190">
        <f t="shared" si="11"/>
        <v>0</v>
      </c>
      <c r="E181" s="205"/>
      <c r="F181" s="262"/>
      <c r="G181" s="221"/>
      <c r="H181" s="202"/>
      <c r="I181" s="203"/>
      <c r="J181" s="5"/>
      <c r="K181" s="182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1">
        <f>'Données projet'!A170</f>
        <v>0</v>
      </c>
      <c r="B182" s="192">
        <f>'Données projet'!D170</f>
        <v>0</v>
      </c>
      <c r="C182" s="205"/>
      <c r="D182" s="190">
        <f t="shared" si="11"/>
        <v>0</v>
      </c>
      <c r="E182" s="205"/>
      <c r="F182" s="262"/>
      <c r="G182" s="221"/>
      <c r="H182" s="202"/>
      <c r="I182" s="203"/>
      <c r="J182" s="5"/>
      <c r="K182" s="182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1">
        <f>'Données projet'!A171</f>
        <v>0</v>
      </c>
      <c r="B183" s="192">
        <f>'Données projet'!D171</f>
        <v>0</v>
      </c>
      <c r="C183" s="205"/>
      <c r="D183" s="190">
        <f t="shared" si="11"/>
        <v>0</v>
      </c>
      <c r="E183" s="205"/>
      <c r="F183" s="262"/>
      <c r="G183" s="221"/>
      <c r="H183" s="202"/>
      <c r="I183" s="203"/>
      <c r="J183" s="5"/>
      <c r="K183" s="182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1">
        <f>'Données projet'!A172</f>
        <v>0</v>
      </c>
      <c r="B184" s="192">
        <f>'Données projet'!D172</f>
        <v>0</v>
      </c>
      <c r="C184" s="205"/>
      <c r="D184" s="190">
        <f t="shared" si="11"/>
        <v>0</v>
      </c>
      <c r="E184" s="205"/>
      <c r="F184" s="262"/>
      <c r="G184" s="222"/>
      <c r="H184" s="202"/>
      <c r="I184" s="203"/>
      <c r="J184" s="5"/>
      <c r="K184" s="182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1">
        <f>'Données projet'!A173</f>
        <v>0</v>
      </c>
      <c r="B185" s="192">
        <f>'Données projet'!D173</f>
        <v>0</v>
      </c>
      <c r="C185" s="205"/>
      <c r="D185" s="190">
        <f t="shared" si="11"/>
        <v>0</v>
      </c>
      <c r="E185" s="205"/>
      <c r="F185" s="262"/>
      <c r="G185" s="222"/>
      <c r="H185" s="202"/>
      <c r="I185" s="203"/>
      <c r="J185" s="5"/>
      <c r="K185" s="182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1">
        <f>'Données projet'!A174</f>
        <v>0</v>
      </c>
      <c r="B186" s="192">
        <f>'Données projet'!D174</f>
        <v>0</v>
      </c>
      <c r="C186" s="205"/>
      <c r="D186" s="190">
        <f t="shared" si="11"/>
        <v>0</v>
      </c>
      <c r="E186" s="205"/>
      <c r="F186" s="262"/>
      <c r="G186" s="222"/>
      <c r="H186" s="202"/>
      <c r="I186" s="203"/>
      <c r="J186" s="5"/>
      <c r="K186" s="182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1">
        <f>'Données projet'!A175</f>
        <v>0</v>
      </c>
      <c r="B187" s="192">
        <f>'Données projet'!D175</f>
        <v>0</v>
      </c>
      <c r="C187" s="205"/>
      <c r="D187" s="190">
        <f t="shared" si="11"/>
        <v>0</v>
      </c>
      <c r="E187" s="205"/>
      <c r="F187" s="262"/>
      <c r="G187" s="222"/>
      <c r="H187" s="202"/>
      <c r="I187" s="203"/>
      <c r="J187" s="5"/>
      <c r="K187" s="182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1">
        <f>'Données projet'!A176</f>
        <v>0</v>
      </c>
      <c r="B188" s="192">
        <f>'Données projet'!D176</f>
        <v>0</v>
      </c>
      <c r="C188" s="205"/>
      <c r="D188" s="190">
        <f t="shared" si="11"/>
        <v>0</v>
      </c>
      <c r="E188" s="205"/>
      <c r="F188" s="262"/>
      <c r="G188" s="222"/>
      <c r="H188" s="202"/>
      <c r="I188" s="203"/>
      <c r="J188" s="5"/>
      <c r="K188" s="182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1">
        <f>'Données projet'!A177</f>
        <v>0</v>
      </c>
      <c r="B189" s="192">
        <f>'Données projet'!D177</f>
        <v>0</v>
      </c>
      <c r="C189" s="205"/>
      <c r="D189" s="190">
        <f t="shared" si="11"/>
        <v>0</v>
      </c>
      <c r="E189" s="205"/>
      <c r="F189" s="262"/>
      <c r="G189" s="222"/>
      <c r="H189" s="202"/>
      <c r="I189" s="203"/>
      <c r="J189" s="5"/>
      <c r="K189" s="182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1">
        <f>'Données projet'!A178</f>
        <v>0</v>
      </c>
      <c r="B190" s="192">
        <f>'Données projet'!D178</f>
        <v>0</v>
      </c>
      <c r="C190" s="205"/>
      <c r="D190" s="190">
        <f t="shared" si="11"/>
        <v>0</v>
      </c>
      <c r="E190" s="205"/>
      <c r="F190" s="262"/>
      <c r="G190" s="222"/>
      <c r="H190" s="202"/>
      <c r="I190" s="203"/>
      <c r="J190" s="5"/>
      <c r="K190" s="182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1">
        <f>'Données projet'!A179</f>
        <v>0</v>
      </c>
      <c r="B191" s="192">
        <f>'Données projet'!D179</f>
        <v>0</v>
      </c>
      <c r="C191" s="205"/>
      <c r="D191" s="190">
        <f t="shared" si="11"/>
        <v>0</v>
      </c>
      <c r="E191" s="205"/>
      <c r="F191" s="262"/>
      <c r="G191" s="222"/>
      <c r="H191" s="202"/>
      <c r="I191" s="203"/>
      <c r="J191" s="5"/>
      <c r="K191" s="182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1">
        <f>'Données projet'!A180</f>
        <v>0</v>
      </c>
      <c r="B192" s="192">
        <f>'Données projet'!D180</f>
        <v>0</v>
      </c>
      <c r="C192" s="205"/>
      <c r="D192" s="190">
        <f t="shared" si="11"/>
        <v>0</v>
      </c>
      <c r="E192" s="205"/>
      <c r="F192" s="262"/>
      <c r="G192" s="222"/>
      <c r="H192" s="202"/>
      <c r="I192" s="203"/>
      <c r="J192" s="5"/>
      <c r="K192" s="182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1">
        <f>'Données projet'!A181</f>
        <v>0</v>
      </c>
      <c r="B193" s="192">
        <f>'Données projet'!D181</f>
        <v>0</v>
      </c>
      <c r="C193" s="205"/>
      <c r="D193" s="190">
        <f t="shared" si="11"/>
        <v>0</v>
      </c>
      <c r="E193" s="205"/>
      <c r="F193" s="262"/>
      <c r="G193" s="222"/>
      <c r="H193" s="202"/>
      <c r="I193" s="203"/>
      <c r="J193" s="5"/>
      <c r="K193" s="182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1">
        <f>'Données projet'!A182</f>
        <v>0</v>
      </c>
      <c r="B194" s="192">
        <f>'Données projet'!D182</f>
        <v>0</v>
      </c>
      <c r="C194" s="205"/>
      <c r="D194" s="190">
        <f t="shared" si="11"/>
        <v>0</v>
      </c>
      <c r="E194" s="205"/>
      <c r="F194" s="262"/>
      <c r="G194" s="222"/>
      <c r="H194" s="202"/>
      <c r="I194" s="203"/>
      <c r="J194" s="5"/>
      <c r="K194" s="182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1">
        <f>'Données projet'!A183</f>
        <v>0</v>
      </c>
      <c r="B195" s="192">
        <f>'Données projet'!D183</f>
        <v>0</v>
      </c>
      <c r="C195" s="205"/>
      <c r="D195" s="190">
        <f t="shared" si="11"/>
        <v>0</v>
      </c>
      <c r="E195" s="205"/>
      <c r="F195" s="262"/>
      <c r="G195" s="222"/>
      <c r="H195" s="202"/>
      <c r="I195" s="203"/>
      <c r="J195" s="5"/>
      <c r="K195" s="182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1">
        <f>'Données projet'!A184</f>
        <v>0</v>
      </c>
      <c r="B196" s="192">
        <f>'Données projet'!D184</f>
        <v>0</v>
      </c>
      <c r="C196" s="205"/>
      <c r="D196" s="190">
        <f t="shared" si="11"/>
        <v>0</v>
      </c>
      <c r="E196" s="205"/>
      <c r="F196" s="262"/>
      <c r="G196" s="222"/>
      <c r="H196" s="202"/>
      <c r="I196" s="203"/>
      <c r="J196" s="5"/>
      <c r="K196" s="182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1">
        <f>'Données projet'!A185</f>
        <v>0</v>
      </c>
      <c r="B197" s="192">
        <f>'Données projet'!D185</f>
        <v>0</v>
      </c>
      <c r="C197" s="205"/>
      <c r="D197" s="190">
        <f t="shared" si="11"/>
        <v>0</v>
      </c>
      <c r="E197" s="205"/>
      <c r="F197" s="262"/>
      <c r="G197" s="222"/>
      <c r="H197" s="202"/>
      <c r="I197" s="203"/>
      <c r="J197" s="5"/>
      <c r="K197" s="182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0"/>
      <c r="G198" s="222"/>
      <c r="H198" s="202"/>
      <c r="I198" s="203"/>
      <c r="J198" s="5"/>
      <c r="K198" s="182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0"/>
      <c r="G199" s="222"/>
      <c r="H199" s="202"/>
      <c r="I199" s="203"/>
      <c r="J199" s="5"/>
      <c r="K199" s="182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5" t="str">
        <f>IF('Données projet'!$B$15="","",'Données projet'!$B$15)</f>
        <v/>
      </c>
      <c r="C200" s="5"/>
      <c r="D200" s="5"/>
      <c r="E200" s="5"/>
      <c r="F200" s="260"/>
      <c r="G200" s="222"/>
      <c r="H200" s="202"/>
      <c r="I200" s="203"/>
      <c r="J200" s="5"/>
      <c r="K200" s="182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0"/>
      <c r="G201" s="222"/>
      <c r="H201" s="202"/>
      <c r="I201" s="203"/>
      <c r="J201" s="5"/>
      <c r="K201" s="182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2"/>
      <c r="I202" s="203"/>
      <c r="J202" s="5"/>
      <c r="K202" s="182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9">
        <v>0</v>
      </c>
      <c r="B203" s="212" t="s">
        <v>132</v>
      </c>
      <c r="C203" s="211" t="s">
        <v>132</v>
      </c>
      <c r="D203" s="210" t="s">
        <v>132</v>
      </c>
      <c r="E203" s="205"/>
      <c r="F203" s="261"/>
      <c r="G203" s="222"/>
      <c r="H203" s="202"/>
      <c r="I203" s="203"/>
      <c r="J203" s="5"/>
      <c r="K203" s="182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9">
        <v>1</v>
      </c>
      <c r="B204" s="212" t="s">
        <v>132</v>
      </c>
      <c r="C204" s="211" t="s">
        <v>132</v>
      </c>
      <c r="D204" s="210" t="s">
        <v>132</v>
      </c>
      <c r="E204" s="205"/>
      <c r="F204" s="261"/>
      <c r="G204" s="220"/>
      <c r="H204" s="202"/>
      <c r="I204" s="203"/>
      <c r="J204" s="5"/>
      <c r="K204" s="182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9">
        <v>2</v>
      </c>
      <c r="B205" s="212" t="s">
        <v>132</v>
      </c>
      <c r="C205" s="211" t="s">
        <v>132</v>
      </c>
      <c r="D205" s="210" t="s">
        <v>132</v>
      </c>
      <c r="E205" s="205"/>
      <c r="F205" s="261"/>
      <c r="G205" s="220"/>
      <c r="H205" s="202"/>
      <c r="I205" s="203"/>
      <c r="J205" s="5"/>
      <c r="K205" s="182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9">
        <v>3</v>
      </c>
      <c r="B206" s="212" t="s">
        <v>132</v>
      </c>
      <c r="C206" s="211" t="s">
        <v>132</v>
      </c>
      <c r="D206" s="210" t="s">
        <v>132</v>
      </c>
      <c r="E206" s="205"/>
      <c r="F206" s="261"/>
      <c r="G206" s="220"/>
      <c r="H206" s="202"/>
      <c r="I206" s="203"/>
      <c r="J206" s="5"/>
      <c r="K206" s="182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9">
        <v>4</v>
      </c>
      <c r="B207" s="212" t="s">
        <v>132</v>
      </c>
      <c r="C207" s="211" t="s">
        <v>132</v>
      </c>
      <c r="D207" s="210" t="s">
        <v>132</v>
      </c>
      <c r="E207" s="205"/>
      <c r="F207" s="261"/>
      <c r="G207" s="220"/>
      <c r="H207" s="202"/>
      <c r="I207" s="203"/>
      <c r="J207" s="5"/>
      <c r="K207" s="182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9">
        <v>5</v>
      </c>
      <c r="B208" s="212" t="s">
        <v>132</v>
      </c>
      <c r="C208" s="211" t="s">
        <v>132</v>
      </c>
      <c r="D208" s="210" t="s">
        <v>132</v>
      </c>
      <c r="E208" s="205"/>
      <c r="F208" s="261"/>
      <c r="G208" s="221"/>
      <c r="H208" s="202"/>
      <c r="I208" s="203"/>
      <c r="J208" s="5"/>
      <c r="K208" s="182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1">
        <f>'Données projet'!A192</f>
        <v>0</v>
      </c>
      <c r="B209" s="192">
        <f>'Données projet'!D192</f>
        <v>0</v>
      </c>
      <c r="C209" s="205"/>
      <c r="D209" s="190">
        <f>B209*C209</f>
        <v>0</v>
      </c>
      <c r="E209" s="205"/>
      <c r="F209" s="262"/>
      <c r="G209" s="221"/>
      <c r="H209" s="202"/>
      <c r="I209" s="203"/>
      <c r="J209" s="5"/>
      <c r="K209" s="182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1">
        <f>'Données projet'!A193</f>
        <v>0</v>
      </c>
      <c r="B210" s="192">
        <f>'Données projet'!D193</f>
        <v>0</v>
      </c>
      <c r="C210" s="205"/>
      <c r="D210" s="190">
        <f t="shared" ref="D210:D228" si="12">B210*C210</f>
        <v>0</v>
      </c>
      <c r="E210" s="205"/>
      <c r="F210" s="262"/>
      <c r="G210" s="221"/>
      <c r="H210" s="202"/>
      <c r="I210" s="203"/>
      <c r="J210" s="5"/>
      <c r="K210" s="182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1">
        <f>'Données projet'!A194</f>
        <v>0</v>
      </c>
      <c r="B211" s="192">
        <f>'Données projet'!D194</f>
        <v>0</v>
      </c>
      <c r="C211" s="205"/>
      <c r="D211" s="190">
        <f t="shared" si="12"/>
        <v>0</v>
      </c>
      <c r="E211" s="205"/>
      <c r="F211" s="262"/>
      <c r="G211" s="221"/>
      <c r="H211" s="202"/>
      <c r="I211" s="203"/>
      <c r="J211" s="5"/>
      <c r="K211" s="182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1">
        <f>'Données projet'!A195</f>
        <v>0</v>
      </c>
      <c r="B212" s="192">
        <f>'Données projet'!D195</f>
        <v>0</v>
      </c>
      <c r="C212" s="205"/>
      <c r="D212" s="190">
        <f t="shared" si="12"/>
        <v>0</v>
      </c>
      <c r="E212" s="205"/>
      <c r="F212" s="262"/>
      <c r="G212" s="221"/>
      <c r="H212" s="202"/>
      <c r="I212" s="203"/>
      <c r="J212" s="5"/>
      <c r="K212" s="182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1">
        <f>'Données projet'!A196</f>
        <v>0</v>
      </c>
      <c r="B213" s="192">
        <f>'Données projet'!D196</f>
        <v>0</v>
      </c>
      <c r="C213" s="205"/>
      <c r="D213" s="190">
        <f t="shared" si="12"/>
        <v>0</v>
      </c>
      <c r="E213" s="205"/>
      <c r="F213" s="262"/>
      <c r="G213" s="221"/>
      <c r="H213" s="202"/>
      <c r="I213" s="203"/>
      <c r="J213" s="5"/>
      <c r="K213" s="182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1">
        <f>'Données projet'!A197</f>
        <v>0</v>
      </c>
      <c r="B214" s="192">
        <f>'Données projet'!D197</f>
        <v>0</v>
      </c>
      <c r="C214" s="205"/>
      <c r="D214" s="190">
        <f t="shared" si="12"/>
        <v>0</v>
      </c>
      <c r="E214" s="205"/>
      <c r="F214" s="262"/>
      <c r="G214" s="221"/>
      <c r="H214" s="202"/>
      <c r="I214" s="203"/>
      <c r="J214" s="5"/>
      <c r="K214" s="182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1">
        <f>'Données projet'!A198</f>
        <v>0</v>
      </c>
      <c r="B215" s="192">
        <f>'Données projet'!D198</f>
        <v>0</v>
      </c>
      <c r="C215" s="205"/>
      <c r="D215" s="190">
        <f t="shared" si="12"/>
        <v>0</v>
      </c>
      <c r="E215" s="205"/>
      <c r="F215" s="262"/>
      <c r="G215" s="222"/>
      <c r="H215" s="202"/>
      <c r="I215" s="203"/>
      <c r="J215" s="5"/>
      <c r="K215" s="182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1">
        <f>'Données projet'!A199</f>
        <v>0</v>
      </c>
      <c r="B216" s="192">
        <f>'Données projet'!D199</f>
        <v>0</v>
      </c>
      <c r="C216" s="205"/>
      <c r="D216" s="190">
        <f t="shared" si="12"/>
        <v>0</v>
      </c>
      <c r="E216" s="205"/>
      <c r="F216" s="262"/>
      <c r="G216" s="222"/>
      <c r="H216" s="202"/>
      <c r="I216" s="203"/>
      <c r="J216" s="5"/>
      <c r="K216" s="182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1">
        <f>'Données projet'!A200</f>
        <v>0</v>
      </c>
      <c r="B217" s="192">
        <f>'Données projet'!D200</f>
        <v>0</v>
      </c>
      <c r="C217" s="205"/>
      <c r="D217" s="190">
        <f t="shared" si="12"/>
        <v>0</v>
      </c>
      <c r="E217" s="205"/>
      <c r="F217" s="262"/>
      <c r="G217" s="222"/>
      <c r="H217" s="202"/>
      <c r="I217" s="203"/>
      <c r="J217" s="5"/>
      <c r="K217" s="182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1">
        <f>'Données projet'!A201</f>
        <v>0</v>
      </c>
      <c r="B218" s="192">
        <f>'Données projet'!D201</f>
        <v>0</v>
      </c>
      <c r="C218" s="205"/>
      <c r="D218" s="190">
        <f t="shared" si="12"/>
        <v>0</v>
      </c>
      <c r="E218" s="205"/>
      <c r="F218" s="262"/>
      <c r="G218" s="222"/>
      <c r="H218" s="202"/>
      <c r="I218" s="203"/>
      <c r="J218" s="5"/>
      <c r="K218" s="182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1">
        <f>'Données projet'!A202</f>
        <v>0</v>
      </c>
      <c r="B219" s="192">
        <f>'Données projet'!D202</f>
        <v>0</v>
      </c>
      <c r="C219" s="205"/>
      <c r="D219" s="190">
        <f t="shared" si="12"/>
        <v>0</v>
      </c>
      <c r="E219" s="205"/>
      <c r="F219" s="262"/>
      <c r="G219" s="222"/>
      <c r="H219" s="202"/>
      <c r="I219" s="203"/>
      <c r="J219" s="5"/>
      <c r="K219" s="182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1">
        <f>'Données projet'!A203</f>
        <v>0</v>
      </c>
      <c r="B220" s="192">
        <f>'Données projet'!D203</f>
        <v>0</v>
      </c>
      <c r="C220" s="205"/>
      <c r="D220" s="190">
        <f t="shared" si="12"/>
        <v>0</v>
      </c>
      <c r="E220" s="205"/>
      <c r="F220" s="262"/>
      <c r="G220" s="222"/>
      <c r="H220" s="5"/>
      <c r="I220" s="5"/>
      <c r="J220" s="5"/>
      <c r="K220" s="182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1">
        <f>'Données projet'!A204</f>
        <v>0</v>
      </c>
      <c r="B221" s="192">
        <f>'Données projet'!D204</f>
        <v>0</v>
      </c>
      <c r="C221" s="205"/>
      <c r="D221" s="190">
        <f t="shared" si="12"/>
        <v>0</v>
      </c>
      <c r="E221" s="205"/>
      <c r="F221" s="262"/>
      <c r="G221" s="222"/>
      <c r="H221" s="5"/>
      <c r="I221" s="5"/>
      <c r="J221" s="5"/>
      <c r="K221" s="182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1">
        <f>'Données projet'!A205</f>
        <v>0</v>
      </c>
      <c r="B222" s="192">
        <f>'Données projet'!D205</f>
        <v>0</v>
      </c>
      <c r="C222" s="205"/>
      <c r="D222" s="190">
        <f t="shared" si="12"/>
        <v>0</v>
      </c>
      <c r="E222" s="205"/>
      <c r="F222" s="262"/>
      <c r="G222" s="222"/>
      <c r="H222" s="5"/>
      <c r="I222" s="5"/>
      <c r="J222" s="5"/>
      <c r="K222" s="182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1">
        <f>'Données projet'!A206</f>
        <v>0</v>
      </c>
      <c r="B223" s="192">
        <f>'Données projet'!D206</f>
        <v>0</v>
      </c>
      <c r="C223" s="205"/>
      <c r="D223" s="190">
        <f t="shared" si="12"/>
        <v>0</v>
      </c>
      <c r="E223" s="205"/>
      <c r="F223" s="262"/>
      <c r="G223" s="222"/>
      <c r="H223" s="5"/>
      <c r="I223" s="5"/>
      <c r="J223" s="5"/>
      <c r="K223" s="182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1">
        <f>'Données projet'!A207</f>
        <v>0</v>
      </c>
      <c r="B224" s="192">
        <f>'Données projet'!D207</f>
        <v>0</v>
      </c>
      <c r="C224" s="205"/>
      <c r="D224" s="190">
        <f t="shared" si="12"/>
        <v>0</v>
      </c>
      <c r="E224" s="205"/>
      <c r="F224" s="262"/>
      <c r="G224" s="222"/>
      <c r="H224" s="5"/>
      <c r="I224" s="5"/>
      <c r="J224" s="5"/>
      <c r="K224" s="182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1">
        <f>'Données projet'!A208</f>
        <v>0</v>
      </c>
      <c r="B225" s="192">
        <f>'Données projet'!D208</f>
        <v>0</v>
      </c>
      <c r="C225" s="205"/>
      <c r="D225" s="190">
        <f t="shared" si="12"/>
        <v>0</v>
      </c>
      <c r="E225" s="205"/>
      <c r="F225" s="262"/>
      <c r="G225" s="222"/>
      <c r="H225" s="5"/>
      <c r="I225" s="5"/>
      <c r="J225" s="5"/>
      <c r="K225" s="182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1">
        <f>'Données projet'!A209</f>
        <v>0</v>
      </c>
      <c r="B226" s="192">
        <f>'Données projet'!D209</f>
        <v>0</v>
      </c>
      <c r="C226" s="205"/>
      <c r="D226" s="190">
        <f t="shared" si="12"/>
        <v>0</v>
      </c>
      <c r="E226" s="205"/>
      <c r="F226" s="262"/>
      <c r="G226" s="222"/>
      <c r="H226" s="5"/>
      <c r="I226" s="5"/>
      <c r="J226" s="5"/>
      <c r="K226" s="182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1">
        <f>'Données projet'!A210</f>
        <v>0</v>
      </c>
      <c r="B227" s="192">
        <f>'Données projet'!D210</f>
        <v>0</v>
      </c>
      <c r="C227" s="205"/>
      <c r="D227" s="190">
        <f t="shared" si="12"/>
        <v>0</v>
      </c>
      <c r="E227" s="205"/>
      <c r="F227" s="262"/>
      <c r="G227" s="222"/>
      <c r="H227" s="5"/>
      <c r="I227" s="5"/>
      <c r="J227" s="5"/>
      <c r="K227" s="182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1">
        <f>'Données projet'!A211</f>
        <v>0</v>
      </c>
      <c r="B228" s="192">
        <f>'Données projet'!D211</f>
        <v>0</v>
      </c>
      <c r="C228" s="205"/>
      <c r="D228" s="190">
        <f t="shared" si="12"/>
        <v>0</v>
      </c>
      <c r="E228" s="205"/>
      <c r="F228" s="262"/>
      <c r="G228" s="222"/>
      <c r="H228" s="5"/>
      <c r="I228" s="5"/>
      <c r="J228" s="5"/>
      <c r="K228" s="182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2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2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5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2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2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2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9">
        <v>0</v>
      </c>
      <c r="B234" s="212" t="s">
        <v>132</v>
      </c>
      <c r="C234" s="211" t="s">
        <v>132</v>
      </c>
      <c r="D234" s="210" t="s">
        <v>132</v>
      </c>
      <c r="E234" s="205"/>
      <c r="F234" s="261"/>
      <c r="G234" s="222"/>
      <c r="H234" s="5"/>
      <c r="I234" s="5"/>
      <c r="J234" s="5"/>
      <c r="K234" s="182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9">
        <v>1</v>
      </c>
      <c r="B235" s="212" t="s">
        <v>132</v>
      </c>
      <c r="C235" s="211" t="s">
        <v>132</v>
      </c>
      <c r="D235" s="210" t="s">
        <v>132</v>
      </c>
      <c r="E235" s="205"/>
      <c r="F235" s="261"/>
      <c r="G235" s="220"/>
      <c r="H235" s="5"/>
      <c r="I235" s="5"/>
      <c r="J235" s="5"/>
      <c r="K235" s="182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9">
        <v>2</v>
      </c>
      <c r="B236" s="212" t="s">
        <v>132</v>
      </c>
      <c r="C236" s="211" t="s">
        <v>132</v>
      </c>
      <c r="D236" s="210" t="s">
        <v>132</v>
      </c>
      <c r="E236" s="205"/>
      <c r="F236" s="261"/>
      <c r="G236" s="220"/>
      <c r="H236" s="5"/>
      <c r="I236" s="5"/>
      <c r="J236" s="5"/>
      <c r="K236" s="182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9">
        <v>3</v>
      </c>
      <c r="B237" s="212" t="s">
        <v>132</v>
      </c>
      <c r="C237" s="211" t="s">
        <v>132</v>
      </c>
      <c r="D237" s="210" t="s">
        <v>132</v>
      </c>
      <c r="E237" s="205"/>
      <c r="F237" s="261"/>
      <c r="G237" s="220"/>
      <c r="H237" s="5"/>
      <c r="I237" s="5"/>
      <c r="J237" s="5"/>
      <c r="K237" s="182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9">
        <v>4</v>
      </c>
      <c r="B238" s="212" t="s">
        <v>132</v>
      </c>
      <c r="C238" s="211" t="s">
        <v>132</v>
      </c>
      <c r="D238" s="210" t="s">
        <v>132</v>
      </c>
      <c r="E238" s="205"/>
      <c r="F238" s="261"/>
      <c r="G238" s="220"/>
      <c r="H238" s="5"/>
      <c r="I238" s="5"/>
      <c r="J238" s="5"/>
      <c r="K238" s="182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9">
        <v>5</v>
      </c>
      <c r="B239" s="212" t="s">
        <v>132</v>
      </c>
      <c r="C239" s="211" t="s">
        <v>132</v>
      </c>
      <c r="D239" s="210" t="s">
        <v>132</v>
      </c>
      <c r="E239" s="205"/>
      <c r="F239" s="261"/>
      <c r="G239" s="221"/>
      <c r="H239" s="5"/>
      <c r="I239" s="5"/>
      <c r="J239" s="5"/>
      <c r="K239" s="182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1">
        <f>'Données projet'!A218</f>
        <v>0</v>
      </c>
      <c r="B240" s="192">
        <f>'Données projet'!D218</f>
        <v>0</v>
      </c>
      <c r="C240" s="205"/>
      <c r="D240" s="190">
        <f>B240*C240</f>
        <v>0</v>
      </c>
      <c r="E240" s="205"/>
      <c r="F240" s="262"/>
      <c r="G240" s="221"/>
      <c r="H240" s="5"/>
      <c r="I240" s="5"/>
      <c r="J240" s="5"/>
      <c r="K240" s="182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1">
        <f>'Données projet'!A219</f>
        <v>0</v>
      </c>
      <c r="B241" s="192">
        <f>'Données projet'!D219</f>
        <v>0</v>
      </c>
      <c r="C241" s="205"/>
      <c r="D241" s="190">
        <f t="shared" ref="D241:D259" si="13">B241*C241</f>
        <v>0</v>
      </c>
      <c r="E241" s="205"/>
      <c r="F241" s="262"/>
      <c r="G241" s="221"/>
      <c r="H241" s="5"/>
      <c r="I241" s="5"/>
      <c r="J241" s="5"/>
      <c r="K241" s="182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1">
        <f>'Données projet'!A220</f>
        <v>0</v>
      </c>
      <c r="B242" s="192">
        <f>'Données projet'!D220</f>
        <v>0</v>
      </c>
      <c r="C242" s="205"/>
      <c r="D242" s="190">
        <f t="shared" si="13"/>
        <v>0</v>
      </c>
      <c r="E242" s="205"/>
      <c r="F242" s="262"/>
      <c r="G242" s="221"/>
      <c r="H242" s="5"/>
      <c r="I242" s="5"/>
      <c r="J242" s="5"/>
      <c r="K242" s="182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1">
        <f>'Données projet'!A221</f>
        <v>0</v>
      </c>
      <c r="B243" s="192">
        <f>'Données projet'!D221</f>
        <v>0</v>
      </c>
      <c r="C243" s="205"/>
      <c r="D243" s="190">
        <f t="shared" si="13"/>
        <v>0</v>
      </c>
      <c r="E243" s="205"/>
      <c r="F243" s="262"/>
      <c r="G243" s="221"/>
      <c r="H243" s="5"/>
      <c r="I243" s="5"/>
      <c r="J243" s="5"/>
      <c r="K243" s="182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1">
        <f>'Données projet'!A222</f>
        <v>0</v>
      </c>
      <c r="B244" s="192">
        <f>'Données projet'!D222</f>
        <v>0</v>
      </c>
      <c r="C244" s="205"/>
      <c r="D244" s="190">
        <f t="shared" si="13"/>
        <v>0</v>
      </c>
      <c r="E244" s="205"/>
      <c r="F244" s="262"/>
      <c r="G244" s="221"/>
      <c r="H244" s="5"/>
      <c r="I244" s="5"/>
      <c r="J244" s="5"/>
      <c r="K244" s="182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1">
        <f>'Données projet'!A223</f>
        <v>0</v>
      </c>
      <c r="B245" s="192">
        <f>'Données projet'!D223</f>
        <v>0</v>
      </c>
      <c r="C245" s="205"/>
      <c r="D245" s="190">
        <f t="shared" si="13"/>
        <v>0</v>
      </c>
      <c r="E245" s="205"/>
      <c r="F245" s="262"/>
      <c r="G245" s="221"/>
      <c r="H245" s="5"/>
      <c r="I245" s="5"/>
      <c r="J245" s="5"/>
      <c r="K245" s="182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1">
        <f>'Données projet'!A224</f>
        <v>0</v>
      </c>
      <c r="B246" s="192">
        <f>'Données projet'!D224</f>
        <v>0</v>
      </c>
      <c r="C246" s="205"/>
      <c r="D246" s="190">
        <f t="shared" si="13"/>
        <v>0</v>
      </c>
      <c r="E246" s="205"/>
      <c r="F246" s="262"/>
      <c r="G246" s="222"/>
      <c r="H246" s="5"/>
      <c r="I246" s="5"/>
      <c r="J246" s="5"/>
      <c r="K246" s="182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1">
        <f>'Données projet'!A225</f>
        <v>0</v>
      </c>
      <c r="B247" s="192">
        <f>'Données projet'!D225</f>
        <v>0</v>
      </c>
      <c r="C247" s="205"/>
      <c r="D247" s="190">
        <f t="shared" si="13"/>
        <v>0</v>
      </c>
      <c r="E247" s="205"/>
      <c r="F247" s="262"/>
      <c r="G247" s="222"/>
      <c r="H247" s="5"/>
      <c r="I247" s="5"/>
      <c r="J247" s="5"/>
      <c r="K247" s="182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1">
        <f>'Données projet'!A226</f>
        <v>0</v>
      </c>
      <c r="B248" s="192">
        <f>'Données projet'!D226</f>
        <v>0</v>
      </c>
      <c r="C248" s="205"/>
      <c r="D248" s="190">
        <f t="shared" si="13"/>
        <v>0</v>
      </c>
      <c r="E248" s="205"/>
      <c r="F248" s="262"/>
      <c r="G248" s="222"/>
      <c r="H248" s="5"/>
      <c r="I248" s="5"/>
      <c r="J248" s="5"/>
      <c r="K248" s="182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1">
        <f>'Données projet'!A227</f>
        <v>0</v>
      </c>
      <c r="B249" s="192">
        <f>'Données projet'!D227</f>
        <v>0</v>
      </c>
      <c r="C249" s="205"/>
      <c r="D249" s="190">
        <f t="shared" si="13"/>
        <v>0</v>
      </c>
      <c r="E249" s="205"/>
      <c r="F249" s="262"/>
      <c r="G249" s="222"/>
      <c r="H249" s="5"/>
      <c r="I249" s="5"/>
      <c r="J249" s="5"/>
      <c r="K249" s="182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1">
        <f>'Données projet'!A228</f>
        <v>0</v>
      </c>
      <c r="B250" s="192">
        <f>'Données projet'!D228</f>
        <v>0</v>
      </c>
      <c r="C250" s="205"/>
      <c r="D250" s="190">
        <f t="shared" si="13"/>
        <v>0</v>
      </c>
      <c r="E250" s="205"/>
      <c r="F250" s="262"/>
      <c r="G250" s="222"/>
      <c r="H250" s="5"/>
      <c r="I250" s="5"/>
      <c r="J250" s="5"/>
      <c r="K250" s="182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1">
        <f>'Données projet'!A229</f>
        <v>0</v>
      </c>
      <c r="B251" s="192">
        <f>'Données projet'!D229</f>
        <v>0</v>
      </c>
      <c r="C251" s="205"/>
      <c r="D251" s="190">
        <f t="shared" si="13"/>
        <v>0</v>
      </c>
      <c r="E251" s="205"/>
      <c r="F251" s="262"/>
      <c r="G251" s="222"/>
      <c r="H251" s="5"/>
      <c r="I251" s="5"/>
      <c r="J251" s="5"/>
      <c r="K251" s="182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1">
        <f>'Données projet'!A230</f>
        <v>0</v>
      </c>
      <c r="B252" s="192">
        <f>'Données projet'!D230</f>
        <v>0</v>
      </c>
      <c r="C252" s="205"/>
      <c r="D252" s="190">
        <f t="shared" si="13"/>
        <v>0</v>
      </c>
      <c r="E252" s="205"/>
      <c r="F252" s="262"/>
      <c r="G252" s="222"/>
      <c r="H252" s="5"/>
      <c r="I252" s="5"/>
      <c r="J252" s="5"/>
      <c r="K252" s="182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1">
        <f>'Données projet'!A231</f>
        <v>0</v>
      </c>
      <c r="B253" s="192">
        <f>'Données projet'!D231</f>
        <v>0</v>
      </c>
      <c r="C253" s="205"/>
      <c r="D253" s="190">
        <f t="shared" si="13"/>
        <v>0</v>
      </c>
      <c r="E253" s="205"/>
      <c r="F253" s="262"/>
      <c r="G253" s="222"/>
      <c r="H253" s="5"/>
      <c r="I253" s="5"/>
      <c r="J253" s="5"/>
      <c r="K253" s="182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1">
        <f>'Données projet'!A232</f>
        <v>0</v>
      </c>
      <c r="B254" s="192">
        <f>'Données projet'!D232</f>
        <v>0</v>
      </c>
      <c r="C254" s="205"/>
      <c r="D254" s="190">
        <f t="shared" si="13"/>
        <v>0</v>
      </c>
      <c r="E254" s="205"/>
      <c r="F254" s="262"/>
      <c r="G254" s="222"/>
      <c r="H254" s="5"/>
      <c r="I254" s="5"/>
      <c r="J254" s="5"/>
      <c r="K254" s="182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1">
        <f>'Données projet'!A233</f>
        <v>0</v>
      </c>
      <c r="B255" s="192">
        <f>'Données projet'!D233</f>
        <v>0</v>
      </c>
      <c r="C255" s="205"/>
      <c r="D255" s="190">
        <f t="shared" si="13"/>
        <v>0</v>
      </c>
      <c r="E255" s="205"/>
      <c r="F255" s="262"/>
      <c r="G255" s="222"/>
      <c r="H255" s="5"/>
      <c r="I255" s="5"/>
      <c r="J255" s="5"/>
      <c r="K255" s="182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1">
        <f>'Données projet'!A234</f>
        <v>0</v>
      </c>
      <c r="B256" s="192">
        <f>'Données projet'!D234</f>
        <v>0</v>
      </c>
      <c r="C256" s="205"/>
      <c r="D256" s="190">
        <f t="shared" si="13"/>
        <v>0</v>
      </c>
      <c r="E256" s="205"/>
      <c r="F256" s="262"/>
      <c r="G256" s="222"/>
      <c r="H256" s="5"/>
      <c r="I256" s="5"/>
      <c r="J256" s="5"/>
      <c r="K256" s="182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1">
        <f>'Données projet'!A235</f>
        <v>0</v>
      </c>
      <c r="B257" s="192">
        <f>'Données projet'!D235</f>
        <v>0</v>
      </c>
      <c r="C257" s="205"/>
      <c r="D257" s="190">
        <f t="shared" si="13"/>
        <v>0</v>
      </c>
      <c r="E257" s="205"/>
      <c r="F257" s="262"/>
      <c r="G257" s="222"/>
      <c r="H257" s="5"/>
      <c r="I257" s="5"/>
      <c r="J257" s="5"/>
      <c r="K257" s="182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1">
        <f>'Données projet'!A236</f>
        <v>0</v>
      </c>
      <c r="B258" s="192">
        <f>'Données projet'!D236</f>
        <v>0</v>
      </c>
      <c r="C258" s="205"/>
      <c r="D258" s="190">
        <f t="shared" si="13"/>
        <v>0</v>
      </c>
      <c r="E258" s="205"/>
      <c r="F258" s="262"/>
      <c r="G258" s="222"/>
      <c r="H258" s="5"/>
      <c r="I258" s="5"/>
      <c r="J258" s="5"/>
      <c r="K258" s="182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1">
        <f>'Données projet'!A237</f>
        <v>0</v>
      </c>
      <c r="B259" s="192">
        <f>'Données projet'!D237</f>
        <v>0</v>
      </c>
      <c r="C259" s="205"/>
      <c r="D259" s="190">
        <f t="shared" si="13"/>
        <v>0</v>
      </c>
      <c r="E259" s="205"/>
      <c r="F259" s="262"/>
      <c r="G259" s="222"/>
      <c r="H259" s="5"/>
      <c r="I259" s="5"/>
      <c r="J259" s="5"/>
      <c r="K259" s="182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2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2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5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2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2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2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9">
        <v>0</v>
      </c>
      <c r="B265" s="212" t="s">
        <v>132</v>
      </c>
      <c r="C265" s="211" t="s">
        <v>132</v>
      </c>
      <c r="D265" s="210" t="s">
        <v>132</v>
      </c>
      <c r="E265" s="205"/>
      <c r="F265" s="261"/>
      <c r="G265" s="222"/>
      <c r="H265" s="5"/>
      <c r="I265" s="5"/>
      <c r="J265" s="5"/>
      <c r="K265" s="182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9">
        <v>1</v>
      </c>
      <c r="B266" s="212" t="s">
        <v>132</v>
      </c>
      <c r="C266" s="211" t="s">
        <v>132</v>
      </c>
      <c r="D266" s="210" t="s">
        <v>132</v>
      </c>
      <c r="E266" s="205"/>
      <c r="F266" s="261"/>
      <c r="G266" s="220"/>
      <c r="H266" s="5"/>
      <c r="I266" s="5"/>
      <c r="J266" s="5"/>
      <c r="K266" s="182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9">
        <v>2</v>
      </c>
      <c r="B267" s="212" t="s">
        <v>132</v>
      </c>
      <c r="C267" s="211" t="s">
        <v>132</v>
      </c>
      <c r="D267" s="210" t="s">
        <v>132</v>
      </c>
      <c r="E267" s="205"/>
      <c r="F267" s="261"/>
      <c r="G267" s="220"/>
      <c r="H267" s="5"/>
      <c r="I267" s="5"/>
      <c r="J267" s="5"/>
      <c r="K267" s="182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9">
        <v>3</v>
      </c>
      <c r="B268" s="212" t="s">
        <v>132</v>
      </c>
      <c r="C268" s="211" t="s">
        <v>132</v>
      </c>
      <c r="D268" s="210" t="s">
        <v>132</v>
      </c>
      <c r="E268" s="205"/>
      <c r="F268" s="261"/>
      <c r="G268" s="220"/>
      <c r="H268" s="5"/>
      <c r="I268" s="5"/>
      <c r="J268" s="5"/>
      <c r="K268" s="182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9">
        <v>4</v>
      </c>
      <c r="B269" s="212" t="s">
        <v>132</v>
      </c>
      <c r="C269" s="211" t="s">
        <v>132</v>
      </c>
      <c r="D269" s="210" t="s">
        <v>132</v>
      </c>
      <c r="E269" s="205"/>
      <c r="F269" s="261"/>
      <c r="G269" s="220"/>
      <c r="H269" s="5"/>
      <c r="I269" s="5"/>
      <c r="J269" s="5"/>
      <c r="K269" s="182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9">
        <v>5</v>
      </c>
      <c r="B270" s="212" t="s">
        <v>132</v>
      </c>
      <c r="C270" s="211" t="s">
        <v>132</v>
      </c>
      <c r="D270" s="210" t="s">
        <v>132</v>
      </c>
      <c r="E270" s="205"/>
      <c r="F270" s="261"/>
      <c r="G270" s="221"/>
      <c r="H270" s="5"/>
      <c r="I270" s="5"/>
      <c r="J270" s="5"/>
      <c r="K270" s="182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1">
        <f>'Données projet'!A244</f>
        <v>0</v>
      </c>
      <c r="B271" s="192">
        <f>'Données projet'!D244</f>
        <v>0</v>
      </c>
      <c r="C271" s="205"/>
      <c r="D271" s="190">
        <f>B271*C271</f>
        <v>0</v>
      </c>
      <c r="E271" s="205"/>
      <c r="F271" s="262"/>
      <c r="G271" s="221"/>
      <c r="H271" s="5"/>
      <c r="I271" s="5"/>
      <c r="J271" s="5"/>
      <c r="K271" s="182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1">
        <f>'Données projet'!A245</f>
        <v>0</v>
      </c>
      <c r="B272" s="192">
        <f>'Données projet'!D245</f>
        <v>0</v>
      </c>
      <c r="C272" s="205"/>
      <c r="D272" s="190">
        <f t="shared" ref="D272:D290" si="14">B272*C272</f>
        <v>0</v>
      </c>
      <c r="E272" s="205"/>
      <c r="F272" s="262"/>
      <c r="G272" s="221"/>
      <c r="H272" s="5"/>
      <c r="I272" s="5"/>
      <c r="J272" s="5"/>
      <c r="K272" s="182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1">
        <f>'Données projet'!A246</f>
        <v>0</v>
      </c>
      <c r="B273" s="192">
        <f>'Données projet'!D246</f>
        <v>0</v>
      </c>
      <c r="C273" s="205"/>
      <c r="D273" s="190">
        <f t="shared" si="14"/>
        <v>0</v>
      </c>
      <c r="E273" s="205"/>
      <c r="F273" s="262"/>
      <c r="G273" s="221"/>
      <c r="H273" s="5"/>
      <c r="I273" s="5"/>
      <c r="J273" s="5"/>
      <c r="K273" s="182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1">
        <f>'Données projet'!A247</f>
        <v>0</v>
      </c>
      <c r="B274" s="192">
        <f>'Données projet'!D247</f>
        <v>0</v>
      </c>
      <c r="C274" s="205"/>
      <c r="D274" s="190">
        <f t="shared" si="14"/>
        <v>0</v>
      </c>
      <c r="E274" s="205"/>
      <c r="F274" s="262"/>
      <c r="G274" s="221"/>
      <c r="H274" s="5"/>
      <c r="I274" s="5"/>
      <c r="J274" s="5"/>
      <c r="K274" s="182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1">
        <f>'Données projet'!A248</f>
        <v>0</v>
      </c>
      <c r="B275" s="192">
        <f>'Données projet'!D248</f>
        <v>0</v>
      </c>
      <c r="C275" s="205"/>
      <c r="D275" s="190">
        <f t="shared" si="14"/>
        <v>0</v>
      </c>
      <c r="E275" s="205"/>
      <c r="F275" s="262"/>
      <c r="G275" s="221"/>
      <c r="H275" s="5"/>
      <c r="I275" s="5"/>
      <c r="J275" s="5"/>
      <c r="K275" s="182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1">
        <f>'Données projet'!A249</f>
        <v>0</v>
      </c>
      <c r="B276" s="192">
        <f>'Données projet'!D249</f>
        <v>0</v>
      </c>
      <c r="C276" s="205"/>
      <c r="D276" s="190">
        <f t="shared" si="14"/>
        <v>0</v>
      </c>
      <c r="E276" s="205"/>
      <c r="F276" s="262"/>
      <c r="G276" s="221"/>
      <c r="H276" s="5"/>
      <c r="I276" s="5"/>
      <c r="J276" s="5"/>
      <c r="K276" s="182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1">
        <f>'Données projet'!A250</f>
        <v>0</v>
      </c>
      <c r="B277" s="192">
        <f>'Données projet'!D250</f>
        <v>0</v>
      </c>
      <c r="C277" s="205"/>
      <c r="D277" s="190">
        <f t="shared" si="14"/>
        <v>0</v>
      </c>
      <c r="E277" s="205"/>
      <c r="F277" s="262"/>
      <c r="G277" s="222"/>
      <c r="H277" s="5"/>
      <c r="I277" s="5"/>
      <c r="J277" s="5"/>
      <c r="K277" s="182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1">
        <f>'Données projet'!A251</f>
        <v>0</v>
      </c>
      <c r="B278" s="192">
        <f>'Données projet'!D251</f>
        <v>0</v>
      </c>
      <c r="C278" s="205"/>
      <c r="D278" s="190">
        <f t="shared" si="14"/>
        <v>0</v>
      </c>
      <c r="E278" s="205"/>
      <c r="F278" s="262"/>
      <c r="G278" s="222"/>
      <c r="H278" s="5"/>
      <c r="I278" s="5"/>
      <c r="J278" s="5"/>
      <c r="K278" s="182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1">
        <f>'Données projet'!A252</f>
        <v>0</v>
      </c>
      <c r="B279" s="192">
        <f>'Données projet'!D252</f>
        <v>0</v>
      </c>
      <c r="C279" s="205"/>
      <c r="D279" s="190">
        <f t="shared" si="14"/>
        <v>0</v>
      </c>
      <c r="E279" s="205"/>
      <c r="F279" s="262"/>
      <c r="G279" s="222"/>
      <c r="H279" s="5"/>
      <c r="I279" s="5"/>
      <c r="J279" s="5"/>
      <c r="K279" s="182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1">
        <f>'Données projet'!A253</f>
        <v>0</v>
      </c>
      <c r="B280" s="192">
        <f>'Données projet'!D253</f>
        <v>0</v>
      </c>
      <c r="C280" s="205"/>
      <c r="D280" s="190">
        <f t="shared" si="14"/>
        <v>0</v>
      </c>
      <c r="E280" s="205"/>
      <c r="F280" s="262"/>
      <c r="G280" s="222"/>
      <c r="H280" s="5"/>
      <c r="I280" s="5"/>
      <c r="J280" s="5"/>
      <c r="K280" s="182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1">
        <f>'Données projet'!A254</f>
        <v>0</v>
      </c>
      <c r="B281" s="192">
        <f>'Données projet'!D254</f>
        <v>0</v>
      </c>
      <c r="C281" s="205"/>
      <c r="D281" s="190">
        <f t="shared" si="14"/>
        <v>0</v>
      </c>
      <c r="E281" s="205"/>
      <c r="F281" s="262"/>
      <c r="G281" s="222"/>
      <c r="H281" s="5"/>
      <c r="I281" s="5"/>
      <c r="J281" s="5"/>
      <c r="K281" s="182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1">
        <f>'Données projet'!A255</f>
        <v>0</v>
      </c>
      <c r="B282" s="192">
        <f>'Données projet'!D255</f>
        <v>0</v>
      </c>
      <c r="C282" s="205"/>
      <c r="D282" s="190">
        <f t="shared" si="14"/>
        <v>0</v>
      </c>
      <c r="E282" s="205"/>
      <c r="F282" s="262"/>
      <c r="G282" s="222"/>
      <c r="H282" s="5"/>
      <c r="I282" s="5"/>
      <c r="J282" s="5"/>
      <c r="K282" s="182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1">
        <f>'Données projet'!A256</f>
        <v>0</v>
      </c>
      <c r="B283" s="192">
        <f>'Données projet'!D256</f>
        <v>0</v>
      </c>
      <c r="C283" s="205"/>
      <c r="D283" s="190">
        <f t="shared" si="14"/>
        <v>0</v>
      </c>
      <c r="E283" s="205"/>
      <c r="F283" s="262"/>
      <c r="G283" s="222"/>
      <c r="H283" s="5"/>
      <c r="I283" s="5"/>
      <c r="J283" s="5"/>
      <c r="K283" s="182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1">
        <f>'Données projet'!A257</f>
        <v>0</v>
      </c>
      <c r="B284" s="192">
        <f>'Données projet'!D257</f>
        <v>0</v>
      </c>
      <c r="C284" s="205"/>
      <c r="D284" s="190">
        <f t="shared" si="14"/>
        <v>0</v>
      </c>
      <c r="E284" s="205"/>
      <c r="F284" s="262"/>
      <c r="G284" s="222"/>
      <c r="H284" s="5"/>
      <c r="I284" s="5"/>
      <c r="J284" s="5"/>
      <c r="K284" s="182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1">
        <f>'Données projet'!A258</f>
        <v>0</v>
      </c>
      <c r="B285" s="192">
        <f>'Données projet'!D258</f>
        <v>0</v>
      </c>
      <c r="C285" s="205"/>
      <c r="D285" s="190">
        <f t="shared" si="14"/>
        <v>0</v>
      </c>
      <c r="E285" s="205"/>
      <c r="F285" s="262"/>
      <c r="G285" s="222"/>
      <c r="H285" s="5"/>
      <c r="I285" s="5"/>
      <c r="J285" s="5"/>
      <c r="K285" s="182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1">
        <f>'Données projet'!A259</f>
        <v>0</v>
      </c>
      <c r="B286" s="192">
        <f>'Données projet'!D259</f>
        <v>0</v>
      </c>
      <c r="C286" s="205"/>
      <c r="D286" s="190">
        <f t="shared" si="14"/>
        <v>0</v>
      </c>
      <c r="E286" s="205"/>
      <c r="F286" s="262"/>
      <c r="G286" s="222"/>
      <c r="H286" s="5"/>
      <c r="I286" s="5"/>
      <c r="J286" s="5"/>
      <c r="K286" s="182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1">
        <f>'Données projet'!A260</f>
        <v>0</v>
      </c>
      <c r="B287" s="192">
        <f>'Données projet'!D260</f>
        <v>0</v>
      </c>
      <c r="C287" s="205"/>
      <c r="D287" s="190">
        <f t="shared" si="14"/>
        <v>0</v>
      </c>
      <c r="E287" s="205"/>
      <c r="F287" s="262"/>
      <c r="G287" s="222"/>
      <c r="H287" s="5"/>
      <c r="I287" s="5"/>
      <c r="J287" s="5"/>
      <c r="K287" s="182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1">
        <f>'Données projet'!A261</f>
        <v>0</v>
      </c>
      <c r="B288" s="192">
        <f>'Données projet'!D261</f>
        <v>0</v>
      </c>
      <c r="C288" s="205"/>
      <c r="D288" s="190">
        <f t="shared" si="14"/>
        <v>0</v>
      </c>
      <c r="E288" s="205"/>
      <c r="F288" s="262"/>
      <c r="G288" s="222"/>
      <c r="H288" s="5"/>
      <c r="I288" s="5"/>
      <c r="J288" s="5"/>
      <c r="K288" s="182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1">
        <f>'Données projet'!A262</f>
        <v>0</v>
      </c>
      <c r="B289" s="192">
        <f>'Données projet'!D262</f>
        <v>0</v>
      </c>
      <c r="C289" s="205"/>
      <c r="D289" s="190">
        <f t="shared" si="14"/>
        <v>0</v>
      </c>
      <c r="E289" s="205"/>
      <c r="F289" s="262"/>
      <c r="G289" s="222"/>
      <c r="H289" s="5"/>
      <c r="I289" s="5"/>
      <c r="J289" s="5"/>
      <c r="K289" s="182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1">
        <f>'Données projet'!A263</f>
        <v>0</v>
      </c>
      <c r="B290" s="192">
        <f>'Données projet'!D263</f>
        <v>0</v>
      </c>
      <c r="C290" s="205"/>
      <c r="D290" s="190">
        <f t="shared" si="14"/>
        <v>0</v>
      </c>
      <c r="E290" s="205"/>
      <c r="F290" s="262"/>
      <c r="G290" s="222"/>
      <c r="H290" s="5"/>
      <c r="I290" s="5"/>
      <c r="J290" s="5"/>
      <c r="K290" s="182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2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2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5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2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2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2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9">
        <v>0</v>
      </c>
      <c r="B296" s="212" t="s">
        <v>132</v>
      </c>
      <c r="C296" s="211" t="s">
        <v>132</v>
      </c>
      <c r="D296" s="210" t="s">
        <v>132</v>
      </c>
      <c r="E296" s="205"/>
      <c r="F296" s="261"/>
      <c r="G296" s="222"/>
      <c r="H296" s="5"/>
      <c r="I296" s="5"/>
      <c r="J296" s="5"/>
      <c r="K296" s="182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9">
        <v>1</v>
      </c>
      <c r="B297" s="212" t="s">
        <v>132</v>
      </c>
      <c r="C297" s="211" t="s">
        <v>132</v>
      </c>
      <c r="D297" s="210" t="s">
        <v>132</v>
      </c>
      <c r="E297" s="205"/>
      <c r="F297" s="261"/>
      <c r="G297" s="220"/>
      <c r="H297" s="5"/>
      <c r="I297" s="5"/>
      <c r="J297" s="5"/>
      <c r="K297" s="182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9">
        <v>2</v>
      </c>
      <c r="B298" s="212" t="s">
        <v>132</v>
      </c>
      <c r="C298" s="211" t="s">
        <v>132</v>
      </c>
      <c r="D298" s="210" t="s">
        <v>132</v>
      </c>
      <c r="E298" s="205"/>
      <c r="F298" s="261"/>
      <c r="G298" s="220"/>
      <c r="H298" s="5"/>
      <c r="I298" s="5"/>
      <c r="J298" s="5"/>
      <c r="K298" s="182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9">
        <v>3</v>
      </c>
      <c r="B299" s="212" t="s">
        <v>132</v>
      </c>
      <c r="C299" s="211" t="s">
        <v>132</v>
      </c>
      <c r="D299" s="210" t="s">
        <v>132</v>
      </c>
      <c r="E299" s="205"/>
      <c r="F299" s="261"/>
      <c r="G299" s="220"/>
      <c r="H299" s="5"/>
      <c r="I299" s="5"/>
      <c r="J299" s="5"/>
      <c r="K299" s="182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9">
        <v>4</v>
      </c>
      <c r="B300" s="212" t="s">
        <v>132</v>
      </c>
      <c r="C300" s="211" t="s">
        <v>132</v>
      </c>
      <c r="D300" s="210" t="s">
        <v>132</v>
      </c>
      <c r="E300" s="205"/>
      <c r="F300" s="261"/>
      <c r="G300" s="220"/>
      <c r="H300" s="5"/>
      <c r="I300" s="5"/>
      <c r="J300" s="5"/>
      <c r="K300" s="182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9">
        <v>5</v>
      </c>
      <c r="B301" s="212" t="s">
        <v>132</v>
      </c>
      <c r="C301" s="211" t="s">
        <v>132</v>
      </c>
      <c r="D301" s="210" t="s">
        <v>132</v>
      </c>
      <c r="E301" s="205"/>
      <c r="F301" s="261"/>
      <c r="G301" s="221"/>
      <c r="H301" s="5"/>
      <c r="I301" s="5"/>
      <c r="J301" s="5"/>
      <c r="K301" s="182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1">
        <f>'Données projet'!A270</f>
        <v>0</v>
      </c>
      <c r="B302" s="192">
        <f>'Données projet'!D270</f>
        <v>0</v>
      </c>
      <c r="C302" s="203"/>
      <c r="D302" s="193">
        <f>B302*C302</f>
        <v>0</v>
      </c>
      <c r="E302" s="205"/>
      <c r="F302" s="263"/>
      <c r="G302" s="221"/>
      <c r="H302" s="5"/>
      <c r="I302" s="5"/>
      <c r="J302" s="5"/>
      <c r="K302" s="182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1">
        <f>'Données projet'!A271</f>
        <v>0</v>
      </c>
      <c r="B303" s="192">
        <f>'Données projet'!D271</f>
        <v>0</v>
      </c>
      <c r="C303" s="203"/>
      <c r="D303" s="193">
        <f t="shared" ref="D303:D321" si="15">B303*C303</f>
        <v>0</v>
      </c>
      <c r="E303" s="205"/>
      <c r="F303" s="263"/>
      <c r="G303" s="221"/>
      <c r="H303" s="5"/>
      <c r="I303" s="5"/>
      <c r="J303" s="5"/>
      <c r="K303" s="182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1">
        <f>'Données projet'!A272</f>
        <v>0</v>
      </c>
      <c r="B304" s="192">
        <f>'Données projet'!D272</f>
        <v>0</v>
      </c>
      <c r="C304" s="203"/>
      <c r="D304" s="193">
        <f t="shared" si="15"/>
        <v>0</v>
      </c>
      <c r="E304" s="205"/>
      <c r="F304" s="263"/>
      <c r="G304" s="221"/>
      <c r="H304" s="5"/>
      <c r="I304" s="5"/>
      <c r="J304" s="5"/>
      <c r="K304" s="182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1">
        <f>'Données projet'!A273</f>
        <v>0</v>
      </c>
      <c r="B305" s="192">
        <f>'Données projet'!D273</f>
        <v>0</v>
      </c>
      <c r="C305" s="203"/>
      <c r="D305" s="193">
        <f t="shared" si="15"/>
        <v>0</v>
      </c>
      <c r="E305" s="205"/>
      <c r="F305" s="263"/>
      <c r="G305" s="221"/>
      <c r="H305" s="5"/>
      <c r="I305" s="5"/>
      <c r="J305" s="5"/>
      <c r="K305" s="182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1">
        <f>'Données projet'!A274</f>
        <v>0</v>
      </c>
      <c r="B306" s="192">
        <f>'Données projet'!D274</f>
        <v>0</v>
      </c>
      <c r="C306" s="203"/>
      <c r="D306" s="193">
        <f t="shared" si="15"/>
        <v>0</v>
      </c>
      <c r="E306" s="205"/>
      <c r="F306" s="263"/>
      <c r="G306" s="221"/>
      <c r="H306" s="5"/>
      <c r="I306" s="5"/>
      <c r="J306" s="5"/>
      <c r="K306" s="182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1">
        <f>'Données projet'!A275</f>
        <v>0</v>
      </c>
      <c r="B307" s="192">
        <f>'Données projet'!D275</f>
        <v>0</v>
      </c>
      <c r="C307" s="203"/>
      <c r="D307" s="193">
        <f t="shared" si="15"/>
        <v>0</v>
      </c>
      <c r="E307" s="205"/>
      <c r="F307" s="263"/>
      <c r="G307" s="221"/>
      <c r="H307" s="5"/>
      <c r="I307" s="5"/>
      <c r="J307" s="5"/>
      <c r="K307" s="182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1">
        <f>'Données projet'!A276</f>
        <v>0</v>
      </c>
      <c r="B308" s="192">
        <f>'Données projet'!D276</f>
        <v>0</v>
      </c>
      <c r="C308" s="203"/>
      <c r="D308" s="193">
        <f t="shared" si="15"/>
        <v>0</v>
      </c>
      <c r="E308" s="205"/>
      <c r="F308" s="263"/>
      <c r="G308" s="217"/>
      <c r="H308" s="5"/>
      <c r="I308" s="5"/>
      <c r="J308" s="5"/>
      <c r="K308" s="182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1">
        <f>'Données projet'!A277</f>
        <v>0</v>
      </c>
      <c r="B309" s="192">
        <f>'Données projet'!D277</f>
        <v>0</v>
      </c>
      <c r="C309" s="203"/>
      <c r="D309" s="193">
        <f t="shared" si="15"/>
        <v>0</v>
      </c>
      <c r="E309" s="205"/>
      <c r="F309" s="263"/>
      <c r="G309" s="217"/>
      <c r="H309" s="5"/>
      <c r="I309" s="5"/>
      <c r="J309" s="5"/>
      <c r="K309" s="182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1">
        <f>'Données projet'!A278</f>
        <v>0</v>
      </c>
      <c r="B310" s="192">
        <f>'Données projet'!D278</f>
        <v>0</v>
      </c>
      <c r="C310" s="203"/>
      <c r="D310" s="193">
        <f t="shared" si="15"/>
        <v>0</v>
      </c>
      <c r="E310" s="205"/>
      <c r="F310" s="263"/>
      <c r="G310" s="217"/>
      <c r="H310" s="5"/>
      <c r="I310" s="5"/>
      <c r="J310" s="5"/>
      <c r="K310" s="182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1">
        <f>'Données projet'!A279</f>
        <v>0</v>
      </c>
      <c r="B311" s="192">
        <f>'Données projet'!D279</f>
        <v>0</v>
      </c>
      <c r="C311" s="203"/>
      <c r="D311" s="193">
        <f t="shared" si="15"/>
        <v>0</v>
      </c>
      <c r="E311" s="205"/>
      <c r="F311" s="263"/>
      <c r="G311" s="217"/>
      <c r="H311" s="5"/>
      <c r="I311" s="5"/>
      <c r="J311" s="5"/>
      <c r="K311" s="182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1">
        <f>'Données projet'!A280</f>
        <v>0</v>
      </c>
      <c r="B312" s="192">
        <f>'Données projet'!D280</f>
        <v>0</v>
      </c>
      <c r="C312" s="203"/>
      <c r="D312" s="193">
        <f t="shared" si="15"/>
        <v>0</v>
      </c>
      <c r="E312" s="205"/>
      <c r="F312" s="263"/>
      <c r="G312" s="217"/>
      <c r="H312" s="5"/>
      <c r="I312" s="5"/>
      <c r="J312" s="5"/>
      <c r="K312" s="182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1">
        <f>'Données projet'!A281</f>
        <v>0</v>
      </c>
      <c r="B313" s="192">
        <f>'Données projet'!D281</f>
        <v>0</v>
      </c>
      <c r="C313" s="203"/>
      <c r="D313" s="193">
        <f t="shared" si="15"/>
        <v>0</v>
      </c>
      <c r="E313" s="205"/>
      <c r="F313" s="263"/>
      <c r="G313" s="217"/>
      <c r="H313" s="5"/>
      <c r="I313" s="5"/>
      <c r="J313" s="5"/>
      <c r="K313" s="182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1">
        <f>'Données projet'!A282</f>
        <v>0</v>
      </c>
      <c r="B314" s="192">
        <f>'Données projet'!D282</f>
        <v>0</v>
      </c>
      <c r="C314" s="203"/>
      <c r="D314" s="193">
        <f t="shared" si="15"/>
        <v>0</v>
      </c>
      <c r="E314" s="205"/>
      <c r="F314" s="263"/>
      <c r="G314" s="217"/>
      <c r="H314" s="5"/>
      <c r="I314" s="5"/>
      <c r="J314" s="5"/>
      <c r="K314" s="182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1">
        <f>'Données projet'!A283</f>
        <v>0</v>
      </c>
      <c r="B315" s="192">
        <f>'Données projet'!D283</f>
        <v>0</v>
      </c>
      <c r="C315" s="203"/>
      <c r="D315" s="193">
        <f t="shared" si="15"/>
        <v>0</v>
      </c>
      <c r="E315" s="205"/>
      <c r="F315" s="263"/>
      <c r="G315" s="217"/>
      <c r="H315" s="5"/>
      <c r="I315" s="5"/>
      <c r="J315" s="5"/>
      <c r="K315" s="182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1">
        <f>'Données projet'!A284</f>
        <v>0</v>
      </c>
      <c r="B316" s="192">
        <f>'Données projet'!D284</f>
        <v>0</v>
      </c>
      <c r="C316" s="203"/>
      <c r="D316" s="193">
        <f t="shared" si="15"/>
        <v>0</v>
      </c>
      <c r="E316" s="205"/>
      <c r="F316" s="263"/>
      <c r="G316" s="217"/>
      <c r="H316" s="5"/>
      <c r="I316" s="5"/>
      <c r="J316" s="5"/>
      <c r="K316" s="182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1">
        <f>'Données projet'!A285</f>
        <v>0</v>
      </c>
      <c r="B317" s="192">
        <f>'Données projet'!D285</f>
        <v>0</v>
      </c>
      <c r="C317" s="203"/>
      <c r="D317" s="193">
        <f t="shared" si="15"/>
        <v>0</v>
      </c>
      <c r="E317" s="205"/>
      <c r="F317" s="263"/>
      <c r="G317" s="217"/>
      <c r="H317" s="5"/>
      <c r="I317" s="5"/>
      <c r="J317" s="5"/>
      <c r="K317" s="182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1">
        <f>'Données projet'!A286</f>
        <v>0</v>
      </c>
      <c r="B318" s="192">
        <f>'Données projet'!D286</f>
        <v>0</v>
      </c>
      <c r="C318" s="203"/>
      <c r="D318" s="193">
        <f t="shared" si="15"/>
        <v>0</v>
      </c>
      <c r="E318" s="205"/>
      <c r="F318" s="263"/>
      <c r="G318" s="217"/>
      <c r="H318" s="5"/>
      <c r="I318" s="5"/>
      <c r="J318" s="5"/>
      <c r="K318" s="182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1">
        <f>'Données projet'!A287</f>
        <v>0</v>
      </c>
      <c r="B319" s="192">
        <f>'Données projet'!D287</f>
        <v>0</v>
      </c>
      <c r="C319" s="203"/>
      <c r="D319" s="193">
        <f t="shared" si="15"/>
        <v>0</v>
      </c>
      <c r="E319" s="205"/>
      <c r="F319" s="263"/>
      <c r="G319" s="217"/>
      <c r="H319" s="5"/>
      <c r="I319" s="5"/>
      <c r="J319" s="5"/>
      <c r="K319" s="182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1">
        <f>'Données projet'!A288</f>
        <v>0</v>
      </c>
      <c r="B320" s="192">
        <f>'Données projet'!D288</f>
        <v>0</v>
      </c>
      <c r="C320" s="203"/>
      <c r="D320" s="193">
        <f t="shared" si="15"/>
        <v>0</v>
      </c>
      <c r="E320" s="205"/>
      <c r="F320" s="263"/>
      <c r="G320" s="217"/>
      <c r="H320" s="5"/>
      <c r="I320" s="5"/>
      <c r="J320" s="5"/>
      <c r="K320" s="182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1">
        <f>'Données projet'!A289</f>
        <v>0</v>
      </c>
      <c r="B321" s="192">
        <f>'Données projet'!D289</f>
        <v>0</v>
      </c>
      <c r="C321" s="208"/>
      <c r="D321" s="193">
        <f t="shared" si="15"/>
        <v>0</v>
      </c>
      <c r="E321" s="205"/>
      <c r="F321" s="263"/>
      <c r="G321" s="217"/>
      <c r="H321" s="5"/>
      <c r="I321" s="5"/>
      <c r="J321" s="5"/>
      <c r="K321" s="182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7"/>
      <c r="H322" s="5"/>
      <c r="I322" s="5"/>
      <c r="J322" s="5"/>
      <c r="K322" s="182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7"/>
      <c r="H323" s="5"/>
      <c r="I323" s="5"/>
      <c r="J323" s="5"/>
      <c r="K323" s="182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7"/>
      <c r="H324" s="5"/>
      <c r="I324" s="5"/>
      <c r="J324" s="5"/>
      <c r="K324" s="182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7"/>
      <c r="H325" s="5"/>
      <c r="I325" s="5"/>
      <c r="J325" s="5"/>
      <c r="K325" s="182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7"/>
      <c r="H326" s="5"/>
      <c r="I326" s="5"/>
      <c r="J326" s="5"/>
      <c r="K326" s="182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7"/>
      <c r="H327" s="5"/>
      <c r="I327" s="5"/>
      <c r="J327" s="5"/>
      <c r="K327" s="182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2022-07-25T21:25:58Z</dcterms:modified>
</cp:coreProperties>
</file>