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Jean de Russon\Préparation dossier\Dossier final\"/>
    </mc:Choice>
  </mc:AlternateContent>
  <xr:revisionPtr revIDLastSave="0" documentId="13_ncr:1_{9A6F394B-48F9-49F2-8F6E-4F81B7BE26E6}" xr6:coauthVersionLast="47" xr6:coauthVersionMax="47" xr10:uidLastSave="{00000000-0000-0000-0000-000000000000}"/>
  <bookViews>
    <workbookView xWindow="6444" yWindow="252" windowWidth="15444" windowHeight="1173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6" l="1"/>
  <c r="C97" i="6"/>
  <c r="C96" i="6"/>
  <c r="C95" i="6"/>
  <c r="C94" i="6"/>
  <c r="C93" i="6"/>
  <c r="C92" i="6"/>
  <c r="C91" i="6"/>
  <c r="C90" i="6"/>
  <c r="C89" i="6"/>
  <c r="C88" i="6"/>
  <c r="C87" i="6"/>
  <c r="C86" i="6"/>
  <c r="E86" i="6"/>
  <c r="E87" i="6"/>
  <c r="E88" i="6"/>
  <c r="E89" i="6"/>
  <c r="E90" i="6"/>
  <c r="E91" i="6"/>
  <c r="E92" i="6"/>
  <c r="E93" i="6"/>
  <c r="E94" i="6"/>
  <c r="E95" i="6"/>
  <c r="E96" i="6"/>
  <c r="E97" i="6"/>
  <c r="E85" i="6"/>
  <c r="E54" i="6"/>
  <c r="C85" i="6"/>
  <c r="C54" i="6"/>
  <c r="C61" i="6"/>
  <c r="C62" i="6"/>
  <c r="C60" i="6"/>
  <c r="C59" i="6"/>
  <c r="C58" i="6"/>
  <c r="C57" i="6"/>
  <c r="C56" i="6"/>
  <c r="E55" i="6"/>
  <c r="C55" i="6"/>
  <c r="C23" i="6"/>
  <c r="C27" i="6"/>
  <c r="C26" i="6"/>
  <c r="C25" i="6"/>
  <c r="C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E27" i="6" s="1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HG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FR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EA164" i="2"/>
  <c r="EX164" i="2"/>
  <c r="EV164" i="2"/>
  <c r="HG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DF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BC151" i="2" a="1"/>
  <c r="BC151" i="2" s="1"/>
  <c r="BC31" i="2" a="1"/>
  <c r="BC31" i="2" s="1"/>
  <c r="BC192" i="2" a="1"/>
  <c r="BC192" i="2" s="1"/>
  <c r="BC181" i="2" a="1"/>
  <c r="BC181" i="2" s="1"/>
  <c r="BC82" i="2" a="1"/>
  <c r="BC82" i="2" s="1"/>
  <c r="BC18" i="2" a="1"/>
  <c r="BC18" i="2" s="1"/>
  <c r="BC7" i="2" a="1"/>
  <c r="BC7" i="2" s="1"/>
  <c r="BD7" i="2" s="1"/>
  <c r="BC84" i="2" a="1"/>
  <c r="BC84" i="2" s="1"/>
  <c r="BC55" i="2" a="1"/>
  <c r="BC55" i="2" s="1"/>
  <c r="BC65" i="2" a="1"/>
  <c r="BC65" i="2" s="1"/>
  <c r="BC47" i="2" a="1"/>
  <c r="BC47" i="2" s="1"/>
  <c r="BC185" i="2" a="1"/>
  <c r="BC185" i="2" s="1"/>
  <c r="BC32" i="2" a="1"/>
  <c r="BC32" i="2" s="1"/>
  <c r="BC130" i="2" a="1"/>
  <c r="BC130" i="2" s="1"/>
  <c r="BC114" i="2" a="1"/>
  <c r="BC114" i="2" s="1"/>
  <c r="BC68" i="2" a="1"/>
  <c r="BC68" i="2" s="1"/>
  <c r="BC83" i="2" a="1"/>
  <c r="BC83" i="2" s="1"/>
  <c r="BC143" i="2" a="1"/>
  <c r="BC143" i="2" s="1"/>
  <c r="BC164" i="2" a="1"/>
  <c r="BC164" i="2" s="1"/>
  <c r="BC117" i="2" a="1"/>
  <c r="BC117" i="2" s="1"/>
  <c r="BC126" i="2" a="1"/>
  <c r="BC126" i="2" s="1"/>
  <c r="BC58" i="2" a="1"/>
  <c r="BC58" i="2" s="1"/>
  <c r="AH163" i="2" a="1"/>
  <c r="AH163" i="2" s="1"/>
  <c r="AH62" i="2" a="1"/>
  <c r="AH62" i="2" s="1"/>
  <c r="AH199" i="2" a="1"/>
  <c r="AH199" i="2" s="1"/>
  <c r="BP203" i="2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1" i="2" l="1"/>
  <c r="BI66" i="2"/>
  <c r="BI196" i="2"/>
  <c r="BI99" i="2"/>
  <c r="BI97" i="2"/>
  <c r="BI158" i="2"/>
  <c r="BI44" i="2"/>
  <c r="BI128" i="2"/>
  <c r="BI88" i="2"/>
  <c r="BI152" i="2"/>
  <c r="BI191" i="2"/>
  <c r="BI79" i="2"/>
  <c r="BI180" i="2"/>
  <c r="BI167" i="2"/>
  <c r="BI141" i="2"/>
  <c r="BI87" i="2"/>
  <c r="BI52" i="2"/>
  <c r="BI189" i="2"/>
  <c r="BI11" i="2"/>
  <c r="BI15" i="2"/>
  <c r="BI197" i="2"/>
  <c r="BI144" i="2"/>
  <c r="BI129" i="2"/>
  <c r="BI165" i="2"/>
  <c r="BI114" i="2"/>
  <c r="BI19" i="2"/>
  <c r="BI108" i="2"/>
  <c r="BI73" i="2"/>
  <c r="BI134" i="2"/>
  <c r="BI69" i="2"/>
  <c r="BI7" i="2"/>
  <c r="BI28" i="2"/>
  <c r="BI60" i="2"/>
  <c r="BI172" i="2"/>
  <c r="BI145" i="2"/>
  <c r="BI190" i="2"/>
  <c r="BI16" i="2"/>
  <c r="BI136" i="2"/>
  <c r="BI64" i="2"/>
  <c r="BI151" i="2"/>
  <c r="BI68" i="2"/>
  <c r="BI93" i="2"/>
  <c r="BI175" i="2"/>
  <c r="BI92" i="2"/>
  <c r="BI95" i="2"/>
  <c r="BI76" i="2"/>
  <c r="BI24" i="2"/>
  <c r="BI6" i="2"/>
  <c r="BI154" i="2"/>
  <c r="BI199" i="2"/>
  <c r="BI23" i="2"/>
  <c r="BI56" i="2"/>
  <c r="BI82" i="2"/>
  <c r="BI26" i="2"/>
  <c r="BI47" i="2"/>
  <c r="BI40" i="2"/>
  <c r="BI146" i="2"/>
  <c r="BI35" i="2"/>
  <c r="BI156" i="2"/>
  <c r="BI39" i="2"/>
  <c r="BI147" i="2"/>
  <c r="BI169" i="2"/>
  <c r="BI89" i="2"/>
  <c r="BI34" i="2"/>
  <c r="BI112" i="2"/>
  <c r="BI103" i="2"/>
  <c r="BI94" i="2"/>
  <c r="BI58" i="2"/>
  <c r="BI149" i="2"/>
  <c r="BI164" i="2"/>
  <c r="BI183" i="2"/>
  <c r="BI109" i="2"/>
  <c r="BI50" i="2"/>
  <c r="BI185" i="2"/>
  <c r="BI166" i="2"/>
  <c r="BI168" i="2"/>
  <c r="BI153" i="2"/>
  <c r="BI178" i="2"/>
  <c r="BI96" i="2"/>
  <c r="BI170" i="2"/>
  <c r="BI106" i="2"/>
  <c r="BI81" i="2"/>
  <c r="BI193" i="2"/>
  <c r="BI74" i="2"/>
  <c r="BI132" i="2"/>
  <c r="BI127" i="2"/>
  <c r="BI32" i="2"/>
  <c r="BI65" i="2"/>
  <c r="BI75" i="2"/>
  <c r="BI174" i="2"/>
  <c r="BI77" i="2"/>
  <c r="BI49" i="2"/>
  <c r="BI124" i="2"/>
  <c r="BI138" i="2"/>
  <c r="BI9" i="2"/>
  <c r="BI21" i="2"/>
  <c r="BI5" i="2"/>
  <c r="BI42" i="2"/>
  <c r="BI110" i="2"/>
  <c r="BI100" i="2"/>
  <c r="BI135" i="2"/>
  <c r="BI27" i="2"/>
  <c r="BI187" i="2"/>
  <c r="BI113" i="2"/>
  <c r="BI198" i="2"/>
  <c r="BI33" i="2"/>
  <c r="BI12" i="2"/>
  <c r="BI117" i="2"/>
  <c r="BI83" i="2"/>
  <c r="BI126" i="2"/>
  <c r="BI91" i="2"/>
  <c r="BI48" i="2"/>
  <c r="BI63" i="2"/>
  <c r="BI70" i="2"/>
  <c r="BI186" i="2"/>
  <c r="BI121" i="2"/>
  <c r="BI36" i="2"/>
  <c r="BI155" i="2"/>
  <c r="BI143" i="2"/>
  <c r="BI90" i="2"/>
  <c r="BI105" i="2"/>
  <c r="BI182" i="2"/>
  <c r="BI173" i="2"/>
  <c r="BI72" i="2"/>
  <c r="BI61" i="2"/>
  <c r="BI59" i="2"/>
  <c r="BI3" i="2"/>
  <c r="C8" i="4" s="1"/>
  <c r="E8" i="4" s="1"/>
  <c r="F8" i="4" s="1"/>
  <c r="G8" i="4" s="1"/>
  <c r="L8" i="4" s="1"/>
  <c r="BI160" i="2"/>
  <c r="BI57" i="2"/>
  <c r="BI43" i="2"/>
  <c r="BI10" i="2"/>
  <c r="BI192" i="2"/>
  <c r="BI120" i="2"/>
  <c r="BI171" i="2"/>
  <c r="BI98" i="2"/>
  <c r="BI86" i="2"/>
  <c r="BI102" i="2"/>
  <c r="BI201" i="2"/>
  <c r="BI177" i="2"/>
  <c r="BI84" i="2"/>
  <c r="BI4" i="2"/>
  <c r="BI203" i="2"/>
  <c r="BI130" i="2"/>
  <c r="BI67" i="2"/>
  <c r="BI118" i="2"/>
  <c r="BI181" i="2"/>
  <c r="BI62" i="2"/>
  <c r="BI101" i="2"/>
  <c r="BI53" i="2"/>
  <c r="BI20" i="2"/>
  <c r="BI31" i="2"/>
  <c r="BI45" i="2"/>
  <c r="BI142" i="2"/>
  <c r="BI131" i="2"/>
  <c r="BI148" i="2"/>
  <c r="BI116" i="2"/>
  <c r="BI46" i="2"/>
  <c r="BI200" i="2"/>
  <c r="BI29" i="2"/>
  <c r="BI78" i="2"/>
  <c r="BI139" i="2"/>
  <c r="BI163" i="2"/>
  <c r="BI184" i="2"/>
  <c r="BI30" i="2"/>
  <c r="BI71" i="2"/>
  <c r="BI55" i="2"/>
  <c r="BI18" i="2"/>
  <c r="BI161" i="2"/>
  <c r="BI104" i="2"/>
  <c r="BI54" i="2"/>
  <c r="BI125" i="2"/>
  <c r="BI176" i="2"/>
  <c r="BI133" i="2"/>
  <c r="BI195" i="2"/>
  <c r="BI13" i="2"/>
  <c r="BI140" i="2"/>
  <c r="BI157" i="2"/>
  <c r="BI41" i="2"/>
  <c r="BI38" i="2"/>
  <c r="BI25" i="2"/>
  <c r="BI202" i="2"/>
  <c r="BI107" i="2"/>
  <c r="BI17" i="2"/>
  <c r="BI123" i="2"/>
  <c r="BI119" i="2"/>
  <c r="BI159" i="2"/>
  <c r="BI37" i="2"/>
  <c r="BI115" i="2"/>
  <c r="BI137" i="2"/>
  <c r="BI122" i="2"/>
  <c r="BI179" i="2"/>
  <c r="BI80" i="2"/>
  <c r="BI162" i="2"/>
  <c r="BI111" i="2"/>
  <c r="BI85" i="2"/>
  <c r="BI188" i="2"/>
  <c r="BI14" i="2"/>
  <c r="BI150" i="2"/>
  <c r="BI194" i="2"/>
  <c r="BI8" i="2"/>
  <c r="BI2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<sst xmlns="http://schemas.openxmlformats.org/spreadsheetml/2006/main" count="1172" uniqueCount="324">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</sst>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74.862440038289407</c:v>
                </c:pt>
                <c:pt idx="14">
                  <c:v>86.754976621693785</c:v>
                </c:pt>
                <c:pt idx="15">
                  <c:v>98.606475148853704</c:v>
                </c:pt>
                <c:pt idx="16">
                  <c:v>110.42257421573156</c:v>
                </c:pt>
                <c:pt idx="17">
                  <c:v>97.291480049853348</c:v>
                </c:pt>
                <c:pt idx="18">
                  <c:v>116.97341140922269</c:v>
                </c:pt>
                <c:pt idx="19">
                  <c:v>136.57426731714023</c:v>
                </c:pt>
                <c:pt idx="20">
                  <c:v>156.10734926897979</c:v>
                </c:pt>
                <c:pt idx="21">
                  <c:v>134.94360616651974</c:v>
                </c:pt>
                <c:pt idx="22">
                  <c:v>158.0573260252676</c:v>
                </c:pt>
                <c:pt idx="23">
                  <c:v>181.09075810874253</c:v>
                </c:pt>
                <c:pt idx="24">
                  <c:v>204.05556211554111</c:v>
                </c:pt>
                <c:pt idx="25">
                  <c:v>174.60985151679984</c:v>
                </c:pt>
                <c:pt idx="26">
                  <c:v>200.82488064971199</c:v>
                </c:pt>
                <c:pt idx="27">
                  <c:v>226.96055133874836</c:v>
                </c:pt>
                <c:pt idx="28">
                  <c:v>253.02728945651543</c:v>
                </c:pt>
                <c:pt idx="29">
                  <c:v>220.19162819449525</c:v>
                </c:pt>
                <c:pt idx="30">
                  <c:v>240.16288844163589</c:v>
                </c:pt>
                <c:pt idx="31">
                  <c:v>260.09634272122901</c:v>
                </c:pt>
                <c:pt idx="32">
                  <c:v>279.99529541960356</c:v>
                </c:pt>
                <c:pt idx="33">
                  <c:v>299.86254273698574</c:v>
                </c:pt>
                <c:pt idx="34">
                  <c:v>319.70048005131179</c:v>
                </c:pt>
                <c:pt idx="35">
                  <c:v>267.37507238442385</c:v>
                </c:pt>
                <c:pt idx="36">
                  <c:v>291.96200566323915</c:v>
                </c:pt>
                <c:pt idx="37">
                  <c:v>316.50270581476593</c:v>
                </c:pt>
                <c:pt idx="38">
                  <c:v>341.00125930416687</c:v>
                </c:pt>
                <c:pt idx="39">
                  <c:v>365.46111756347779</c:v>
                </c:pt>
                <c:pt idx="40">
                  <c:v>389.88523246274644</c:v>
                </c:pt>
                <c:pt idx="41">
                  <c:v>363.33563175085629</c:v>
                </c:pt>
                <c:pt idx="42">
                  <c:v>380.11970438853018</c:v>
                </c:pt>
                <c:pt idx="43">
                  <c:v>396.88765943179595</c:v>
                </c:pt>
                <c:pt idx="44">
                  <c:v>413.64027347181246</c:v>
                </c:pt>
                <c:pt idx="45">
                  <c:v>430.37825508097495</c:v>
                </c:pt>
                <c:pt idx="46">
                  <c:v>447.10225323882656</c:v>
                </c:pt>
                <c:pt idx="47">
                  <c:v>430.27236311544584</c:v>
                </c:pt>
                <c:pt idx="48">
                  <c:v>440.11794054545476</c:v>
                </c:pt>
                <c:pt idx="49">
                  <c:v>449.95879660702644</c:v>
                </c:pt>
                <c:pt idx="50">
                  <c:v>459.79504914411217</c:v>
                </c:pt>
                <c:pt idx="51">
                  <c:v>469.62681054616814</c:v>
                </c:pt>
                <c:pt idx="52">
                  <c:v>479.45418811198175</c:v>
                </c:pt>
                <c:pt idx="53">
                  <c:v>489.27728438210988</c:v>
                </c:pt>
                <c:pt idx="54">
                  <c:v>499.09619744323123</c:v>
                </c:pt>
                <c:pt idx="55">
                  <c:v>482.94028780993466</c:v>
                </c:pt>
                <c:pt idx="56">
                  <c:v>488.32684652200697</c:v>
                </c:pt>
                <c:pt idx="57">
                  <c:v>493.71214449942426</c:v>
                </c:pt>
                <c:pt idx="58">
                  <c:v>499.09619744323123</c:v>
                </c:pt>
                <c:pt idx="59">
                  <c:v>504.47902068786544</c:v>
                </c:pt>
                <c:pt idx="60">
                  <c:v>509.86062921362321</c:v>
                </c:pt>
                <c:pt idx="61">
                  <c:v>515.24103765857456</c:v>
                </c:pt>
                <c:pt idx="62">
                  <c:v>520.62026032995107</c:v>
                </c:pt>
                <c:pt idx="63">
                  <c:v>511.75973318985524</c:v>
                </c:pt>
                <c:pt idx="64">
                  <c:v>511.75973318985524</c:v>
                </c:pt>
                <c:pt idx="65">
                  <c:v>511.75973318985524</c:v>
                </c:pt>
                <c:pt idx="66">
                  <c:v>511.75973318985524</c:v>
                </c:pt>
                <c:pt idx="67">
                  <c:v>511.75973318985524</c:v>
                </c:pt>
                <c:pt idx="68">
                  <c:v>511.75973318985524</c:v>
                </c:pt>
                <c:pt idx="69">
                  <c:v>511.75973318985524</c:v>
                </c:pt>
                <c:pt idx="70">
                  <c:v>511.75973318985524</c:v>
                </c:pt>
                <c:pt idx="71">
                  <c:v>511.75973318985524</c:v>
                </c:pt>
                <c:pt idx="72">
                  <c:v>511.75973318985524</c:v>
                </c:pt>
                <c:pt idx="73">
                  <c:v>511.75973318985524</c:v>
                </c:pt>
                <c:pt idx="74">
                  <c:v>511.75973318985524</c:v>
                </c:pt>
                <c:pt idx="75">
                  <c:v>511.75973318985524</c:v>
                </c:pt>
                <c:pt idx="76">
                  <c:v>511.75973318985524</c:v>
                </c:pt>
                <c:pt idx="77">
                  <c:v>511.75973318985524</c:v>
                </c:pt>
                <c:pt idx="78">
                  <c:v>511.75973318985524</c:v>
                </c:pt>
                <c:pt idx="79">
                  <c:v>511.75973318985524</c:v>
                </c:pt>
                <c:pt idx="80">
                  <c:v>511.75973318985524</c:v>
                </c:pt>
                <c:pt idx="81">
                  <c:v>511.75973318985524</c:v>
                </c:pt>
                <c:pt idx="82">
                  <c:v>511.75973318985524</c:v>
                </c:pt>
                <c:pt idx="83">
                  <c:v>511.75973318985524</c:v>
                </c:pt>
                <c:pt idx="84">
                  <c:v>511.75973318985524</c:v>
                </c:pt>
                <c:pt idx="85">
                  <c:v>511.75973318985524</c:v>
                </c:pt>
                <c:pt idx="86">
                  <c:v>511.75973318985524</c:v>
                </c:pt>
                <c:pt idx="87">
                  <c:v>511.75973318985524</c:v>
                </c:pt>
                <c:pt idx="88">
                  <c:v>511.75973318985524</c:v>
                </c:pt>
                <c:pt idx="89">
                  <c:v>511.75973318985524</c:v>
                </c:pt>
                <c:pt idx="90">
                  <c:v>511.75973318985524</c:v>
                </c:pt>
                <c:pt idx="91">
                  <c:v>511.75973318985524</c:v>
                </c:pt>
                <c:pt idx="92">
                  <c:v>511.75973318985524</c:v>
                </c:pt>
                <c:pt idx="93">
                  <c:v>511.75973318985524</c:v>
                </c:pt>
                <c:pt idx="94">
                  <c:v>511.75973318985524</c:v>
                </c:pt>
                <c:pt idx="95">
                  <c:v>511.75973318985524</c:v>
                </c:pt>
                <c:pt idx="96">
                  <c:v>511.75973318985524</c:v>
                </c:pt>
                <c:pt idx="97">
                  <c:v>511.75973318985524</c:v>
                </c:pt>
                <c:pt idx="98">
                  <c:v>511.75973318985524</c:v>
                </c:pt>
                <c:pt idx="99">
                  <c:v>511.75973318985524</c:v>
                </c:pt>
                <c:pt idx="100">
                  <c:v>511.75973318985524</c:v>
                </c:pt>
                <c:pt idx="101">
                  <c:v>511.75973318985524</c:v>
                </c:pt>
                <c:pt idx="102">
                  <c:v>511.75973318985524</c:v>
                </c:pt>
                <c:pt idx="103">
                  <c:v>511.75973318985524</c:v>
                </c:pt>
                <c:pt idx="104">
                  <c:v>511.75973318985524</c:v>
                </c:pt>
                <c:pt idx="105">
                  <c:v>511.75973318985524</c:v>
                </c:pt>
                <c:pt idx="106">
                  <c:v>511.75973318985524</c:v>
                </c:pt>
                <c:pt idx="107">
                  <c:v>511.75973318985524</c:v>
                </c:pt>
                <c:pt idx="108">
                  <c:v>511.75973318985524</c:v>
                </c:pt>
                <c:pt idx="109">
                  <c:v>511.75973318985524</c:v>
                </c:pt>
                <c:pt idx="110">
                  <c:v>511.75973318985524</c:v>
                </c:pt>
                <c:pt idx="111">
                  <c:v>511.75973318985524</c:v>
                </c:pt>
                <c:pt idx="112">
                  <c:v>511.75973318985524</c:v>
                </c:pt>
                <c:pt idx="113">
                  <c:v>511.75973318985524</c:v>
                </c:pt>
                <c:pt idx="114">
                  <c:v>511.75973318985524</c:v>
                </c:pt>
                <c:pt idx="115">
                  <c:v>511.75973318985524</c:v>
                </c:pt>
                <c:pt idx="116">
                  <c:v>511.75973318985524</c:v>
                </c:pt>
                <c:pt idx="117">
                  <c:v>511.75973318985524</c:v>
                </c:pt>
                <c:pt idx="118">
                  <c:v>511.75973318985524</c:v>
                </c:pt>
                <c:pt idx="119">
                  <c:v>511.75973318985524</c:v>
                </c:pt>
                <c:pt idx="120">
                  <c:v>511.75973318985524</c:v>
                </c:pt>
                <c:pt idx="121">
                  <c:v>511.75973318985524</c:v>
                </c:pt>
                <c:pt idx="122">
                  <c:v>511.75973318985524</c:v>
                </c:pt>
                <c:pt idx="123">
                  <c:v>511.75973318985524</c:v>
                </c:pt>
                <c:pt idx="124">
                  <c:v>511.75973318985524</c:v>
                </c:pt>
                <c:pt idx="125">
                  <c:v>511.75973318985524</c:v>
                </c:pt>
                <c:pt idx="126">
                  <c:v>511.75973318985524</c:v>
                </c:pt>
                <c:pt idx="127">
                  <c:v>511.75973318985524</c:v>
                </c:pt>
                <c:pt idx="128">
                  <c:v>511.75973318985524</c:v>
                </c:pt>
                <c:pt idx="129">
                  <c:v>511.75973318985524</c:v>
                </c:pt>
                <c:pt idx="130">
                  <c:v>511.75973318985524</c:v>
                </c:pt>
                <c:pt idx="131">
                  <c:v>511.75973318985524</c:v>
                </c:pt>
                <c:pt idx="132">
                  <c:v>511.75973318985524</c:v>
                </c:pt>
                <c:pt idx="133">
                  <c:v>511.75973318985524</c:v>
                </c:pt>
                <c:pt idx="134">
                  <c:v>511.75973318985524</c:v>
                </c:pt>
                <c:pt idx="135">
                  <c:v>511.75973318985524</c:v>
                </c:pt>
                <c:pt idx="136">
                  <c:v>511.75973318985524</c:v>
                </c:pt>
                <c:pt idx="137">
                  <c:v>511.75973318985524</c:v>
                </c:pt>
                <c:pt idx="138">
                  <c:v>511.75973318985524</c:v>
                </c:pt>
                <c:pt idx="139">
                  <c:v>511.75973318985524</c:v>
                </c:pt>
                <c:pt idx="140">
                  <c:v>511.75973318985524</c:v>
                </c:pt>
                <c:pt idx="141">
                  <c:v>511.75973318985524</c:v>
                </c:pt>
                <c:pt idx="142">
                  <c:v>511.75973318985524</c:v>
                </c:pt>
                <c:pt idx="143">
                  <c:v>511.75973318985524</c:v>
                </c:pt>
                <c:pt idx="144">
                  <c:v>511.75973318985524</c:v>
                </c:pt>
                <c:pt idx="145">
                  <c:v>511.75973318985524</c:v>
                </c:pt>
                <c:pt idx="146">
                  <c:v>511.75973318985524</c:v>
                </c:pt>
                <c:pt idx="147">
                  <c:v>511.75973318985524</c:v>
                </c:pt>
                <c:pt idx="148">
                  <c:v>511.75973318985524</c:v>
                </c:pt>
                <c:pt idx="149">
                  <c:v>511.75973318985524</c:v>
                </c:pt>
                <c:pt idx="150">
                  <c:v>511.75973318985524</c:v>
                </c:pt>
                <c:pt idx="151">
                  <c:v>511.75973318985524</c:v>
                </c:pt>
                <c:pt idx="152">
                  <c:v>511.75973318985524</c:v>
                </c:pt>
                <c:pt idx="153">
                  <c:v>511.75973318985524</c:v>
                </c:pt>
                <c:pt idx="154">
                  <c:v>511.75973318985524</c:v>
                </c:pt>
                <c:pt idx="155">
                  <c:v>511.75973318985524</c:v>
                </c:pt>
                <c:pt idx="156">
                  <c:v>511.75973318985524</c:v>
                </c:pt>
                <c:pt idx="157">
                  <c:v>511.75973318985524</c:v>
                </c:pt>
                <c:pt idx="158">
                  <c:v>511.75973318985524</c:v>
                </c:pt>
                <c:pt idx="159">
                  <c:v>511.75973318985524</c:v>
                </c:pt>
                <c:pt idx="160">
                  <c:v>511.75973318985524</c:v>
                </c:pt>
                <c:pt idx="161">
                  <c:v>511.75973318985524</c:v>
                </c:pt>
                <c:pt idx="162">
                  <c:v>511.75973318985524</c:v>
                </c:pt>
                <c:pt idx="163">
                  <c:v>511.75973318985524</c:v>
                </c:pt>
                <c:pt idx="164">
                  <c:v>511.75973318985524</c:v>
                </c:pt>
                <c:pt idx="165">
                  <c:v>511.75973318985524</c:v>
                </c:pt>
                <c:pt idx="166">
                  <c:v>511.75973318985524</c:v>
                </c:pt>
                <c:pt idx="167">
                  <c:v>511.75973318985524</c:v>
                </c:pt>
                <c:pt idx="168">
                  <c:v>511.75973318985524</c:v>
                </c:pt>
                <c:pt idx="169">
                  <c:v>511.75973318985524</c:v>
                </c:pt>
                <c:pt idx="170">
                  <c:v>511.75973318985524</c:v>
                </c:pt>
                <c:pt idx="171">
                  <c:v>511.75973318985524</c:v>
                </c:pt>
                <c:pt idx="172">
                  <c:v>511.75973318985524</c:v>
                </c:pt>
                <c:pt idx="173">
                  <c:v>511.75973318985524</c:v>
                </c:pt>
                <c:pt idx="174">
                  <c:v>511.75973318985524</c:v>
                </c:pt>
                <c:pt idx="175">
                  <c:v>511.75973318985524</c:v>
                </c:pt>
                <c:pt idx="176">
                  <c:v>511.75973318985524</c:v>
                </c:pt>
                <c:pt idx="177">
                  <c:v>511.75973318985524</c:v>
                </c:pt>
                <c:pt idx="178">
                  <c:v>511.75973318985524</c:v>
                </c:pt>
                <c:pt idx="179">
                  <c:v>511.75973318985524</c:v>
                </c:pt>
                <c:pt idx="180">
                  <c:v>511.75973318985524</c:v>
                </c:pt>
                <c:pt idx="181">
                  <c:v>511.75973318985524</c:v>
                </c:pt>
                <c:pt idx="182">
                  <c:v>511.75973318985524</c:v>
                </c:pt>
                <c:pt idx="183">
                  <c:v>511.75973318985524</c:v>
                </c:pt>
                <c:pt idx="184">
                  <c:v>511.75973318985524</c:v>
                </c:pt>
                <c:pt idx="185">
                  <c:v>511.75973318985524</c:v>
                </c:pt>
                <c:pt idx="186">
                  <c:v>511.75973318985524</c:v>
                </c:pt>
                <c:pt idx="187">
                  <c:v>511.75973318985524</c:v>
                </c:pt>
                <c:pt idx="188">
                  <c:v>511.75973318985524</c:v>
                </c:pt>
                <c:pt idx="189">
                  <c:v>511.75973318985524</c:v>
                </c:pt>
                <c:pt idx="190">
                  <c:v>511.75973318985524</c:v>
                </c:pt>
                <c:pt idx="191">
                  <c:v>511.75973318985524</c:v>
                </c:pt>
                <c:pt idx="192">
                  <c:v>511.75973318985524</c:v>
                </c:pt>
                <c:pt idx="193">
                  <c:v>511.75973318985524</c:v>
                </c:pt>
                <c:pt idx="194">
                  <c:v>511.75973318985524</c:v>
                </c:pt>
                <c:pt idx="195">
                  <c:v>511.75973318985524</c:v>
                </c:pt>
                <c:pt idx="196">
                  <c:v>511.75973318985524</c:v>
                </c:pt>
                <c:pt idx="197">
                  <c:v>511.75973318985524</c:v>
                </c:pt>
                <c:pt idx="198">
                  <c:v>511.75973318985524</c:v>
                </c:pt>
                <c:pt idx="199">
                  <c:v>511.75973318985524</c:v>
                </c:pt>
                <c:pt idx="200">
                  <c:v>511.75973318985524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1.5035115935448389</c:v>
                </c:pt>
                <c:pt idx="2">
                  <c:v>1.8449282953754329</c:v>
                </c:pt>
                <c:pt idx="3">
                  <c:v>2.2641777228148707</c:v>
                </c:pt>
                <c:pt idx="4">
                  <c:v>2.7790690120471169</c:v>
                </c:pt>
                <c:pt idx="5">
                  <c:v>3.4115003698024009</c:v>
                </c:pt>
                <c:pt idx="6">
                  <c:v>4.188400967919911</c:v>
                </c:pt>
                <c:pt idx="7">
                  <c:v>5.1428904433639948</c:v>
                </c:pt>
                <c:pt idx="8">
                  <c:v>6.3157064143014097</c:v>
                </c:pt>
                <c:pt idx="9">
                  <c:v>7.7569621301343439</c:v>
                </c:pt>
                <c:pt idx="10">
                  <c:v>9.5283108057200092</c:v>
                </c:pt>
                <c:pt idx="11">
                  <c:v>11.705610982989903</c:v>
                </c:pt>
                <c:pt idx="12">
                  <c:v>14.382209200930864</c:v>
                </c:pt>
                <c:pt idx="13">
                  <c:v>17.672983304811915</c:v>
                </c:pt>
                <c:pt idx="14">
                  <c:v>21.719323081239882</c:v>
                </c:pt>
                <c:pt idx="15">
                  <c:v>26.695266039879836</c:v>
                </c:pt>
                <c:pt idx="16">
                  <c:v>32.815056892829233</c:v>
                </c:pt>
                <c:pt idx="17">
                  <c:v>40.342461851342399</c:v>
                </c:pt>
                <c:pt idx="18">
                  <c:v>49.602246034510351</c:v>
                </c:pt>
                <c:pt idx="19">
                  <c:v>60.994317481325233</c:v>
                </c:pt>
                <c:pt idx="20">
                  <c:v>75.011158692054224</c:v>
                </c:pt>
                <c:pt idx="21">
                  <c:v>92.259311500458224</c:v>
                </c:pt>
                <c:pt idx="22">
                  <c:v>113.48585981797801</c:v>
                </c:pt>
                <c:pt idx="23">
                  <c:v>139.61107532299317</c:v>
                </c:pt>
                <c:pt idx="24">
                  <c:v>171.76866328001665</c:v>
                </c:pt>
                <c:pt idx="25">
                  <c:v>211.35538144796092</c:v>
                </c:pt>
                <c:pt idx="26">
                  <c:v>200.33596006184897</c:v>
                </c:pt>
                <c:pt idx="27">
                  <c:v>209.94080084424982</c:v>
                </c:pt>
                <c:pt idx="28">
                  <c:v>219.53550582468799</c:v>
                </c:pt>
                <c:pt idx="29">
                  <c:v>229.12058085809755</c:v>
                </c:pt>
                <c:pt idx="30">
                  <c:v>238.69648597432544</c:v>
                </c:pt>
                <c:pt idx="31">
                  <c:v>248.2636412415155</c:v>
                </c:pt>
                <c:pt idx="32">
                  <c:v>257.82243167737909</c:v>
                </c:pt>
                <c:pt idx="33">
                  <c:v>267.37321139326599</c:v>
                </c:pt>
                <c:pt idx="34">
                  <c:v>238.44208346548677</c:v>
                </c:pt>
                <c:pt idx="35">
                  <c:v>248.70151316010561</c:v>
                </c:pt>
                <c:pt idx="36">
                  <c:v>258.9513424645869</c:v>
                </c:pt>
                <c:pt idx="37">
                  <c:v>269.19200522524892</c:v>
                </c:pt>
                <c:pt idx="38">
                  <c:v>279.42389955858874</c:v>
                </c:pt>
                <c:pt idx="39">
                  <c:v>289.64739202283312</c:v>
                </c:pt>
                <c:pt idx="40">
                  <c:v>299.86282116927129</c:v>
                </c:pt>
                <c:pt idx="41">
                  <c:v>310.07050058400927</c:v>
                </c:pt>
                <c:pt idx="42">
                  <c:v>261.3356557528063</c:v>
                </c:pt>
                <c:pt idx="43">
                  <c:v>273.25794354559258</c:v>
                </c:pt>
                <c:pt idx="44">
                  <c:v>285.16854135260792</c:v>
                </c:pt>
                <c:pt idx="45">
                  <c:v>297.06800643476817</c:v>
                </c:pt>
                <c:pt idx="46">
                  <c:v>308.95684774308342</c:v>
                </c:pt>
                <c:pt idx="47">
                  <c:v>320.83553184436016</c:v>
                </c:pt>
                <c:pt idx="48">
                  <c:v>332.70448792297452</c:v>
                </c:pt>
                <c:pt idx="49">
                  <c:v>344.56411203126908</c:v>
                </c:pt>
                <c:pt idx="50">
                  <c:v>356.41477072395401</c:v>
                </c:pt>
                <c:pt idx="51">
                  <c:v>368.2568041837207</c:v>
                </c:pt>
                <c:pt idx="52">
                  <c:v>380.09052892369937</c:v>
                </c:pt>
                <c:pt idx="53">
                  <c:v>319.20223017635703</c:v>
                </c:pt>
                <c:pt idx="54">
                  <c:v>332.70903360300042</c:v>
                </c:pt>
                <c:pt idx="55">
                  <c:v>346.20375243398416</c:v>
                </c:pt>
                <c:pt idx="56">
                  <c:v>359.68692411681815</c:v>
                </c:pt>
                <c:pt idx="57">
                  <c:v>373.15904251243165</c:v>
                </c:pt>
                <c:pt idx="58">
                  <c:v>386.620562909201</c:v>
                </c:pt>
                <c:pt idx="59">
                  <c:v>400.07190630207856</c:v>
                </c:pt>
                <c:pt idx="60">
                  <c:v>413.51346306611873</c:v>
                </c:pt>
                <c:pt idx="61">
                  <c:v>47.387331580211132</c:v>
                </c:pt>
                <c:pt idx="62">
                  <c:v>92.976297606370238</c:v>
                </c:pt>
                <c:pt idx="63">
                  <c:v>137.98448183087436</c:v>
                </c:pt>
                <c:pt idx="64">
                  <c:v>182.63465863953647</c:v>
                </c:pt>
                <c:pt idx="65">
                  <c:v>227.02779668703428</c:v>
                </c:pt>
                <c:pt idx="66">
                  <c:v>271.22149270955509</c:v>
                </c:pt>
                <c:pt idx="67">
                  <c:v>315.25287709590856</c:v>
                </c:pt>
                <c:pt idx="68">
                  <c:v>359.14781262780747</c:v>
                </c:pt>
                <c:pt idx="69">
                  <c:v>402.92530877881148</c:v>
                </c:pt>
                <c:pt idx="70">
                  <c:v>446.59990287430219</c:v>
                </c:pt>
                <c:pt idx="71">
                  <c:v>332.26800534445573</c:v>
                </c:pt>
                <c:pt idx="72">
                  <c:v>349.25893374205612</c:v>
                </c:pt>
                <c:pt idx="73">
                  <c:v>366.23173343820076</c:v>
                </c:pt>
                <c:pt idx="74">
                  <c:v>383.18736262604534</c:v>
                </c:pt>
                <c:pt idx="75">
                  <c:v>400.12668779918459</c:v>
                </c:pt>
                <c:pt idx="76">
                  <c:v>417.05049611845311</c:v>
                </c:pt>
                <c:pt idx="77">
                  <c:v>433.95950566654756</c:v>
                </c:pt>
                <c:pt idx="78">
                  <c:v>450.8543740211025</c:v>
                </c:pt>
                <c:pt idx="79">
                  <c:v>467.73570547588855</c:v>
                </c:pt>
                <c:pt idx="80">
                  <c:v>484.60405716537508</c:v>
                </c:pt>
                <c:pt idx="81">
                  <c:v>359.53717270019189</c:v>
                </c:pt>
                <c:pt idx="82">
                  <c:v>376.99912993384709</c:v>
                </c:pt>
                <c:pt idx="83">
                  <c:v>394.44348263717478</c:v>
                </c:pt>
                <c:pt idx="84">
                  <c:v>411.87111867390013</c:v>
                </c:pt>
                <c:pt idx="85">
                  <c:v>429.28284466505744</c:v>
                </c:pt>
                <c:pt idx="86">
                  <c:v>446.6793964847152</c:v>
                </c:pt>
                <c:pt idx="87">
                  <c:v>464.06144803552587</c:v>
                </c:pt>
                <c:pt idx="88">
                  <c:v>481.42961864117456</c:v>
                </c:pt>
                <c:pt idx="89">
                  <c:v>498.78447931673668</c:v>
                </c:pt>
                <c:pt idx="90">
                  <c:v>516.12655812114815</c:v>
                </c:pt>
                <c:pt idx="91">
                  <c:v>382.74271241581641</c:v>
                </c:pt>
                <c:pt idx="92">
                  <c:v>401.17746511636238</c:v>
                </c:pt>
                <c:pt idx="93">
                  <c:v>419.59389353416788</c:v>
                </c:pt>
                <c:pt idx="94">
                  <c:v>437.9929147359382</c:v>
                </c:pt>
                <c:pt idx="95">
                  <c:v>456.37536249062396</c:v>
                </c:pt>
                <c:pt idx="96">
                  <c:v>474.74199795471742</c:v>
                </c:pt>
                <c:pt idx="97">
                  <c:v>493.0935186181764</c:v>
                </c:pt>
                <c:pt idx="98">
                  <c:v>511.43056584958936</c:v>
                </c:pt>
                <c:pt idx="99">
                  <c:v>529.75373130325886</c:v>
                </c:pt>
                <c:pt idx="100">
                  <c:v>548.06356239406932</c:v>
                </c:pt>
                <c:pt idx="101">
                  <c:v>4.2330868906469593E-12</c:v>
                </c:pt>
                <c:pt idx="102">
                  <c:v>4.2330868906469593E-12</c:v>
                </c:pt>
                <c:pt idx="103">
                  <c:v>4.2330868906469593E-12</c:v>
                </c:pt>
                <c:pt idx="104">
                  <c:v>4.2330868906469593E-12</c:v>
                </c:pt>
                <c:pt idx="105">
                  <c:v>4.2330868906469593E-12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4.7507816764115471</c:v>
                </c:pt>
                <c:pt idx="2">
                  <c:v>9.2810447009718047</c:v>
                </c:pt>
                <c:pt idx="3">
                  <c:v>13.740091270327964</c:v>
                </c:pt>
                <c:pt idx="4">
                  <c:v>18.155238359672193</c:v>
                </c:pt>
                <c:pt idx="5">
                  <c:v>22.538866917671246</c:v>
                </c:pt>
                <c:pt idx="6">
                  <c:v>26.898039554363681</c:v>
                </c:pt>
                <c:pt idx="7">
                  <c:v>31.237309261361556</c:v>
                </c:pt>
                <c:pt idx="8">
                  <c:v>35.559847377074682</c:v>
                </c:pt>
                <c:pt idx="9">
                  <c:v>39.867984875576923</c:v>
                </c:pt>
                <c:pt idx="10">
                  <c:v>44.163504348503949</c:v>
                </c:pt>
                <c:pt idx="11">
                  <c:v>48.447811238401634</c:v>
                </c:pt>
                <c:pt idx="12">
                  <c:v>52.722040796159952</c:v>
                </c:pt>
                <c:pt idx="13">
                  <c:v>56.98712827472135</c:v>
                </c:pt>
                <c:pt idx="14">
                  <c:v>61.243856868362421</c:v>
                </c:pt>
                <c:pt idx="15">
                  <c:v>65.492891546537251</c:v>
                </c:pt>
                <c:pt idx="16">
                  <c:v>69.734803600053738</c:v>
                </c:pt>
                <c:pt idx="17">
                  <c:v>73.970088872186224</c:v>
                </c:pt>
                <c:pt idx="18">
                  <c:v>78.199181576347655</c:v>
                </c:pt>
                <c:pt idx="19">
                  <c:v>82.422464955136562</c:v>
                </c:pt>
                <c:pt idx="20">
                  <c:v>86.640279631357899</c:v>
                </c:pt>
                <c:pt idx="21">
                  <c:v>90.852930241375134</c:v>
                </c:pt>
                <c:pt idx="22">
                  <c:v>95.060690769167522</c:v>
                </c:pt>
                <c:pt idx="23">
                  <c:v>99.263808883144108</c:v>
                </c:pt>
                <c:pt idx="24">
                  <c:v>103.46250949744717</c:v>
                </c:pt>
                <c:pt idx="25">
                  <c:v>107.65699772297984</c:v>
                </c:pt>
                <c:pt idx="26">
                  <c:v>111.84746133297843</c:v>
                </c:pt>
                <c:pt idx="27">
                  <c:v>116.03407283859674</c:v>
                </c:pt>
                <c:pt idx="28">
                  <c:v>120.21699124835231</c:v>
                </c:pt>
                <c:pt idx="29">
                  <c:v>124.39636356915999</c:v>
                </c:pt>
                <c:pt idx="30">
                  <c:v>128.57232609450958</c:v>
                </c:pt>
                <c:pt idx="31">
                  <c:v>132.74500551606158</c:v>
                </c:pt>
                <c:pt idx="32">
                  <c:v>136.91451988778249</c:v>
                </c:pt>
                <c:pt idx="33">
                  <c:v>141.08097946617693</c:v>
                </c:pt>
                <c:pt idx="34">
                  <c:v>145.24448744581252</c:v>
                </c:pt>
                <c:pt idx="35">
                  <c:v>149.4051406058806</c:v>
                </c:pt>
                <c:pt idx="36">
                  <c:v>153.56302988078733</c:v>
                </c:pt>
                <c:pt idx="37">
                  <c:v>157.71824086556353</c:v>
                </c:pt>
                <c:pt idx="38">
                  <c:v>161.87085426509904</c:v>
                </c:pt>
                <c:pt idx="39">
                  <c:v>166.020946294759</c:v>
                </c:pt>
                <c:pt idx="40">
                  <c:v>170.16858903875519</c:v>
                </c:pt>
                <c:pt idx="41">
                  <c:v>174.31385077167116</c:v>
                </c:pt>
                <c:pt idx="42">
                  <c:v>178.45679624773652</c:v>
                </c:pt>
                <c:pt idx="43">
                  <c:v>182.59748696177428</c:v>
                </c:pt>
                <c:pt idx="44">
                  <c:v>186.73598138519108</c:v>
                </c:pt>
                <c:pt idx="45">
                  <c:v>190.87233517990819</c:v>
                </c:pt>
                <c:pt idx="46">
                  <c:v>195.00660139274058</c:v>
                </c:pt>
                <c:pt idx="47">
                  <c:v>199.13883063239689</c:v>
                </c:pt>
                <c:pt idx="48">
                  <c:v>203.26907123099008</c:v>
                </c:pt>
                <c:pt idx="49">
                  <c:v>207.39736939170908</c:v>
                </c:pt>
                <c:pt idx="50">
                  <c:v>211.52376932409547</c:v>
                </c:pt>
                <c:pt idx="51">
                  <c:v>215.64831336819213</c:v>
                </c:pt>
                <c:pt idx="52">
                  <c:v>219.77104210867927</c:v>
                </c:pt>
                <c:pt idx="53">
                  <c:v>169.32232688472183</c:v>
                </c:pt>
                <c:pt idx="54">
                  <c:v>182.51300521734356</c:v>
                </c:pt>
                <c:pt idx="55">
                  <c:v>195.68138889273439</c:v>
                </c:pt>
                <c:pt idx="56">
                  <c:v>208.82919038278217</c:v>
                </c:pt>
                <c:pt idx="57">
                  <c:v>221.95788870113026</c:v>
                </c:pt>
                <c:pt idx="58">
                  <c:v>235.06877345752719</c:v>
                </c:pt>
                <c:pt idx="59">
                  <c:v>248.16297855306303</c:v>
                </c:pt>
                <c:pt idx="60">
                  <c:v>261.24150838162961</c:v>
                </c:pt>
                <c:pt idx="61">
                  <c:v>208.82919038278217</c:v>
                </c:pt>
                <c:pt idx="62">
                  <c:v>221.95788870113026</c:v>
                </c:pt>
                <c:pt idx="63">
                  <c:v>235.06877345752719</c:v>
                </c:pt>
                <c:pt idx="64">
                  <c:v>248.16297855306303</c:v>
                </c:pt>
                <c:pt idx="65">
                  <c:v>261.24150838162961</c:v>
                </c:pt>
                <c:pt idx="66">
                  <c:v>274.30525850370827</c:v>
                </c:pt>
                <c:pt idx="67">
                  <c:v>287.35503217179348</c:v>
                </c:pt>
                <c:pt idx="68">
                  <c:v>300.39155369431438</c:v>
                </c:pt>
                <c:pt idx="69">
                  <c:v>245.54542201156025</c:v>
                </c:pt>
                <c:pt idx="70">
                  <c:v>258.19120470829978</c:v>
                </c:pt>
                <c:pt idx="71">
                  <c:v>270.8229900419571</c:v>
                </c:pt>
                <c:pt idx="72">
                  <c:v>283.44152309866439</c:v>
                </c:pt>
                <c:pt idx="73">
                  <c:v>296.04747717569853</c:v>
                </c:pt>
                <c:pt idx="74">
                  <c:v>308.64146352593906</c:v>
                </c:pt>
                <c:pt idx="75">
                  <c:v>321.22403942766948</c:v>
                </c:pt>
                <c:pt idx="76">
                  <c:v>333.79571492319104</c:v>
                </c:pt>
                <c:pt idx="77">
                  <c:v>346.35695848873144</c:v>
                </c:pt>
                <c:pt idx="78">
                  <c:v>358.90820183854083</c:v>
                </c:pt>
                <c:pt idx="79">
                  <c:v>301.26020037200624</c:v>
                </c:pt>
                <c:pt idx="80">
                  <c:v>312.98154497816995</c:v>
                </c:pt>
                <c:pt idx="81">
                  <c:v>324.69315596665746</c:v>
                </c:pt>
                <c:pt idx="82">
                  <c:v>336.39543402720869</c:v>
                </c:pt>
                <c:pt idx="83">
                  <c:v>348.08874968614651</c:v>
                </c:pt>
                <c:pt idx="84">
                  <c:v>359.7734465356852</c:v>
                </c:pt>
                <c:pt idx="85">
                  <c:v>371.44984402165977</c:v>
                </c:pt>
                <c:pt idx="86">
                  <c:v>383.11823986232542</c:v>
                </c:pt>
                <c:pt idx="87">
                  <c:v>394.77891215703062</c:v>
                </c:pt>
                <c:pt idx="88">
                  <c:v>406.43212123270115</c:v>
                </c:pt>
                <c:pt idx="89">
                  <c:v>343.32586555964167</c:v>
                </c:pt>
                <c:pt idx="90">
                  <c:v>355.87948504358548</c:v>
                </c:pt>
                <c:pt idx="91">
                  <c:v>368.42340983207117</c:v>
                </c:pt>
                <c:pt idx="92">
                  <c:v>380.95801656536156</c:v>
                </c:pt>
                <c:pt idx="93">
                  <c:v>393.48365507240305</c:v>
                </c:pt>
                <c:pt idx="94">
                  <c:v>406.00065109020511</c:v>
                </c:pt>
                <c:pt idx="95">
                  <c:v>418.50930863032607</c:v>
                </c:pt>
                <c:pt idx="96">
                  <c:v>431.00991204765404</c:v>
                </c:pt>
                <c:pt idx="97">
                  <c:v>443.50272785665726</c:v>
                </c:pt>
                <c:pt idx="98">
                  <c:v>455.98800633232003</c:v>
                </c:pt>
                <c:pt idx="99">
                  <c:v>393.91541769109</c:v>
                </c:pt>
                <c:pt idx="100">
                  <c:v>405.13768105411583</c:v>
                </c:pt>
                <c:pt idx="101">
                  <c:v>416.35322583912676</c:v>
                </c:pt>
                <c:pt idx="102">
                  <c:v>427.56225857158512</c:v>
                </c:pt>
                <c:pt idx="103">
                  <c:v>438.76497406308528</c:v>
                </c:pt>
                <c:pt idx="104">
                  <c:v>449.96155636424425</c:v>
                </c:pt>
                <c:pt idx="105">
                  <c:v>461.15217961779939</c:v>
                </c:pt>
                <c:pt idx="106">
                  <c:v>472.33700882458061</c:v>
                </c:pt>
                <c:pt idx="107">
                  <c:v>483.51620053315031</c:v>
                </c:pt>
                <c:pt idx="108">
                  <c:v>494.68990346234341</c:v>
                </c:pt>
                <c:pt idx="109">
                  <c:v>422.60520760548957</c:v>
                </c:pt>
                <c:pt idx="110">
                  <c:v>434.45697298266265</c:v>
                </c:pt>
                <c:pt idx="111">
                  <c:v>446.30179913622095</c:v>
                </c:pt>
                <c:pt idx="112">
                  <c:v>458.13989619719592</c:v>
                </c:pt>
                <c:pt idx="113">
                  <c:v>469.97146255110721</c:v>
                </c:pt>
                <c:pt idx="114">
                  <c:v>481.79668577992425</c:v>
                </c:pt>
                <c:pt idx="115">
                  <c:v>493.61574350673715</c:v>
                </c:pt>
                <c:pt idx="116">
                  <c:v>505.42880415532369</c:v>
                </c:pt>
                <c:pt idx="117">
                  <c:v>517.2360276350164</c:v>
                </c:pt>
                <c:pt idx="118">
                  <c:v>529.03756595978621</c:v>
                </c:pt>
                <c:pt idx="119">
                  <c:v>455.34239710590299</c:v>
                </c:pt>
                <c:pt idx="120">
                  <c:v>467.60566258446266</c:v>
                </c:pt>
                <c:pt idx="121">
                  <c:v>479.86207575399249</c:v>
                </c:pt>
                <c:pt idx="122">
                  <c:v>492.11183628578306</c:v>
                </c:pt>
                <c:pt idx="123">
                  <c:v>504.35513310068745</c:v>
                </c:pt>
                <c:pt idx="124">
                  <c:v>516.59214520035437</c:v>
                </c:pt>
                <c:pt idx="125">
                  <c:v>528.82304241561656</c:v>
                </c:pt>
                <c:pt idx="126">
                  <c:v>541.04798608205112</c:v>
                </c:pt>
                <c:pt idx="127">
                  <c:v>553.26712965132003</c:v>
                </c:pt>
                <c:pt idx="128">
                  <c:v>565.48061924570652</c:v>
                </c:pt>
                <c:pt idx="129">
                  <c:v>494.04541342890076</c:v>
                </c:pt>
                <c:pt idx="130">
                  <c:v>506.28770626373034</c:v>
                </c:pt>
                <c:pt idx="131">
                  <c:v>518.52374179026287</c:v>
                </c:pt>
                <c:pt idx="132">
                  <c:v>530.75368845480534</c:v>
                </c:pt>
                <c:pt idx="133">
                  <c:v>542.97770630900288</c:v>
                </c:pt>
                <c:pt idx="134">
                  <c:v>555.19594761174471</c:v>
                </c:pt>
                <c:pt idx="135">
                  <c:v>567.40855737534105</c:v>
                </c:pt>
                <c:pt idx="136">
                  <c:v>579.61567386224579</c:v>
                </c:pt>
                <c:pt idx="137">
                  <c:v>591.81742903777024</c:v>
                </c:pt>
                <c:pt idx="138">
                  <c:v>604.01394898353067</c:v>
                </c:pt>
                <c:pt idx="139">
                  <c:v>532.46969417446041</c:v>
                </c:pt>
                <c:pt idx="140">
                  <c:v>544.47850023404101</c:v>
                </c:pt>
                <c:pt idx="141">
                  <c:v>556.48174822611588</c:v>
                </c:pt>
                <c:pt idx="142">
                  <c:v>568.47957490897636</c:v>
                </c:pt>
                <c:pt idx="143">
                  <c:v>580.472110798892</c:v>
                </c:pt>
                <c:pt idx="144">
                  <c:v>592.45948058080216</c:v>
                </c:pt>
                <c:pt idx="145">
                  <c:v>604.44180348405246</c:v>
                </c:pt>
                <c:pt idx="146">
                  <c:v>616.41919362679619</c:v>
                </c:pt>
                <c:pt idx="147">
                  <c:v>628.3917603322484</c:v>
                </c:pt>
                <c:pt idx="148">
                  <c:v>640.35960841959206</c:v>
                </c:pt>
                <c:pt idx="149">
                  <c:v>565.052169900031</c:v>
                </c:pt>
                <c:pt idx="150">
                  <c:v>577.4744659235356</c:v>
                </c:pt>
                <c:pt idx="151">
                  <c:v>589.89118733214787</c:v>
                </c:pt>
                <c:pt idx="152">
                  <c:v>602.30246796675488</c:v>
                </c:pt>
                <c:pt idx="153">
                  <c:v>614.70843570434806</c:v>
                </c:pt>
                <c:pt idx="154">
                  <c:v>627.1092128412937</c:v>
                </c:pt>
                <c:pt idx="155">
                  <c:v>639.50491644472606</c:v>
                </c:pt>
                <c:pt idx="156">
                  <c:v>651.89565867529166</c:v>
                </c:pt>
                <c:pt idx="157">
                  <c:v>664.28154708408954</c:v>
                </c:pt>
                <c:pt idx="158">
                  <c:v>676.66268488632704</c:v>
                </c:pt>
                <c:pt idx="159">
                  <c:v>601.6606365462311</c:v>
                </c:pt>
                <c:pt idx="160">
                  <c:v>614.28073080742263</c:v>
                </c:pt>
                <c:pt idx="161">
                  <c:v>626.89544965133348</c:v>
                </c:pt>
                <c:pt idx="162">
                  <c:v>639.50491644472606</c:v>
                </c:pt>
                <c:pt idx="163">
                  <c:v>652.10924929476766</c:v>
                </c:pt>
                <c:pt idx="164">
                  <c:v>664.70856137271778</c:v>
                </c:pt>
                <c:pt idx="165">
                  <c:v>677.30296121181232</c:v>
                </c:pt>
                <c:pt idx="166">
                  <c:v>689.89255298185083</c:v>
                </c:pt>
                <c:pt idx="167">
                  <c:v>702.47743674270998</c:v>
                </c:pt>
                <c:pt idx="168">
                  <c:v>715.05770867875651</c:v>
                </c:pt>
                <c:pt idx="169">
                  <c:v>627.53673469761077</c:v>
                </c:pt>
                <c:pt idx="170">
                  <c:v>627.53673469761077</c:v>
                </c:pt>
                <c:pt idx="171">
                  <c:v>627.53673469761077</c:v>
                </c:pt>
                <c:pt idx="172">
                  <c:v>627.53673469761077</c:v>
                </c:pt>
                <c:pt idx="173">
                  <c:v>627.53673469761077</c:v>
                </c:pt>
                <c:pt idx="174">
                  <c:v>627.53673469761077</c:v>
                </c:pt>
                <c:pt idx="175">
                  <c:v>627.53673469761077</c:v>
                </c:pt>
                <c:pt idx="176">
                  <c:v>627.53673469761077</c:v>
                </c:pt>
                <c:pt idx="177">
                  <c:v>627.53673469761077</c:v>
                </c:pt>
                <c:pt idx="178">
                  <c:v>627.53673469761077</c:v>
                </c:pt>
                <c:pt idx="179">
                  <c:v>627.53673469761077</c:v>
                </c:pt>
                <c:pt idx="180">
                  <c:v>627.53673469761077</c:v>
                </c:pt>
                <c:pt idx="181">
                  <c:v>627.53673469761077</c:v>
                </c:pt>
                <c:pt idx="182">
                  <c:v>627.53673469761077</c:v>
                </c:pt>
                <c:pt idx="183">
                  <c:v>627.53673469761077</c:v>
                </c:pt>
                <c:pt idx="184">
                  <c:v>627.53673469761077</c:v>
                </c:pt>
                <c:pt idx="185">
                  <c:v>627.53673469761077</c:v>
                </c:pt>
                <c:pt idx="186">
                  <c:v>627.53673469761077</c:v>
                </c:pt>
                <c:pt idx="187">
                  <c:v>627.53673469761077</c:v>
                </c:pt>
                <c:pt idx="188">
                  <c:v>627.53673469761077</c:v>
                </c:pt>
                <c:pt idx="189">
                  <c:v>627.53673469761077</c:v>
                </c:pt>
                <c:pt idx="190">
                  <c:v>627.53673469761077</c:v>
                </c:pt>
                <c:pt idx="191">
                  <c:v>627.53673469761077</c:v>
                </c:pt>
                <c:pt idx="192">
                  <c:v>627.53673469761077</c:v>
                </c:pt>
                <c:pt idx="193">
                  <c:v>627.53673469761077</c:v>
                </c:pt>
                <c:pt idx="194">
                  <c:v>627.53673469761077</c:v>
                </c:pt>
                <c:pt idx="195">
                  <c:v>627.53673469761077</c:v>
                </c:pt>
                <c:pt idx="196">
                  <c:v>627.53673469761077</c:v>
                </c:pt>
                <c:pt idx="197">
                  <c:v>627.53673469761077</c:v>
                </c:pt>
                <c:pt idx="198">
                  <c:v>627.53673469761077</c:v>
                </c:pt>
                <c:pt idx="199">
                  <c:v>627.53673469761077</c:v>
                </c:pt>
                <c:pt idx="200">
                  <c:v>627.53673469761077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2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F26" sqref="F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13.33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0.74</v>
      </c>
      <c r="D9" s="36">
        <f t="shared" ref="D9:D18" si="0">C9*$C$5</f>
        <v>9.8642000000000003</v>
      </c>
      <c r="E9" s="37">
        <v>62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0.22</v>
      </c>
      <c r="D10" s="36">
        <f t="shared" si="0"/>
        <v>2.9325999999999999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0.04</v>
      </c>
      <c r="D11" s="36">
        <f t="shared" si="0"/>
        <v>0.53320000000000001</v>
      </c>
      <c r="E11" s="37">
        <v>168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13.330000000000002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46</v>
      </c>
      <c r="C36" s="63">
        <v>1</v>
      </c>
      <c r="D36" s="63"/>
      <c r="E36" s="54"/>
      <c r="F36" s="54">
        <v>0.4</v>
      </c>
      <c r="G36" s="54">
        <v>0.6</v>
      </c>
      <c r="H36" s="54"/>
      <c r="I36" s="52">
        <f>IFERROR(B36/A36,"")</f>
        <v>3.8333333333333335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16</v>
      </c>
      <c r="B37" s="63">
        <v>82</v>
      </c>
      <c r="C37" s="63">
        <v>2</v>
      </c>
      <c r="D37" s="63">
        <v>25</v>
      </c>
      <c r="E37" s="54">
        <v>0.25</v>
      </c>
      <c r="F37" s="54">
        <v>0.3</v>
      </c>
      <c r="G37" s="54">
        <v>0.45</v>
      </c>
      <c r="H37" s="54"/>
      <c r="I37" s="56">
        <f t="shared" ref="I37:I55" si="1">IF(A37&lt;&gt;0,(B37-(B36-D36))/(A37-A36),"")</f>
        <v>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20</v>
      </c>
      <c r="B38" s="63">
        <v>117</v>
      </c>
      <c r="C38" s="63">
        <v>3</v>
      </c>
      <c r="D38" s="63">
        <v>34</v>
      </c>
      <c r="E38" s="54">
        <v>0.5</v>
      </c>
      <c r="F38" s="54">
        <v>0.2</v>
      </c>
      <c r="G38" s="54">
        <v>0.3</v>
      </c>
      <c r="H38" s="54"/>
      <c r="I38" s="56">
        <f t="shared" si="1"/>
        <v>15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24</v>
      </c>
      <c r="B39" s="63">
        <v>154</v>
      </c>
      <c r="C39" s="63">
        <v>4</v>
      </c>
      <c r="D39" s="63">
        <v>43</v>
      </c>
      <c r="E39" s="54">
        <v>0.7</v>
      </c>
      <c r="F39" s="54">
        <v>0.12</v>
      </c>
      <c r="G39" s="54">
        <v>0.18</v>
      </c>
      <c r="H39" s="54"/>
      <c r="I39" s="52">
        <f t="shared" si="1"/>
        <v>17.75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28</v>
      </c>
      <c r="B40" s="63">
        <v>192</v>
      </c>
      <c r="C40" s="63">
        <v>5</v>
      </c>
      <c r="D40" s="63">
        <v>41</v>
      </c>
      <c r="E40" s="54">
        <v>0.7</v>
      </c>
      <c r="F40" s="54">
        <v>0.12</v>
      </c>
      <c r="G40" s="54">
        <v>0.18</v>
      </c>
      <c r="H40" s="54"/>
      <c r="I40" s="52">
        <f t="shared" si="1"/>
        <v>20.25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34</v>
      </c>
      <c r="B41" s="63">
        <v>244</v>
      </c>
      <c r="C41" s="63">
        <v>6</v>
      </c>
      <c r="D41" s="63">
        <v>60</v>
      </c>
      <c r="E41" s="54">
        <v>0.7</v>
      </c>
      <c r="F41" s="54">
        <v>0.12</v>
      </c>
      <c r="G41" s="54">
        <v>0.18</v>
      </c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40</v>
      </c>
      <c r="B42" s="63">
        <v>299</v>
      </c>
      <c r="C42" s="63">
        <v>7</v>
      </c>
      <c r="D42" s="63">
        <v>34</v>
      </c>
      <c r="E42" s="54">
        <v>0.7</v>
      </c>
      <c r="F42" s="54">
        <v>0.12</v>
      </c>
      <c r="G42" s="54">
        <v>0.18</v>
      </c>
      <c r="H42" s="54"/>
      <c r="I42" s="56">
        <f t="shared" si="1"/>
        <v>19.166666666666668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46</v>
      </c>
      <c r="B43" s="63">
        <v>344</v>
      </c>
      <c r="C43" s="63">
        <v>8</v>
      </c>
      <c r="D43" s="63">
        <v>21</v>
      </c>
      <c r="E43" s="54">
        <v>0.7</v>
      </c>
      <c r="F43" s="54">
        <v>0.12</v>
      </c>
      <c r="G43" s="54">
        <v>0.18</v>
      </c>
      <c r="H43" s="54"/>
      <c r="I43" s="52">
        <f t="shared" si="1"/>
        <v>13.166666666666666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54</v>
      </c>
      <c r="B44" s="63">
        <v>385</v>
      </c>
      <c r="C44" s="63">
        <v>9</v>
      </c>
      <c r="D44" s="63">
        <v>17</v>
      </c>
      <c r="E44" s="54">
        <v>0.7</v>
      </c>
      <c r="F44" s="54">
        <v>0.12</v>
      </c>
      <c r="G44" s="54">
        <v>0.18</v>
      </c>
      <c r="H44" s="54"/>
      <c r="I44" s="52">
        <f t="shared" si="1"/>
        <v>7.75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62</v>
      </c>
      <c r="B45" s="63">
        <v>402</v>
      </c>
      <c r="C45" s="63">
        <v>10</v>
      </c>
      <c r="D45" s="63">
        <v>7</v>
      </c>
      <c r="E45" s="54">
        <v>0.7</v>
      </c>
      <c r="F45" s="54">
        <v>0.12</v>
      </c>
      <c r="G45" s="54">
        <v>0.18</v>
      </c>
      <c r="H45" s="54"/>
      <c r="I45" s="52">
        <f t="shared" si="1"/>
        <v>4.25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204</v>
      </c>
      <c r="C62" s="63">
        <v>1</v>
      </c>
      <c r="D62" s="63">
        <v>20.399999999999999</v>
      </c>
      <c r="E62" s="54"/>
      <c r="F62" s="54">
        <v>0.4</v>
      </c>
      <c r="G62" s="54">
        <v>0.6</v>
      </c>
      <c r="H62" s="54"/>
      <c r="I62" s="56">
        <f>IFERROR(B62/A62,"")</f>
        <v>8.16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33</v>
      </c>
      <c r="B63" s="63">
        <v>259.60000000000002</v>
      </c>
      <c r="C63" s="63">
        <v>2</v>
      </c>
      <c r="D63" s="63">
        <v>38.94</v>
      </c>
      <c r="E63" s="54"/>
      <c r="F63" s="54">
        <v>0.4</v>
      </c>
      <c r="G63" s="54">
        <v>0.6</v>
      </c>
      <c r="H63" s="54"/>
      <c r="I63" s="52">
        <f>IF(A63&lt;&gt;0,(B63-(B62-D62))/(A63-A62),"")</f>
        <v>9.5000000000000036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41</v>
      </c>
      <c r="B64" s="63">
        <v>302.16000000000003</v>
      </c>
      <c r="C64" s="63">
        <v>3</v>
      </c>
      <c r="D64" s="63">
        <v>60.43</v>
      </c>
      <c r="E64" s="54">
        <v>0.3</v>
      </c>
      <c r="F64" s="54">
        <v>0.28000000000000003</v>
      </c>
      <c r="G64" s="54">
        <v>0.42</v>
      </c>
      <c r="H64" s="54"/>
      <c r="I64" s="52">
        <f>IF(A64&lt;&gt;0,(B64-(B63-D63))/(A64-A63),"")</f>
        <v>10.1875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52</v>
      </c>
      <c r="B65" s="63">
        <v>372.23</v>
      </c>
      <c r="C65" s="63">
        <v>5</v>
      </c>
      <c r="D65" s="63">
        <v>74.45</v>
      </c>
      <c r="E65" s="54">
        <v>0.4</v>
      </c>
      <c r="F65" s="54">
        <v>0.24</v>
      </c>
      <c r="G65" s="54">
        <v>0.36</v>
      </c>
      <c r="H65" s="54"/>
      <c r="I65" s="52">
        <f>IF(A65&lt;&gt;0,(B65-(B64-D64))/(A65-A64),"")</f>
        <v>11.863636363636363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63">
        <v>405.78</v>
      </c>
      <c r="C66" s="63">
        <v>6</v>
      </c>
      <c r="D66" s="63">
        <v>405.78</v>
      </c>
      <c r="E66" s="54">
        <v>0.4</v>
      </c>
      <c r="F66" s="54">
        <v>0.24</v>
      </c>
      <c r="G66" s="54">
        <v>0.36</v>
      </c>
      <c r="H66" s="54"/>
      <c r="I66" s="52">
        <f t="shared" ref="I66:I81" si="2">IF(A66&lt;&gt;0,(B66-(B65-D65))/(A66-A65),"")</f>
        <v>13.499999999999993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70</v>
      </c>
      <c r="B67" s="63">
        <v>439.05</v>
      </c>
      <c r="C67" s="63">
        <v>7</v>
      </c>
      <c r="D67" s="63">
        <v>131.71</v>
      </c>
      <c r="E67" s="54">
        <v>0.4</v>
      </c>
      <c r="F67" s="54">
        <v>0.24</v>
      </c>
      <c r="G67" s="54">
        <v>0.36</v>
      </c>
      <c r="H67" s="54"/>
      <c r="I67" s="52">
        <f t="shared" si="2"/>
        <v>43.905000000000001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80</v>
      </c>
      <c r="B68" s="63">
        <v>477.33</v>
      </c>
      <c r="C68" s="63">
        <v>8</v>
      </c>
      <c r="D68" s="63">
        <v>143.19999999999999</v>
      </c>
      <c r="E68" s="54">
        <v>0.4</v>
      </c>
      <c r="F68" s="54">
        <v>0.24</v>
      </c>
      <c r="G68" s="54">
        <v>0.36</v>
      </c>
      <c r="H68" s="54"/>
      <c r="I68" s="52">
        <f t="shared" si="2"/>
        <v>16.998999999999995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90</v>
      </c>
      <c r="B69" s="53">
        <v>509.13</v>
      </c>
      <c r="C69" s="53">
        <v>9</v>
      </c>
      <c r="D69" s="53">
        <v>152.74</v>
      </c>
      <c r="E69" s="54">
        <v>0.5</v>
      </c>
      <c r="F69" s="54">
        <v>0.2</v>
      </c>
      <c r="G69" s="54">
        <v>0.3</v>
      </c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100</v>
      </c>
      <c r="B70" s="53">
        <v>541.39</v>
      </c>
      <c r="C70" s="53">
        <v>10</v>
      </c>
      <c r="D70" s="53">
        <v>541.39</v>
      </c>
      <c r="E70" s="54">
        <v>0.5</v>
      </c>
      <c r="F70" s="54">
        <v>0.2</v>
      </c>
      <c r="G70" s="54">
        <v>0.3</v>
      </c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52</v>
      </c>
      <c r="B88" s="63">
        <v>98</v>
      </c>
      <c r="C88" s="63">
        <v>1</v>
      </c>
      <c r="D88" s="63">
        <v>29</v>
      </c>
      <c r="E88" s="54"/>
      <c r="F88" s="54"/>
      <c r="G88" s="54"/>
      <c r="H88" s="93">
        <v>1</v>
      </c>
      <c r="I88" s="56">
        <f>IFERROR(B88/A88,"")</f>
        <v>1.8846153846153846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60</v>
      </c>
      <c r="B89" s="63">
        <v>117</v>
      </c>
      <c r="C89" s="63">
        <v>2</v>
      </c>
      <c r="D89" s="63">
        <v>30</v>
      </c>
      <c r="E89" s="54"/>
      <c r="F89" s="54"/>
      <c r="G89" s="54"/>
      <c r="H89" s="93">
        <v>1</v>
      </c>
      <c r="I89" s="56">
        <f t="shared" ref="I89:I107" si="3">IF(A89&lt;&gt;0,(B89-(B88-D88))/(A89-A88),"")</f>
        <v>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68</v>
      </c>
      <c r="B90" s="63">
        <v>135</v>
      </c>
      <c r="C90" s="63">
        <v>3</v>
      </c>
      <c r="D90" s="63">
        <v>31</v>
      </c>
      <c r="E90" s="93">
        <v>0.5</v>
      </c>
      <c r="F90" s="93">
        <v>0.1</v>
      </c>
      <c r="G90" s="93">
        <v>0.15</v>
      </c>
      <c r="H90" s="93">
        <v>0.25</v>
      </c>
      <c r="I90" s="56">
        <f t="shared" si="3"/>
        <v>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78</v>
      </c>
      <c r="B91" s="63">
        <v>162</v>
      </c>
      <c r="C91" s="63">
        <v>4</v>
      </c>
      <c r="D91" s="63">
        <v>32</v>
      </c>
      <c r="E91" s="93">
        <v>0.5</v>
      </c>
      <c r="F91" s="93">
        <v>0.1</v>
      </c>
      <c r="G91" s="93">
        <v>0.15</v>
      </c>
      <c r="H91" s="93">
        <v>0.25</v>
      </c>
      <c r="I91" s="56">
        <f t="shared" si="3"/>
        <v>5.8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88</v>
      </c>
      <c r="B92" s="63">
        <v>184</v>
      </c>
      <c r="C92" s="63">
        <v>5</v>
      </c>
      <c r="D92" s="63">
        <v>35</v>
      </c>
      <c r="E92" s="93">
        <v>0.6</v>
      </c>
      <c r="F92" s="93">
        <v>0.08</v>
      </c>
      <c r="G92" s="93">
        <v>0.12</v>
      </c>
      <c r="H92" s="93">
        <v>0.2</v>
      </c>
      <c r="I92" s="56">
        <f t="shared" si="3"/>
        <v>5.4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98</v>
      </c>
      <c r="B93" s="63">
        <v>207</v>
      </c>
      <c r="C93" s="63">
        <v>6</v>
      </c>
      <c r="D93" s="63">
        <v>34</v>
      </c>
      <c r="E93" s="93">
        <v>0.7</v>
      </c>
      <c r="F93" s="93">
        <v>0.06</v>
      </c>
      <c r="G93" s="93">
        <v>0.09</v>
      </c>
      <c r="H93" s="93">
        <v>0.15</v>
      </c>
      <c r="I93" s="56">
        <f t="shared" si="3"/>
        <v>5.8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108</v>
      </c>
      <c r="B94" s="63">
        <v>225</v>
      </c>
      <c r="C94" s="63">
        <v>7</v>
      </c>
      <c r="D94" s="63">
        <v>39</v>
      </c>
      <c r="E94" s="93">
        <v>0.8</v>
      </c>
      <c r="F94" s="93">
        <v>0.04</v>
      </c>
      <c r="G94" s="93">
        <v>0.06</v>
      </c>
      <c r="H94" s="93">
        <v>0.1</v>
      </c>
      <c r="I94" s="56">
        <f t="shared" si="3"/>
        <v>5.2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118</v>
      </c>
      <c r="B95" s="63">
        <v>241</v>
      </c>
      <c r="C95" s="63">
        <v>8</v>
      </c>
      <c r="D95" s="63">
        <v>40</v>
      </c>
      <c r="E95" s="93">
        <v>0.8</v>
      </c>
      <c r="F95" s="93">
        <v>0.04</v>
      </c>
      <c r="G95" s="93">
        <v>0.06</v>
      </c>
      <c r="H95" s="93">
        <v>0.1</v>
      </c>
      <c r="I95" s="56">
        <f t="shared" si="3"/>
        <v>5.5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128</v>
      </c>
      <c r="B96" s="63">
        <v>258</v>
      </c>
      <c r="C96" s="63">
        <v>9</v>
      </c>
      <c r="D96" s="63">
        <v>39</v>
      </c>
      <c r="E96" s="93">
        <v>0.8</v>
      </c>
      <c r="F96" s="93">
        <v>0.04</v>
      </c>
      <c r="G96" s="93">
        <v>0.06</v>
      </c>
      <c r="H96" s="93">
        <v>0.1</v>
      </c>
      <c r="I96" s="56">
        <f t="shared" si="3"/>
        <v>5.7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138</v>
      </c>
      <c r="B97" s="63">
        <v>276</v>
      </c>
      <c r="C97" s="63">
        <v>10</v>
      </c>
      <c r="D97" s="63">
        <v>39</v>
      </c>
      <c r="E97" s="93">
        <v>0.8</v>
      </c>
      <c r="F97" s="93">
        <v>0.04</v>
      </c>
      <c r="G97" s="93">
        <v>0.06</v>
      </c>
      <c r="H97" s="93">
        <v>0.1</v>
      </c>
      <c r="I97" s="56">
        <f t="shared" si="3"/>
        <v>5.7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148</v>
      </c>
      <c r="B98" s="63">
        <v>293</v>
      </c>
      <c r="C98" s="63">
        <v>11</v>
      </c>
      <c r="D98" s="63">
        <v>41</v>
      </c>
      <c r="E98" s="93">
        <v>0.8</v>
      </c>
      <c r="F98" s="93">
        <v>0.04</v>
      </c>
      <c r="G98" s="93">
        <v>0.06</v>
      </c>
      <c r="H98" s="93">
        <v>0.1</v>
      </c>
      <c r="I98" s="56">
        <f t="shared" si="3"/>
        <v>5.6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158</v>
      </c>
      <c r="B99" s="63">
        <v>310</v>
      </c>
      <c r="C99" s="63">
        <v>13</v>
      </c>
      <c r="D99" s="63">
        <v>41</v>
      </c>
      <c r="E99" s="93">
        <v>0.8</v>
      </c>
      <c r="F99" s="93">
        <v>0.04</v>
      </c>
      <c r="G99" s="93">
        <v>0.06</v>
      </c>
      <c r="H99" s="93">
        <v>0.1</v>
      </c>
      <c r="I99" s="56">
        <f t="shared" si="3"/>
        <v>5.8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168</v>
      </c>
      <c r="B100" s="63">
        <v>328</v>
      </c>
      <c r="C100" s="63">
        <v>14</v>
      </c>
      <c r="D100" s="63">
        <v>41</v>
      </c>
      <c r="E100" s="68">
        <v>0.8</v>
      </c>
      <c r="F100" s="68">
        <v>0.04</v>
      </c>
      <c r="G100" s="68">
        <v>0.06</v>
      </c>
      <c r="H100" s="68">
        <v>0.1</v>
      </c>
      <c r="I100" s="56">
        <f t="shared" si="3"/>
        <v>5.9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0" zoomScale="115" zoomScaleNormal="115" workbookViewId="0">
      <selection activeCell="H13" sqref="H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217.62295992724461</v>
      </c>
      <c r="T3" s="62">
        <f>IF('Données projet'!E9&gt;30,$R$33-$H$33,LOOKUP('Données projet'!$E$9,$A$3:$A$203,R3:R203)-LOOKUP('Données projet'!$E$9,$A$3:$A$203,$H$3:$H$203))</f>
        <v>198.62788037979772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201.92726874818067</v>
      </c>
      <c r="AO3" s="62">
        <f>IF('Données projet'!E10&gt;30,$AM$33-$H$33,LOOKUP('Données projet'!$E$10,$A$3:$A$203,AM3:AM203)-LOOKUP('Données projet'!$E$10,$A$3:$A$203,$H$3:$H$203))</f>
        <v>197.16147791248727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234.66244049825644</v>
      </c>
      <c r="BJ3" s="62">
        <f>IF('Données projet'!E11&gt;30,$BH$33-$H$33,LOOKUP('Données projet'!$E$11,$A$3:$A$203,BH3:BH203)-LOOKUP('Données projet'!$E$11,$A$3:$A$203,$H$3:$H$203))</f>
        <v>87.037318032671465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3.8333333333333335</v>
      </c>
      <c r="N4" s="14">
        <f>IF('Données projet'!$A$36&gt;35,N3+M4-V3,IF(A4&lt;'Données projet'!$A$36,$K$205^A4,IF(A4='Données projet'!$A$36,'Données projet'!$B$36,N3+M4-V3)))</f>
        <v>1.3758248603770518</v>
      </c>
      <c r="O4" s="14">
        <f>N4*VLOOKUP('Données projet'!$B$9,Paramètres!$A$1:$I$89,3,0)*VLOOKUP('Données projet'!$B$9,Paramètres!$A$1:$I$89,5,0)</f>
        <v>0.82274326650547702</v>
      </c>
      <c r="P4" s="14">
        <f>EXP(-1.0587+0.8836*LN(O4)+0.284)</f>
        <v>0.3878641435528864</v>
      </c>
      <c r="Q4" s="22">
        <f t="shared" ref="Q4:Q34" si="2">(O4+P4)*0.475*44/12</f>
        <v>2.108474572518316</v>
      </c>
      <c r="R4" s="62">
        <f t="shared" si="0"/>
        <v>295.44180790585165</v>
      </c>
      <c r="S4" s="62">
        <f ca="1">AVERAGE(OFFSET($R$3,0,0,'Données projet'!$E$9+1,1))-AVERAGE(OFFSET($H$3,0,0,'Données projet'!$E$9+1,1))</f>
        <v>217.62295992724461</v>
      </c>
      <c r="T4" s="62">
        <f>$T$3</f>
        <v>198.62788037979772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8.16</v>
      </c>
      <c r="AI4" s="14">
        <f>IF('Données projet'!$A$62&gt;35,AI3+AH4-AQ3,IF(A4&lt;'Données projet'!$A$62,$AF$205^A4,IF(A4='Données projet'!$A$62,'Données projet'!$B$62,AI3+AH4-AQ3)))</f>
        <v>1.2370441695353693</v>
      </c>
      <c r="AJ4" s="14">
        <f>AI4*VLOOKUP('Données projet'!$B$10,Paramètres!$A$1:$I$89,3,0)*VLOOKUP('Données projet'!$B$10,Paramètres!$A$1:$I$89,5,0)</f>
        <v>0.57893667134255289</v>
      </c>
      <c r="AK4" s="14">
        <f>EXP(-1.0587+0.8836*LN(AJ4)+0.284)</f>
        <v>0.28432357375496231</v>
      </c>
      <c r="AL4" s="22">
        <f t="shared" ref="AL4:AL67" si="4">(AJ4+AK4)*0.475*44/12</f>
        <v>1.5035115935448389</v>
      </c>
      <c r="AM4" s="62">
        <f t="shared" ref="AM4:AM67" si="5">AL4+(AD4+AE4)*44/12</f>
        <v>294.83684492687814</v>
      </c>
      <c r="AN4" s="62">
        <f ca="1">AVERAGE(OFFSET($AM$3,0,0,'Données projet'!$E$10+1,1))-AVERAGE(OFFSET($H$3,0,0,'Données projet'!$E$10+1,1))</f>
        <v>201.92726874818067</v>
      </c>
      <c r="AO4" s="62">
        <f>$AO$3</f>
        <v>197.16147791248727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1.8846153846153846</v>
      </c>
      <c r="BD4" s="13">
        <f>IF('Données projet'!$A$88&gt;35,BD3+BC4-BL3,IF(A4&lt;'Données projet'!$A$88,$BA$205^A4,IF(A4='Données projet'!$A$88,'Données projet'!$B$88,BD3+BC4-BL3)))</f>
        <v>1.8846153846153846</v>
      </c>
      <c r="BE4" s="14">
        <f>BD4*VLOOKUP('Données projet'!$B$11,Paramètres!$A$1:$I$89,3,0)*VLOOKUP('Données projet'!$B$11,Paramètres!$A$1:$I$89,5,0)</f>
        <v>1.9110000000000003</v>
      </c>
      <c r="BF4" s="14">
        <f>EXP(-1.0587+0.8836*LN(BE4)+0.284)</f>
        <v>0.81672153669562542</v>
      </c>
      <c r="BG4" s="22">
        <f t="shared" ref="BG4:BG67" si="7">(BE4+BF4)*0.475*44/12</f>
        <v>4.7507816764115471</v>
      </c>
      <c r="BH4" s="62">
        <f t="shared" ref="BH4:BH67" si="8">BG4+(AY4+AZ4)*44/12</f>
        <v>298.08411500974483</v>
      </c>
      <c r="BI4" s="62">
        <f ca="1">AVERAGE(OFFSET($BH$3,0,0,'Données projet'!$E$11+1,1))-AVERAGE(OFFSET($H$3,0,0,'Données projet'!$E$11+1,1))</f>
        <v>234.66244049825644</v>
      </c>
      <c r="BJ4" s="62">
        <f>$BJ$3</f>
        <v>87.037318032671465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3.8333333333333335</v>
      </c>
      <c r="N5" s="14">
        <f>IF('Données projet'!$A$36&gt;35,N4+M5-V4,IF(A5&lt;'Données projet'!$A$36,$K$205^A5,IF(A5='Données projet'!$A$36,'Données projet'!$B$36,N4+M5-V4)))</f>
        <v>1.892894046431534</v>
      </c>
      <c r="O5" s="14">
        <f>N5*VLOOKUP('Données projet'!$B$9,Paramètres!$A$1:$I$89,3,0)*VLOOKUP('Données projet'!$B$9,Paramètres!$A$1:$I$89,5,0)</f>
        <v>1.1319506397660575</v>
      </c>
      <c r="P5" s="14">
        <f t="shared" ref="P5:P68" si="33">EXP(-1.0587+0.8836*LN(O5)+0.284)</f>
        <v>0.51417864374064992</v>
      </c>
      <c r="Q5" s="22">
        <f t="shared" si="2"/>
        <v>2.8670085021075149</v>
      </c>
      <c r="R5" s="62">
        <f t="shared" si="0"/>
        <v>296.20034183544084</v>
      </c>
      <c r="S5" s="62">
        <f ca="1">AVERAGE(OFFSET($R$3,0,0,'Données projet'!$E$9+1,1))-AVERAGE(OFFSET($H$3,0,0,'Données projet'!$E$9+1,1))</f>
        <v>217.62295992724461</v>
      </c>
      <c r="T5" s="62">
        <f t="shared" ref="T5:T68" si="34">$T$3</f>
        <v>198.62788037979772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8.16</v>
      </c>
      <c r="AI5" s="14">
        <f>IF('Données projet'!$A$62&gt;35,AI4+AH5-AQ4,IF(A5&lt;'Données projet'!$A$62,$AF$205^A5,IF(A5='Données projet'!$A$62,'Données projet'!$B$62,AI4+AH5-AQ4)))</f>
        <v>1.5302782773814516</v>
      </c>
      <c r="AJ5" s="14">
        <f>AI5*VLOOKUP('Données projet'!$B$10,Paramètres!$A$1:$I$89,3,0)*VLOOKUP('Données projet'!$B$10,Paramètres!$A$1:$I$89,5,0)</f>
        <v>0.71617023381451927</v>
      </c>
      <c r="AK5" s="14">
        <f t="shared" ref="AK5:AK68" si="35">EXP(-1.0587+0.8836*LN(AJ5)+0.284)</f>
        <v>0.34311873960678219</v>
      </c>
      <c r="AL5" s="22">
        <f t="shared" si="4"/>
        <v>1.8449282953754329</v>
      </c>
      <c r="AM5" s="62">
        <f t="shared" si="5"/>
        <v>295.17826162870875</v>
      </c>
      <c r="AN5" s="62">
        <f ca="1">AVERAGE(OFFSET($AM$3,0,0,'Données projet'!$E$10+1,1))-AVERAGE(OFFSET($H$3,0,0,'Données projet'!$E$10+1,1))</f>
        <v>201.92726874818067</v>
      </c>
      <c r="AO5" s="62">
        <f t="shared" ref="AO5:AO68" si="36">$AO$3</f>
        <v>197.16147791248727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1.8846153846153846</v>
      </c>
      <c r="BD5" s="13">
        <f>IF('Données projet'!$A$88&gt;35,BD4+BC5-BL4,IF(A5&lt;'Données projet'!$A$88,$BA$205^A5,IF(A5='Données projet'!$A$88,'Données projet'!$B$88,BD4+BC5-BL4)))</f>
        <v>3.7692307692307692</v>
      </c>
      <c r="BE5" s="14">
        <f>BD5*VLOOKUP('Données projet'!$B$11,Paramètres!$A$1:$I$89,3,0)*VLOOKUP('Données projet'!$B$11,Paramètres!$A$1:$I$89,5,0)</f>
        <v>3.8220000000000005</v>
      </c>
      <c r="BF5" s="14">
        <f t="shared" ref="BF5:BF68" si="37">EXP(-1.0587+0.8836*LN(BE5)+0.284)</f>
        <v>1.5068294933809405</v>
      </c>
      <c r="BG5" s="22">
        <f t="shared" si="7"/>
        <v>9.2810447009718047</v>
      </c>
      <c r="BH5" s="62">
        <f t="shared" si="8"/>
        <v>302.6143780343051</v>
      </c>
      <c r="BI5" s="62">
        <f ca="1">AVERAGE(OFFSET($BH$3,0,0,'Données projet'!$E$11+1,1))-AVERAGE(OFFSET($H$3,0,0,'Données projet'!$E$11+1,1))</f>
        <v>234.66244049825644</v>
      </c>
      <c r="BJ5" s="62">
        <f t="shared" ref="BJ5:BJ68" si="38">$BJ$3</f>
        <v>87.037318032671465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3.8333333333333335</v>
      </c>
      <c r="N6" s="14">
        <f>IF('Données projet'!$A$36&gt;35,N5+M6-V5,IF(A6&lt;'Données projet'!$A$36,$K$205^A6,IF(A6='Données projet'!$A$36,'Données projet'!$B$36,N5+M6-V5)))</f>
        <v>2.6042906871402178</v>
      </c>
      <c r="O6" s="14">
        <f>N6*VLOOKUP('Données projet'!$B$9,Paramètres!$A$1:$I$89,3,0)*VLOOKUP('Données projet'!$B$9,Paramètres!$A$1:$I$89,5,0)</f>
        <v>1.5573658309098504</v>
      </c>
      <c r="P6" s="14">
        <f t="shared" si="33"/>
        <v>0.68162959137501489</v>
      </c>
      <c r="Q6" s="22">
        <f t="shared" si="2"/>
        <v>3.8995836938128075</v>
      </c>
      <c r="R6" s="62">
        <f t="shared" si="0"/>
        <v>297.23291702714613</v>
      </c>
      <c r="S6" s="62">
        <f ca="1">AVERAGE(OFFSET($R$3,0,0,'Données projet'!$E$9+1,1))-AVERAGE(OFFSET($H$3,0,0,'Données projet'!$E$9+1,1))</f>
        <v>217.62295992724461</v>
      </c>
      <c r="T6" s="62">
        <f t="shared" si="34"/>
        <v>198.62788037979772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8.16</v>
      </c>
      <c r="AI6" s="14">
        <f>IF('Données projet'!$A$62&gt;35,AI5+AH6-AQ5,IF(A6&lt;'Données projet'!$A$62,$AF$205^A6,IF(A6='Données projet'!$A$62,'Données projet'!$B$62,AI5+AH6-AQ5)))</f>
        <v>1.8930218208013534</v>
      </c>
      <c r="AJ6" s="14">
        <f>AI6*VLOOKUP('Données projet'!$B$10,Paramètres!$A$1:$I$89,3,0)*VLOOKUP('Données projet'!$B$10,Paramètres!$A$1:$I$89,5,0)</f>
        <v>0.88593421213503343</v>
      </c>
      <c r="AK6" s="14">
        <f t="shared" si="35"/>
        <v>0.41407213589264363</v>
      </c>
      <c r="AL6" s="22">
        <f t="shared" si="4"/>
        <v>2.2641777228148707</v>
      </c>
      <c r="AM6" s="62">
        <f t="shared" si="5"/>
        <v>295.59751105614816</v>
      </c>
      <c r="AN6" s="62">
        <f ca="1">AVERAGE(OFFSET($AM$3,0,0,'Données projet'!$E$10+1,1))-AVERAGE(OFFSET($H$3,0,0,'Données projet'!$E$10+1,1))</f>
        <v>201.92726874818067</v>
      </c>
      <c r="AO6" s="62">
        <f t="shared" si="36"/>
        <v>197.16147791248727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1.8846153846153846</v>
      </c>
      <c r="BD6" s="13">
        <f>IF('Données projet'!$A$88&gt;35,BD5+BC6-BL5,IF(A6&lt;'Données projet'!$A$88,$BA$205^A6,IF(A6='Données projet'!$A$88,'Données projet'!$B$88,BD5+BC6-BL5)))</f>
        <v>5.6538461538461533</v>
      </c>
      <c r="BE6" s="14">
        <f>BD6*VLOOKUP('Données projet'!$B$11,Paramètres!$A$1:$I$89,3,0)*VLOOKUP('Données projet'!$B$11,Paramètres!$A$1:$I$89,5,0)</f>
        <v>5.7329999999999997</v>
      </c>
      <c r="BF6" s="14">
        <f t="shared" si="37"/>
        <v>2.1560476193270603</v>
      </c>
      <c r="BG6" s="22">
        <f t="shared" si="7"/>
        <v>13.740091270327964</v>
      </c>
      <c r="BH6" s="62">
        <f t="shared" si="8"/>
        <v>307.07342460366129</v>
      </c>
      <c r="BI6" s="62">
        <f ca="1">AVERAGE(OFFSET($BH$3,0,0,'Données projet'!$E$11+1,1))-AVERAGE(OFFSET($H$3,0,0,'Données projet'!$E$11+1,1))</f>
        <v>234.66244049825644</v>
      </c>
      <c r="BJ6" s="62">
        <f t="shared" si="38"/>
        <v>87.037318032671465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3.8333333333333335</v>
      </c>
      <c r="N7" s="14">
        <f>IF('Données projet'!$A$36&gt;35,N6+M7-V6,IF(A7&lt;'Données projet'!$A$36,$K$205^A7,IF(A7='Données projet'!$A$36,'Données projet'!$B$36,N6+M7-V6)))</f>
        <v>3.5830478710159466</v>
      </c>
      <c r="O7" s="14">
        <f>N7*VLOOKUP('Données projet'!$B$9,Paramètres!$A$1:$I$89,3,0)*VLOOKUP('Données projet'!$B$9,Paramètres!$A$1:$I$89,5,0)</f>
        <v>2.1426626268675362</v>
      </c>
      <c r="P7" s="14">
        <f t="shared" si="33"/>
        <v>0.9036137643873482</v>
      </c>
      <c r="Q7" s="22">
        <f t="shared" si="2"/>
        <v>5.3055980481022571</v>
      </c>
      <c r="R7" s="62">
        <f t="shared" si="0"/>
        <v>298.63893138143555</v>
      </c>
      <c r="S7" s="62">
        <f ca="1">AVERAGE(OFFSET($R$3,0,0,'Données projet'!$E$9+1,1))-AVERAGE(OFFSET($H$3,0,0,'Données projet'!$E$9+1,1))</f>
        <v>217.62295992724461</v>
      </c>
      <c r="T7" s="62">
        <f t="shared" si="34"/>
        <v>198.62788037979772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8.16</v>
      </c>
      <c r="AI7" s="14">
        <f>IF('Données projet'!$A$62&gt;35,AI6+AH7-AQ6,IF(A7&lt;'Données projet'!$A$62,$AF$205^A7,IF(A7='Données projet'!$A$62,'Données projet'!$B$62,AI6+AH7-AQ6)))</f>
        <v>2.341751606225543</v>
      </c>
      <c r="AJ7" s="14">
        <f>AI7*VLOOKUP('Données projet'!$B$10,Paramètres!$A$1:$I$89,3,0)*VLOOKUP('Données projet'!$B$10,Paramètres!$A$1:$I$89,5,0)</f>
        <v>1.0959397517135541</v>
      </c>
      <c r="AK7" s="14">
        <f t="shared" si="35"/>
        <v>0.49969795855273308</v>
      </c>
      <c r="AL7" s="22">
        <f t="shared" si="4"/>
        <v>2.7790690120471169</v>
      </c>
      <c r="AM7" s="62">
        <f t="shared" si="5"/>
        <v>296.11240234538042</v>
      </c>
      <c r="AN7" s="62">
        <f ca="1">AVERAGE(OFFSET($AM$3,0,0,'Données projet'!$E$10+1,1))-AVERAGE(OFFSET($H$3,0,0,'Données projet'!$E$10+1,1))</f>
        <v>201.92726874818067</v>
      </c>
      <c r="AO7" s="62">
        <f t="shared" si="36"/>
        <v>197.16147791248727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1.8846153846153846</v>
      </c>
      <c r="BD7" s="13">
        <f>IF('Données projet'!$A$88&gt;35,BD6+BC7-BL6,IF(A7&lt;'Données projet'!$A$88,$BA$205^A7,IF(A7='Données projet'!$A$88,'Données projet'!$B$88,BD6+BC7-BL6)))</f>
        <v>7.5384615384615383</v>
      </c>
      <c r="BE7" s="14">
        <f>BD7*VLOOKUP('Données projet'!$B$11,Paramètres!$A$1:$I$89,3,0)*VLOOKUP('Données projet'!$B$11,Paramètres!$A$1:$I$89,5,0)</f>
        <v>7.644000000000001</v>
      </c>
      <c r="BF7" s="14">
        <f t="shared" si="37"/>
        <v>2.7800603022041304</v>
      </c>
      <c r="BG7" s="22">
        <f t="shared" si="7"/>
        <v>18.155238359672193</v>
      </c>
      <c r="BH7" s="62">
        <f t="shared" si="8"/>
        <v>311.4885716930055</v>
      </c>
      <c r="BI7" s="62">
        <f ca="1">AVERAGE(OFFSET($BH$3,0,0,'Données projet'!$E$11+1,1))-AVERAGE(OFFSET($H$3,0,0,'Données projet'!$E$11+1,1))</f>
        <v>234.66244049825644</v>
      </c>
      <c r="BJ7" s="62">
        <f t="shared" si="38"/>
        <v>87.037318032671465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3.8333333333333335</v>
      </c>
      <c r="N8" s="14">
        <f>IF('Données projet'!$A$36&gt;35,N7+M8-V7,IF(A8&lt;'Données projet'!$A$36,$K$205^A8,IF(A8='Données projet'!$A$36,'Données projet'!$B$36,N7+M8-V7)))</f>
        <v>4.9296463368648071</v>
      </c>
      <c r="O8" s="14">
        <f>N8*VLOOKUP('Données projet'!$B$9,Paramètres!$A$1:$I$89,3,0)*VLOOKUP('Données projet'!$B$9,Paramètres!$A$1:$I$89,5,0)</f>
        <v>2.9479285094451551</v>
      </c>
      <c r="P8" s="14">
        <f t="shared" si="33"/>
        <v>1.1978908273966751</v>
      </c>
      <c r="Q8" s="22">
        <f t="shared" si="2"/>
        <v>7.2206353449995211</v>
      </c>
      <c r="R8" s="62">
        <f t="shared" si="0"/>
        <v>300.55396867833281</v>
      </c>
      <c r="S8" s="62">
        <f ca="1">AVERAGE(OFFSET($R$3,0,0,'Données projet'!$E$9+1,1))-AVERAGE(OFFSET($H$3,0,0,'Données projet'!$E$9+1,1))</f>
        <v>217.62295992724461</v>
      </c>
      <c r="T8" s="62">
        <f t="shared" si="34"/>
        <v>198.62788037979772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8.16</v>
      </c>
      <c r="AI8" s="14">
        <f>IF('Données projet'!$A$62&gt;35,AI7+AH8-AQ7,IF(A8&lt;'Données projet'!$A$62,$AF$205^A8,IF(A8='Données projet'!$A$62,'Données projet'!$B$62,AI7+AH8-AQ7)))</f>
        <v>2.8968501709813941</v>
      </c>
      <c r="AJ8" s="14">
        <f>AI8*VLOOKUP('Données projet'!$B$10,Paramètres!$A$1:$I$89,3,0)*VLOOKUP('Données projet'!$B$10,Paramètres!$A$1:$I$89,5,0)</f>
        <v>1.3557258800192924</v>
      </c>
      <c r="AK8" s="14">
        <f t="shared" si="35"/>
        <v>0.60303031316868949</v>
      </c>
      <c r="AL8" s="22">
        <f t="shared" si="4"/>
        <v>3.4115003698024009</v>
      </c>
      <c r="AM8" s="62">
        <f t="shared" si="5"/>
        <v>296.74483370313573</v>
      </c>
      <c r="AN8" s="62">
        <f ca="1">AVERAGE(OFFSET($AM$3,0,0,'Données projet'!$E$10+1,1))-AVERAGE(OFFSET($H$3,0,0,'Données projet'!$E$10+1,1))</f>
        <v>201.92726874818067</v>
      </c>
      <c r="AO8" s="62">
        <f t="shared" si="36"/>
        <v>197.16147791248727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1.8846153846153846</v>
      </c>
      <c r="BD8" s="13">
        <f>IF('Données projet'!$A$88&gt;35,BD7+BC8-BL7,IF(A8&lt;'Données projet'!$A$88,$BA$205^A8,IF(A8='Données projet'!$A$88,'Données projet'!$B$88,BD7+BC8-BL7)))</f>
        <v>9.4230769230769234</v>
      </c>
      <c r="BE8" s="14">
        <f>BD8*VLOOKUP('Données projet'!$B$11,Paramètres!$A$1:$I$89,3,0)*VLOOKUP('Données projet'!$B$11,Paramètres!$A$1:$I$89,5,0)</f>
        <v>9.5549999999999997</v>
      </c>
      <c r="BF8" s="14">
        <f t="shared" si="37"/>
        <v>3.3859762206724859</v>
      </c>
      <c r="BG8" s="22">
        <f t="shared" si="7"/>
        <v>22.538866917671246</v>
      </c>
      <c r="BH8" s="62">
        <f t="shared" si="8"/>
        <v>315.87220025100459</v>
      </c>
      <c r="BI8" s="62">
        <f ca="1">AVERAGE(OFFSET($BH$3,0,0,'Données projet'!$E$11+1,1))-AVERAGE(OFFSET($H$3,0,0,'Données projet'!$E$11+1,1))</f>
        <v>234.66244049825644</v>
      </c>
      <c r="BJ8" s="62">
        <f t="shared" si="38"/>
        <v>87.037318032671465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3.8333333333333335</v>
      </c>
      <c r="N9" s="14">
        <f>IF('Données projet'!$A$36&gt;35,N8+M9-V8,IF(A9&lt;'Données projet'!$A$36,$K$205^A9,IF(A9='Données projet'!$A$36,'Données projet'!$B$36,N8+M9-V8)))</f>
        <v>6.7823299831252681</v>
      </c>
      <c r="O9" s="14">
        <f>N9*VLOOKUP('Données projet'!$B$9,Paramètres!$A$1:$I$89,3,0)*VLOOKUP('Données projet'!$B$9,Paramètres!$A$1:$I$89,5,0)</f>
        <v>4.0558333299089107</v>
      </c>
      <c r="P9" s="14">
        <f t="shared" si="33"/>
        <v>1.5880041793453468</v>
      </c>
      <c r="Q9" s="22">
        <f t="shared" si="2"/>
        <v>9.8296836619511652</v>
      </c>
      <c r="R9" s="62">
        <f t="shared" si="0"/>
        <v>303.16301699528447</v>
      </c>
      <c r="S9" s="62">
        <f ca="1">AVERAGE(OFFSET($R$3,0,0,'Données projet'!$E$9+1,1))-AVERAGE(OFFSET($H$3,0,0,'Données projet'!$E$9+1,1))</f>
        <v>217.62295992724461</v>
      </c>
      <c r="T9" s="62">
        <f t="shared" si="34"/>
        <v>198.62788037979772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8.16</v>
      </c>
      <c r="AI9" s="14">
        <f>IF('Données projet'!$A$62&gt;35,AI8+AH9-AQ8,IF(A9&lt;'Données projet'!$A$62,$AF$205^A9,IF(A9='Données projet'!$A$62,'Données projet'!$B$62,AI8+AH9-AQ8)))</f>
        <v>3.5835316140300715</v>
      </c>
      <c r="AJ9" s="14">
        <f>AI9*VLOOKUP('Données projet'!$B$10,Paramètres!$A$1:$I$89,3,0)*VLOOKUP('Données projet'!$B$10,Paramètres!$A$1:$I$89,5,0)</f>
        <v>1.6770927953660735</v>
      </c>
      <c r="AK9" s="14">
        <f t="shared" si="35"/>
        <v>0.72773072688459306</v>
      </c>
      <c r="AL9" s="22">
        <f t="shared" si="4"/>
        <v>4.188400967919911</v>
      </c>
      <c r="AM9" s="62">
        <f t="shared" si="5"/>
        <v>297.52173430125322</v>
      </c>
      <c r="AN9" s="62">
        <f ca="1">AVERAGE(OFFSET($AM$3,0,0,'Données projet'!$E$10+1,1))-AVERAGE(OFFSET($H$3,0,0,'Données projet'!$E$10+1,1))</f>
        <v>201.92726874818067</v>
      </c>
      <c r="AO9" s="62">
        <f t="shared" si="36"/>
        <v>197.16147791248727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1.8846153846153846</v>
      </c>
      <c r="BD9" s="13">
        <f>IF('Données projet'!$A$88&gt;35,BD8+BC9-BL8,IF(A9&lt;'Données projet'!$A$88,$BA$205^A9,IF(A9='Données projet'!$A$88,'Données projet'!$B$88,BD8+BC9-BL8)))</f>
        <v>11.307692307692308</v>
      </c>
      <c r="BE9" s="14">
        <f>BD9*VLOOKUP('Données projet'!$B$11,Paramètres!$A$1:$I$89,3,0)*VLOOKUP('Données projet'!$B$11,Paramètres!$A$1:$I$89,5,0)</f>
        <v>11.466000000000001</v>
      </c>
      <c r="BF9" s="14">
        <f t="shared" si="37"/>
        <v>3.9778504618356041</v>
      </c>
      <c r="BG9" s="22">
        <f t="shared" si="7"/>
        <v>26.898039554363681</v>
      </c>
      <c r="BH9" s="62">
        <f t="shared" si="8"/>
        <v>320.23137288769698</v>
      </c>
      <c r="BI9" s="62">
        <f ca="1">AVERAGE(OFFSET($BH$3,0,0,'Données projet'!$E$11+1,1))-AVERAGE(OFFSET($H$3,0,0,'Données projet'!$E$11+1,1))</f>
        <v>234.66244049825644</v>
      </c>
      <c r="BJ9" s="62">
        <f t="shared" si="38"/>
        <v>87.037318032671465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3.8333333333333335</v>
      </c>
      <c r="N10" s="14">
        <f>IF('Données projet'!$A$36&gt;35,N9+M10-V9,IF(A10&lt;'Données projet'!$A$36,$K$205^A10,IF(A10='Données projet'!$A$36,'Données projet'!$B$36,N9+M10-V9)))</f>
        <v>9.3312982020644135</v>
      </c>
      <c r="O10" s="14">
        <f>N10*VLOOKUP('Données projet'!$B$9,Paramètres!$A$1:$I$89,3,0)*VLOOKUP('Données projet'!$B$9,Paramètres!$A$1:$I$89,5,0)</f>
        <v>5.5801163248345196</v>
      </c>
      <c r="P10" s="14">
        <f t="shared" si="33"/>
        <v>2.1051645241317321</v>
      </c>
      <c r="Q10" s="22">
        <f t="shared" si="2"/>
        <v>13.38519747861622</v>
      </c>
      <c r="R10" s="62">
        <f t="shared" si="0"/>
        <v>306.71853081194956</v>
      </c>
      <c r="S10" s="62">
        <f ca="1">AVERAGE(OFFSET($R$3,0,0,'Données projet'!$E$9+1,1))-AVERAGE(OFFSET($H$3,0,0,'Données projet'!$E$9+1,1))</f>
        <v>217.62295992724461</v>
      </c>
      <c r="T10" s="62">
        <f t="shared" si="34"/>
        <v>198.62788037979772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8.16</v>
      </c>
      <c r="AI10" s="14">
        <f>IF('Données projet'!$A$62&gt;35,AI9+AH10-AQ9,IF(A10&lt;'Données projet'!$A$62,$AF$205^A10,IF(A10='Données projet'!$A$62,'Données projet'!$B$62,AI9+AH10-AQ9)))</f>
        <v>4.4329868894815716</v>
      </c>
      <c r="AJ10" s="14">
        <f>AI10*VLOOKUP('Données projet'!$B$10,Paramètres!$A$1:$I$89,3,0)*VLOOKUP('Données projet'!$B$10,Paramètres!$A$1:$I$89,5,0)</f>
        <v>2.0746378642773755</v>
      </c>
      <c r="AK10" s="14">
        <f t="shared" si="35"/>
        <v>0.87821789267802852</v>
      </c>
      <c r="AL10" s="22">
        <f t="shared" si="4"/>
        <v>5.1428904433639948</v>
      </c>
      <c r="AM10" s="62">
        <f t="shared" si="5"/>
        <v>298.47622377669728</v>
      </c>
      <c r="AN10" s="62">
        <f ca="1">AVERAGE(OFFSET($AM$3,0,0,'Données projet'!$E$10+1,1))-AVERAGE(OFFSET($H$3,0,0,'Données projet'!$E$10+1,1))</f>
        <v>201.92726874818067</v>
      </c>
      <c r="AO10" s="62">
        <f t="shared" si="36"/>
        <v>197.16147791248727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1.8846153846153846</v>
      </c>
      <c r="BD10" s="13">
        <f>IF('Données projet'!$A$88&gt;35,BD9+BC10-BL9,IF(A10&lt;'Données projet'!$A$88,$BA$205^A10,IF(A10='Données projet'!$A$88,'Données projet'!$B$88,BD9+BC10-BL9)))</f>
        <v>13.192307692307693</v>
      </c>
      <c r="BE10" s="14">
        <f>BD10*VLOOKUP('Données projet'!$B$11,Paramètres!$A$1:$I$89,3,0)*VLOOKUP('Données projet'!$B$11,Paramètres!$A$1:$I$89,5,0)</f>
        <v>13.377000000000002</v>
      </c>
      <c r="BF10" s="14">
        <f t="shared" si="37"/>
        <v>4.5582971835568733</v>
      </c>
      <c r="BG10" s="22">
        <f t="shared" si="7"/>
        <v>31.237309261361556</v>
      </c>
      <c r="BH10" s="62">
        <f t="shared" si="8"/>
        <v>324.57064259469485</v>
      </c>
      <c r="BI10" s="62">
        <f ca="1">AVERAGE(OFFSET($BH$3,0,0,'Données projet'!$E$11+1,1))-AVERAGE(OFFSET($H$3,0,0,'Données projet'!$E$11+1,1))</f>
        <v>234.66244049825644</v>
      </c>
      <c r="BJ10" s="62">
        <f t="shared" si="38"/>
        <v>87.037318032671465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3.8333333333333335</v>
      </c>
      <c r="N11" s="14">
        <f>IF('Données projet'!$A$36&gt;35,N10+M11-V10,IF(A11&lt;'Données projet'!$A$36,$K$205^A11,IF(A11='Données projet'!$A$36,'Données projet'!$B$36,N10+M11-V10)))</f>
        <v>12.838232045991907</v>
      </c>
      <c r="O11" s="14">
        <f>N11*VLOOKUP('Données projet'!$B$9,Paramètres!$A$1:$I$89,3,0)*VLOOKUP('Données projet'!$B$9,Paramètres!$A$1:$I$89,5,0)</f>
        <v>7.6772627635031609</v>
      </c>
      <c r="P11" s="14">
        <f t="shared" si="33"/>
        <v>2.7907468577883434</v>
      </c>
      <c r="Q11" s="22">
        <f t="shared" si="2"/>
        <v>18.23178342374937</v>
      </c>
      <c r="R11" s="62">
        <f t="shared" si="0"/>
        <v>311.56511675708271</v>
      </c>
      <c r="S11" s="62">
        <f ca="1">AVERAGE(OFFSET($R$3,0,0,'Données projet'!$E$9+1,1))-AVERAGE(OFFSET($H$3,0,0,'Données projet'!$E$9+1,1))</f>
        <v>217.62295992724461</v>
      </c>
      <c r="T11" s="62">
        <f t="shared" si="34"/>
        <v>198.62788037979772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8.16</v>
      </c>
      <c r="AI11" s="14">
        <f>IF('Données projet'!$A$62&gt;35,AI10+AH11-AQ10,IF(A11&lt;'Données projet'!$A$62,$AF$205^A11,IF(A11='Données projet'!$A$62,'Données projet'!$B$62,AI10+AH11-AQ10)))</f>
        <v>5.4838005852599103</v>
      </c>
      <c r="AJ11" s="14">
        <f>AI11*VLOOKUP('Données projet'!$B$10,Paramètres!$A$1:$I$89,3,0)*VLOOKUP('Données projet'!$B$10,Paramètres!$A$1:$I$89,5,0)</f>
        <v>2.5664186739016381</v>
      </c>
      <c r="AK11" s="14">
        <f t="shared" si="35"/>
        <v>1.0598242434006067</v>
      </c>
      <c r="AL11" s="22">
        <f t="shared" si="4"/>
        <v>6.3157064143014097</v>
      </c>
      <c r="AM11" s="62">
        <f t="shared" si="5"/>
        <v>299.64903974763473</v>
      </c>
      <c r="AN11" s="62">
        <f ca="1">AVERAGE(OFFSET($AM$3,0,0,'Données projet'!$E$10+1,1))-AVERAGE(OFFSET($H$3,0,0,'Données projet'!$E$10+1,1))</f>
        <v>201.92726874818067</v>
      </c>
      <c r="AO11" s="62">
        <f t="shared" si="36"/>
        <v>197.16147791248727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1.8846153846153846</v>
      </c>
      <c r="BD11" s="13">
        <f>IF('Données projet'!$A$88&gt;35,BD10+BC11-BL10,IF(A11&lt;'Données projet'!$A$88,$BA$205^A11,IF(A11='Données projet'!$A$88,'Données projet'!$B$88,BD10+BC11-BL10)))</f>
        <v>15.076923076923078</v>
      </c>
      <c r="BE11" s="14">
        <f>BD11*VLOOKUP('Données projet'!$B$11,Paramètres!$A$1:$I$89,3,0)*VLOOKUP('Données projet'!$B$11,Paramètres!$A$1:$I$89,5,0)</f>
        <v>15.288000000000002</v>
      </c>
      <c r="BF11" s="14">
        <f t="shared" si="37"/>
        <v>5.1291372499950301</v>
      </c>
      <c r="BG11" s="22">
        <f t="shared" si="7"/>
        <v>35.559847377074682</v>
      </c>
      <c r="BH11" s="62">
        <f t="shared" si="8"/>
        <v>328.89318071040799</v>
      </c>
      <c r="BI11" s="62">
        <f ca="1">AVERAGE(OFFSET($BH$3,0,0,'Données projet'!$E$11+1,1))-AVERAGE(OFFSET($H$3,0,0,'Données projet'!$E$11+1,1))</f>
        <v>234.66244049825644</v>
      </c>
      <c r="BJ11" s="62">
        <f t="shared" si="38"/>
        <v>87.037318032671465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3.8333333333333335</v>
      </c>
      <c r="N12" s="14">
        <f>IF('Données projet'!$A$36&gt;35,N11+M12-V11,IF(A12&lt;'Données projet'!$A$36,$K$205^A12,IF(A12='Données projet'!$A$36,'Données projet'!$B$36,N11+M12-V11)))</f>
        <v>17.663158812165008</v>
      </c>
      <c r="O12" s="14">
        <f>N12*VLOOKUP('Données projet'!$B$9,Paramètres!$A$1:$I$89,3,0)*VLOOKUP('Données projet'!$B$9,Paramètres!$A$1:$I$89,5,0)</f>
        <v>10.562568969674675</v>
      </c>
      <c r="P12" s="14">
        <f t="shared" si="33"/>
        <v>3.6996006416494942</v>
      </c>
      <c r="Q12" s="22">
        <f t="shared" si="2"/>
        <v>24.839945406389592</v>
      </c>
      <c r="R12" s="62">
        <f t="shared" si="0"/>
        <v>318.17327873972289</v>
      </c>
      <c r="S12" s="62">
        <f ca="1">AVERAGE(OFFSET($R$3,0,0,'Données projet'!$E$9+1,1))-AVERAGE(OFFSET($H$3,0,0,'Données projet'!$E$9+1,1))</f>
        <v>217.62295992724461</v>
      </c>
      <c r="T12" s="62">
        <f t="shared" si="34"/>
        <v>198.62788037979772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8.16</v>
      </c>
      <c r="AI12" s="14">
        <f>IF('Données projet'!$A$62&gt;35,AI11+AH12-AQ11,IF(A12&lt;'Données projet'!$A$62,$AF$205^A12,IF(A12='Données projet'!$A$62,'Données projet'!$B$62,AI11+AH12-AQ11)))</f>
        <v>6.7837035408904178</v>
      </c>
      <c r="AJ12" s="14">
        <f>AI12*VLOOKUP('Données projet'!$B$10,Paramètres!$A$1:$I$89,3,0)*VLOOKUP('Données projet'!$B$10,Paramètres!$A$1:$I$89,5,0)</f>
        <v>3.1747732571367155</v>
      </c>
      <c r="AK12" s="14">
        <f t="shared" si="35"/>
        <v>1.27898490370597</v>
      </c>
      <c r="AL12" s="22">
        <f t="shared" si="4"/>
        <v>7.7569621301343439</v>
      </c>
      <c r="AM12" s="62">
        <f t="shared" si="5"/>
        <v>301.09029546346767</v>
      </c>
      <c r="AN12" s="62">
        <f ca="1">AVERAGE(OFFSET($AM$3,0,0,'Données projet'!$E$10+1,1))-AVERAGE(OFFSET($H$3,0,0,'Données projet'!$E$10+1,1))</f>
        <v>201.92726874818067</v>
      </c>
      <c r="AO12" s="62">
        <f t="shared" si="36"/>
        <v>197.16147791248727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1.8846153846153846</v>
      </c>
      <c r="BD12" s="13">
        <f>IF('Données projet'!$A$88&gt;35,BD11+BC12-BL11,IF(A12&lt;'Données projet'!$A$88,$BA$205^A12,IF(A12='Données projet'!$A$88,'Données projet'!$B$88,BD11+BC12-BL11)))</f>
        <v>16.961538461538463</v>
      </c>
      <c r="BE12" s="14">
        <f>BD12*VLOOKUP('Données projet'!$B$11,Paramètres!$A$1:$I$89,3,0)*VLOOKUP('Données projet'!$B$11,Paramètres!$A$1:$I$89,5,0)</f>
        <v>17.199000000000005</v>
      </c>
      <c r="BF12" s="14">
        <f t="shared" si="37"/>
        <v>5.6917090194699975</v>
      </c>
      <c r="BG12" s="22">
        <f t="shared" si="7"/>
        <v>39.867984875576923</v>
      </c>
      <c r="BH12" s="62">
        <f t="shared" si="8"/>
        <v>333.20131820891027</v>
      </c>
      <c r="BI12" s="62">
        <f ca="1">AVERAGE(OFFSET($BH$3,0,0,'Données projet'!$E$11+1,1))-AVERAGE(OFFSET($H$3,0,0,'Données projet'!$E$11+1,1))</f>
        <v>234.66244049825644</v>
      </c>
      <c r="BJ12" s="62">
        <f t="shared" si="38"/>
        <v>87.037318032671465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3.8333333333333335</v>
      </c>
      <c r="N13" s="14">
        <f>IF('Données projet'!$A$36&gt;35,N12+M13-V12,IF(A13&lt;'Données projet'!$A$36,$K$205^A13,IF(A13='Données projet'!$A$36,'Données projet'!$B$36,N12+M13-V12)))</f>
        <v>24.301413006564612</v>
      </c>
      <c r="O13" s="14">
        <f>N13*VLOOKUP('Données projet'!$B$9,Paramètres!$A$1:$I$89,3,0)*VLOOKUP('Données projet'!$B$9,Paramètres!$A$1:$I$89,5,0)</f>
        <v>14.53224497792564</v>
      </c>
      <c r="P13" s="14">
        <f t="shared" si="33"/>
        <v>4.9044379892414502</v>
      </c>
      <c r="Q13" s="22">
        <f t="shared" si="2"/>
        <v>33.852222834482681</v>
      </c>
      <c r="R13" s="62">
        <f t="shared" si="0"/>
        <v>327.185556167816</v>
      </c>
      <c r="S13" s="62">
        <f ca="1">AVERAGE(OFFSET($R$3,0,0,'Données projet'!$E$9+1,1))-AVERAGE(OFFSET($H$3,0,0,'Données projet'!$E$9+1,1))</f>
        <v>217.62295992724461</v>
      </c>
      <c r="T13" s="62">
        <f t="shared" si="34"/>
        <v>198.62788037979772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8.16</v>
      </c>
      <c r="AI13" s="14">
        <f>IF('Données projet'!$A$62&gt;35,AI12+AH13-AQ12,IF(A13&lt;'Données projet'!$A$62,$AF$205^A13,IF(A13='Données projet'!$A$62,'Données projet'!$B$62,AI12+AH13-AQ12)))</f>
        <v>8.3917409131149316</v>
      </c>
      <c r="AJ13" s="14">
        <f>AI13*VLOOKUP('Données projet'!$B$10,Paramètres!$A$1:$I$89,3,0)*VLOOKUP('Données projet'!$B$10,Paramètres!$A$1:$I$89,5,0)</f>
        <v>3.9273347473377878</v>
      </c>
      <c r="AK13" s="14">
        <f t="shared" si="35"/>
        <v>1.5434657152765723</v>
      </c>
      <c r="AL13" s="22">
        <f t="shared" si="4"/>
        <v>9.5283108057200092</v>
      </c>
      <c r="AM13" s="62">
        <f t="shared" si="5"/>
        <v>302.86164413905334</v>
      </c>
      <c r="AN13" s="62">
        <f ca="1">AVERAGE(OFFSET($AM$3,0,0,'Données projet'!$E$10+1,1))-AVERAGE(OFFSET($H$3,0,0,'Données projet'!$E$10+1,1))</f>
        <v>201.92726874818067</v>
      </c>
      <c r="AO13" s="62">
        <f t="shared" si="36"/>
        <v>197.16147791248727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1.8846153846153846</v>
      </c>
      <c r="BD13" s="13">
        <f>IF('Données projet'!$A$88&gt;35,BD12+BC13-BL12,IF(A13&lt;'Données projet'!$A$88,$BA$205^A13,IF(A13='Données projet'!$A$88,'Données projet'!$B$88,BD12+BC13-BL12)))</f>
        <v>18.846153846153847</v>
      </c>
      <c r="BE13" s="14">
        <f>BD13*VLOOKUP('Données projet'!$B$11,Paramètres!$A$1:$I$89,3,0)*VLOOKUP('Données projet'!$B$11,Paramètres!$A$1:$I$89,5,0)</f>
        <v>19.11</v>
      </c>
      <c r="BF13" s="14">
        <f t="shared" si="37"/>
        <v>6.247035989571649</v>
      </c>
      <c r="BG13" s="22">
        <f t="shared" si="7"/>
        <v>44.163504348503949</v>
      </c>
      <c r="BH13" s="62">
        <f t="shared" si="8"/>
        <v>337.49683768183729</v>
      </c>
      <c r="BI13" s="62">
        <f ca="1">AVERAGE(OFFSET($BH$3,0,0,'Données projet'!$E$11+1,1))-AVERAGE(OFFSET($H$3,0,0,'Données projet'!$E$11+1,1))</f>
        <v>234.66244049825644</v>
      </c>
      <c r="BJ13" s="62">
        <f t="shared" si="38"/>
        <v>87.037318032671465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3.8333333333333335</v>
      </c>
      <c r="N14" s="14">
        <f>IF('Données projet'!$A$36&gt;35,N13+M14-V13,IF(A14&lt;'Données projet'!$A$36,$K$205^A14,IF(A14='Données projet'!$A$36,'Données projet'!$B$36,N13+M14-V13)))</f>
        <v>33.434488156721827</v>
      </c>
      <c r="O14" s="14">
        <f>N14*VLOOKUP('Données projet'!$B$9,Paramètres!$A$1:$I$89,3,0)*VLOOKUP('Données projet'!$B$9,Paramètres!$A$1:$I$89,5,0)</f>
        <v>19.993823917719652</v>
      </c>
      <c r="P14" s="14">
        <f t="shared" si="33"/>
        <v>6.5016509402458835</v>
      </c>
      <c r="Q14" s="22">
        <f t="shared" si="2"/>
        <v>46.146285377623315</v>
      </c>
      <c r="R14" s="62">
        <f t="shared" si="0"/>
        <v>339.47961871095663</v>
      </c>
      <c r="S14" s="62">
        <f ca="1">AVERAGE(OFFSET($R$3,0,0,'Données projet'!$E$9+1,1))-AVERAGE(OFFSET($H$3,0,0,'Données projet'!$E$9+1,1))</f>
        <v>217.62295992724461</v>
      </c>
      <c r="T14" s="62">
        <f t="shared" si="34"/>
        <v>198.62788037979772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8.16</v>
      </c>
      <c r="AI14" s="14">
        <f>IF('Données projet'!$A$62&gt;35,AI13+AH14-AQ13,IF(A14&lt;'Données projet'!$A$62,$AF$205^A14,IF(A14='Données projet'!$A$62,'Données projet'!$B$62,AI13+AH14-AQ13)))</f>
        <v>10.380954168820242</v>
      </c>
      <c r="AJ14" s="14">
        <f>AI14*VLOOKUP('Données projet'!$B$10,Paramètres!$A$1:$I$89,3,0)*VLOOKUP('Données projet'!$B$10,Paramètres!$A$1:$I$89,5,0)</f>
        <v>4.8582865510078737</v>
      </c>
      <c r="AK14" s="14">
        <f t="shared" si="35"/>
        <v>1.8626384153021189</v>
      </c>
      <c r="AL14" s="22">
        <f t="shared" si="4"/>
        <v>11.705610982989903</v>
      </c>
      <c r="AM14" s="62">
        <f t="shared" si="5"/>
        <v>305.03894431632324</v>
      </c>
      <c r="AN14" s="62">
        <f ca="1">AVERAGE(OFFSET($AM$3,0,0,'Données projet'!$E$10+1,1))-AVERAGE(OFFSET($H$3,0,0,'Données projet'!$E$10+1,1))</f>
        <v>201.92726874818067</v>
      </c>
      <c r="AO14" s="62">
        <f t="shared" si="36"/>
        <v>197.16147791248727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1.8846153846153846</v>
      </c>
      <c r="BD14" s="13">
        <f>IF('Données projet'!$A$88&gt;35,BD13+BC14-BL13,IF(A14&lt;'Données projet'!$A$88,$BA$205^A14,IF(A14='Données projet'!$A$88,'Données projet'!$B$88,BD13+BC14-BL13)))</f>
        <v>20.73076923076923</v>
      </c>
      <c r="BE14" s="14">
        <f>BD14*VLOOKUP('Données projet'!$B$11,Paramètres!$A$1:$I$89,3,0)*VLOOKUP('Données projet'!$B$11,Paramètres!$A$1:$I$89,5,0)</f>
        <v>21.021000000000001</v>
      </c>
      <c r="BF14" s="14">
        <f t="shared" si="37"/>
        <v>6.7959251129578737</v>
      </c>
      <c r="BG14" s="22">
        <f t="shared" si="7"/>
        <v>48.447811238401634</v>
      </c>
      <c r="BH14" s="62">
        <f t="shared" si="8"/>
        <v>341.78114457173496</v>
      </c>
      <c r="BI14" s="62">
        <f ca="1">AVERAGE(OFFSET($BH$3,0,0,'Données projet'!$E$11+1,1))-AVERAGE(OFFSET($H$3,0,0,'Données projet'!$E$11+1,1))</f>
        <v>234.66244049825644</v>
      </c>
      <c r="BJ14" s="62">
        <f t="shared" si="38"/>
        <v>87.037318032671465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46</v>
      </c>
      <c r="L15" s="13">
        <f>VLOOKUP(A15,'Données projet'!$A$35:$I$55,9,0)</f>
        <v>3.8333333333333335</v>
      </c>
      <c r="M15" s="13">
        <f t="array" ref="M15">INDEX(L:L,MIN(IF(ISNUMBER(L15:L211),ROW(L15:L211),"")))</f>
        <v>3.8333333333333335</v>
      </c>
      <c r="N15" s="14">
        <f>IF('Données projet'!$A$36&gt;35,N14+M15-V14,IF(A15&lt;'Données projet'!$A$36,$K$205^A15,IF(A15='Données projet'!$A$36,'Données projet'!$B$36,N14+M15-V14)))</f>
        <v>46</v>
      </c>
      <c r="O15" s="14">
        <f>N15*VLOOKUP('Données projet'!$B$9,Paramètres!$A$1:$I$89,3,0)*VLOOKUP('Données projet'!$B$9,Paramètres!$A$1:$I$89,5,0)</f>
        <v>27.508000000000003</v>
      </c>
      <c r="P15" s="14">
        <f t="shared" si="33"/>
        <v>8.619023227845549</v>
      </c>
      <c r="Q15" s="22">
        <f t="shared" si="2"/>
        <v>62.921232121831004</v>
      </c>
      <c r="R15" s="62">
        <f t="shared" si="0"/>
        <v>356.25456545516431</v>
      </c>
      <c r="S15" s="62">
        <f ca="1">AVERAGE(OFFSET($R$3,0,0,'Données projet'!$E$9+1,1))-AVERAGE(OFFSET($H$3,0,0,'Données projet'!$E$9+1,1))</f>
        <v>217.62295992724461</v>
      </c>
      <c r="T15" s="62">
        <f t="shared" si="34"/>
        <v>198.62788037979772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0.18000000000000002</v>
      </c>
      <c r="Y15" s="17">
        <f>IF(ISNA(VLOOKUP(A15,'Données projet'!$A$35:$I$55,7,0)),0%,VLOOKUP(A15,'Données projet'!$A$35:$I$55,7,0))</f>
        <v>0.6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8.16</v>
      </c>
      <c r="AI15" s="14">
        <f>IF('Données projet'!$A$62&gt;35,AI14+AH15-AQ14,IF(A15&lt;'Données projet'!$A$62,$AF$205^A15,IF(A15='Données projet'!$A$62,'Données projet'!$B$62,AI14+AH15-AQ14)))</f>
        <v>12.841698828752968</v>
      </c>
      <c r="AJ15" s="14">
        <f>AI15*VLOOKUP('Données projet'!$B$10,Paramètres!$A$1:$I$89,3,0)*VLOOKUP('Données projet'!$B$10,Paramètres!$A$1:$I$89,5,0)</f>
        <v>6.0099150518563889</v>
      </c>
      <c r="AK15" s="14">
        <f t="shared" si="35"/>
        <v>2.2478127190130075</v>
      </c>
      <c r="AL15" s="22">
        <f t="shared" si="4"/>
        <v>14.382209200930864</v>
      </c>
      <c r="AM15" s="62">
        <f t="shared" si="5"/>
        <v>307.71554253426416</v>
      </c>
      <c r="AN15" s="62">
        <f ca="1">AVERAGE(OFFSET($AM$3,0,0,'Données projet'!$E$10+1,1))-AVERAGE(OFFSET($H$3,0,0,'Données projet'!$E$10+1,1))</f>
        <v>201.92726874818067</v>
      </c>
      <c r="AO15" s="62">
        <f t="shared" si="36"/>
        <v>197.16147791248727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1.8846153846153846</v>
      </c>
      <c r="BD15" s="13">
        <f>IF('Données projet'!$A$88&gt;35,BD14+BC15-BL14,IF(A15&lt;'Données projet'!$A$88,$BA$205^A15,IF(A15='Données projet'!$A$88,'Données projet'!$B$88,BD14+BC15-BL14)))</f>
        <v>22.615384615384613</v>
      </c>
      <c r="BE15" s="14">
        <f>BD15*VLOOKUP('Données projet'!$B$11,Paramètres!$A$1:$I$89,3,0)*VLOOKUP('Données projet'!$B$11,Paramètres!$A$1:$I$89,5,0)</f>
        <v>22.931999999999999</v>
      </c>
      <c r="BF15" s="14">
        <f t="shared" si="37"/>
        <v>7.3390282083215084</v>
      </c>
      <c r="BG15" s="22">
        <f t="shared" si="7"/>
        <v>52.722040796159952</v>
      </c>
      <c r="BH15" s="62">
        <f t="shared" si="8"/>
        <v>346.05537412949326</v>
      </c>
      <c r="BI15" s="62">
        <f ca="1">AVERAGE(OFFSET($BH$3,0,0,'Données projet'!$E$11+1,1))-AVERAGE(OFFSET($H$3,0,0,'Données projet'!$E$11+1,1))</f>
        <v>234.66244049825644</v>
      </c>
      <c r="BJ15" s="62">
        <f t="shared" si="38"/>
        <v>87.037318032671465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9</v>
      </c>
      <c r="N16" s="14">
        <f>IF('Données projet'!$A$36&gt;35,N15+M16-V15,IF(A16&lt;'Données projet'!$A$36,$K$205^A16,IF(A16='Données projet'!$A$36,'Données projet'!$B$36,N15+M16-V15)))</f>
        <v>55</v>
      </c>
      <c r="O16" s="14">
        <f>N16*VLOOKUP('Données projet'!$B$9,Paramètres!$A$1:$I$89,3,0)*VLOOKUP('Données projet'!$B$9,Paramètres!$A$1:$I$89,5,0)</f>
        <v>32.89</v>
      </c>
      <c r="P16" s="14">
        <f t="shared" si="33"/>
        <v>10.093219160740325</v>
      </c>
      <c r="Q16" s="22">
        <f t="shared" si="2"/>
        <v>74.862440038289407</v>
      </c>
      <c r="R16" s="62">
        <f t="shared" si="0"/>
        <v>368.19577337162275</v>
      </c>
      <c r="S16" s="62">
        <f ca="1">AVERAGE(OFFSET($R$3,0,0,'Données projet'!$E$9+1,1))-AVERAGE(OFFSET($H$3,0,0,'Données projet'!$E$9+1,1))</f>
        <v>217.62295992724461</v>
      </c>
      <c r="T16" s="62">
        <f t="shared" si="34"/>
        <v>198.62788037979772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8.16</v>
      </c>
      <c r="AI16" s="14">
        <f>IF('Données projet'!$A$62&gt;35,AI15+AH16-AQ15,IF(A16&lt;'Données projet'!$A$62,$AF$205^A16,IF(A16='Données projet'!$A$62,'Données projet'!$B$62,AI15+AH16-AQ15)))</f>
        <v>15.88574866303804</v>
      </c>
      <c r="AJ16" s="14">
        <f>AI16*VLOOKUP('Données projet'!$B$10,Paramètres!$A$1:$I$89,3,0)*VLOOKUP('Données projet'!$B$10,Paramètres!$A$1:$I$89,5,0)</f>
        <v>7.4345303743018025</v>
      </c>
      <c r="AK16" s="14">
        <f t="shared" si="35"/>
        <v>2.7126370734370968</v>
      </c>
      <c r="AL16" s="22">
        <f t="shared" si="4"/>
        <v>17.672983304811915</v>
      </c>
      <c r="AM16" s="62">
        <f t="shared" si="5"/>
        <v>311.00631663814522</v>
      </c>
      <c r="AN16" s="62">
        <f ca="1">AVERAGE(OFFSET($AM$3,0,0,'Données projet'!$E$10+1,1))-AVERAGE(OFFSET($H$3,0,0,'Données projet'!$E$10+1,1))</f>
        <v>201.92726874818067</v>
      </c>
      <c r="AO16" s="62">
        <f t="shared" si="36"/>
        <v>197.16147791248727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1.8846153846153846</v>
      </c>
      <c r="BD16" s="13">
        <f>IF('Données projet'!$A$88&gt;35,BD15+BC16-BL15,IF(A16&lt;'Données projet'!$A$88,$BA$205^A16,IF(A16='Données projet'!$A$88,'Données projet'!$B$88,BD15+BC16-BL15)))</f>
        <v>24.499999999999996</v>
      </c>
      <c r="BE16" s="14">
        <f>BD16*VLOOKUP('Données projet'!$B$11,Paramètres!$A$1:$I$89,3,0)*VLOOKUP('Données projet'!$B$11,Paramètres!$A$1:$I$89,5,0)</f>
        <v>24.843</v>
      </c>
      <c r="BF16" s="14">
        <f t="shared" si="37"/>
        <v>7.8768822629979036</v>
      </c>
      <c r="BG16" s="22">
        <f t="shared" si="7"/>
        <v>56.98712827472135</v>
      </c>
      <c r="BH16" s="62">
        <f t="shared" si="8"/>
        <v>350.32046160805464</v>
      </c>
      <c r="BI16" s="62">
        <f ca="1">AVERAGE(OFFSET($BH$3,0,0,'Données projet'!$E$11+1,1))-AVERAGE(OFFSET($H$3,0,0,'Données projet'!$E$11+1,1))</f>
        <v>234.66244049825644</v>
      </c>
      <c r="BJ16" s="62">
        <f t="shared" si="38"/>
        <v>87.037318032671465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9</v>
      </c>
      <c r="N17" s="14">
        <f>IF('Données projet'!$A$36&gt;35,N16+M17-V16,IF(A17&lt;'Données projet'!$A$36,$K$205^A17,IF(A17='Données projet'!$A$36,'Données projet'!$B$36,N16+M17-V16)))</f>
        <v>64</v>
      </c>
      <c r="O17" s="14">
        <f>N17*VLOOKUP('Données projet'!$B$9,Paramètres!$A$1:$I$89,3,0)*VLOOKUP('Données projet'!$B$9,Paramètres!$A$1:$I$89,5,0)</f>
        <v>38.272000000000006</v>
      </c>
      <c r="P17" s="14">
        <f t="shared" si="33"/>
        <v>11.539469830637579</v>
      </c>
      <c r="Q17" s="22">
        <f t="shared" si="2"/>
        <v>86.754976621693785</v>
      </c>
      <c r="R17" s="62">
        <f t="shared" si="0"/>
        <v>380.08830995502711</v>
      </c>
      <c r="S17" s="62">
        <f ca="1">AVERAGE(OFFSET($R$3,0,0,'Données projet'!$E$9+1,1))-AVERAGE(OFFSET($H$3,0,0,'Données projet'!$E$9+1,1))</f>
        <v>217.62295992724461</v>
      </c>
      <c r="T17" s="62">
        <f t="shared" si="34"/>
        <v>198.62788037979772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8.16</v>
      </c>
      <c r="AI17" s="14">
        <f>IF('Données projet'!$A$62&gt;35,AI16+AH17-AQ16,IF(A17&lt;'Données projet'!$A$62,$AF$205^A17,IF(A17='Données projet'!$A$62,'Données projet'!$B$62,AI16+AH17-AQ16)))</f>
        <v>19.651372762315496</v>
      </c>
      <c r="AJ17" s="14">
        <f>AI17*VLOOKUP('Données projet'!$B$10,Paramètres!$A$1:$I$89,3,0)*VLOOKUP('Données projet'!$B$10,Paramètres!$A$1:$I$89,5,0)</f>
        <v>9.1968424527636525</v>
      </c>
      <c r="AK17" s="14">
        <f t="shared" si="35"/>
        <v>3.273582282876474</v>
      </c>
      <c r="AL17" s="22">
        <f t="shared" si="4"/>
        <v>21.719323081239882</v>
      </c>
      <c r="AM17" s="62">
        <f t="shared" si="5"/>
        <v>315.05265641457322</v>
      </c>
      <c r="AN17" s="62">
        <f ca="1">AVERAGE(OFFSET($AM$3,0,0,'Données projet'!$E$10+1,1))-AVERAGE(OFFSET($H$3,0,0,'Données projet'!$E$10+1,1))</f>
        <v>201.92726874818067</v>
      </c>
      <c r="AO17" s="62">
        <f t="shared" si="36"/>
        <v>197.16147791248727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1.8846153846153846</v>
      </c>
      <c r="BD17" s="13">
        <f>IF('Données projet'!$A$88&gt;35,BD16+BC17-BL16,IF(A17&lt;'Données projet'!$A$88,$BA$205^A17,IF(A17='Données projet'!$A$88,'Données projet'!$B$88,BD16+BC17-BL16)))</f>
        <v>26.38461538461538</v>
      </c>
      <c r="BE17" s="14">
        <f>BD17*VLOOKUP('Données projet'!$B$11,Paramètres!$A$1:$I$89,3,0)*VLOOKUP('Données projet'!$B$11,Paramètres!$A$1:$I$89,5,0)</f>
        <v>26.753999999999998</v>
      </c>
      <c r="BF17" s="14">
        <f t="shared" si="37"/>
        <v>8.4099369579114427</v>
      </c>
      <c r="BG17" s="22">
        <f t="shared" si="7"/>
        <v>61.243856868362421</v>
      </c>
      <c r="BH17" s="62">
        <f t="shared" si="8"/>
        <v>354.57719020169571</v>
      </c>
      <c r="BI17" s="62">
        <f ca="1">AVERAGE(OFFSET($BH$3,0,0,'Données projet'!$E$11+1,1))-AVERAGE(OFFSET($H$3,0,0,'Données projet'!$E$11+1,1))</f>
        <v>234.66244049825644</v>
      </c>
      <c r="BJ17" s="62">
        <f t="shared" si="38"/>
        <v>87.037318032671465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9</v>
      </c>
      <c r="N18" s="14">
        <f>IF('Données projet'!$A$36&gt;35,N17+M18-V17,IF(A18&lt;'Données projet'!$A$36,$K$205^A18,IF(A18='Données projet'!$A$36,'Données projet'!$B$36,N17+M18-V17)))</f>
        <v>73</v>
      </c>
      <c r="O18" s="14">
        <f>N18*VLOOKUP('Données projet'!$B$9,Paramètres!$A$1:$I$89,3,0)*VLOOKUP('Données projet'!$B$9,Paramètres!$A$1:$I$89,5,0)</f>
        <v>43.653999999999996</v>
      </c>
      <c r="P18" s="14">
        <f t="shared" si="33"/>
        <v>12.962157980203084</v>
      </c>
      <c r="Q18" s="22">
        <f t="shared" si="2"/>
        <v>98.606475148853704</v>
      </c>
      <c r="R18" s="62">
        <f t="shared" si="0"/>
        <v>391.939808482187</v>
      </c>
      <c r="S18" s="62">
        <f ca="1">AVERAGE(OFFSET($R$3,0,0,'Données projet'!$E$9+1,1))-AVERAGE(OFFSET($H$3,0,0,'Données projet'!$E$9+1,1))</f>
        <v>217.62295992724461</v>
      </c>
      <c r="T18" s="62">
        <f t="shared" si="34"/>
        <v>198.62788037979772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8.16</v>
      </c>
      <c r="AI18" s="14">
        <f>IF('Données projet'!$A$62&gt;35,AI17+AH18-AQ17,IF(A18&lt;'Données projet'!$A$62,$AF$205^A18,IF(A18='Données projet'!$A$62,'Données projet'!$B$62,AI17+AH18-AQ17)))</f>
        <v>24.309616098988553</v>
      </c>
      <c r="AJ18" s="14">
        <f>AI18*VLOOKUP('Données projet'!$B$10,Paramètres!$A$1:$I$89,3,0)*VLOOKUP('Données projet'!$B$10,Paramètres!$A$1:$I$89,5,0)</f>
        <v>11.376900334326642</v>
      </c>
      <c r="AK18" s="14">
        <f t="shared" si="35"/>
        <v>3.9505251431163275</v>
      </c>
      <c r="AL18" s="22">
        <f t="shared" si="4"/>
        <v>26.695266039879836</v>
      </c>
      <c r="AM18" s="62">
        <f t="shared" si="5"/>
        <v>320.02859937321313</v>
      </c>
      <c r="AN18" s="62">
        <f ca="1">AVERAGE(OFFSET($AM$3,0,0,'Données projet'!$E$10+1,1))-AVERAGE(OFFSET($H$3,0,0,'Données projet'!$E$10+1,1))</f>
        <v>201.92726874818067</v>
      </c>
      <c r="AO18" s="62">
        <f t="shared" si="36"/>
        <v>197.16147791248727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1.8846153846153846</v>
      </c>
      <c r="BD18" s="13">
        <f>IF('Données projet'!$A$88&gt;35,BD17+BC18-BL17,IF(A18&lt;'Données projet'!$A$88,$BA$205^A18,IF(A18='Données projet'!$A$88,'Données projet'!$B$88,BD17+BC18-BL17)))</f>
        <v>28.269230769230763</v>
      </c>
      <c r="BE18" s="14">
        <f>BD18*VLOOKUP('Données projet'!$B$11,Paramètres!$A$1:$I$89,3,0)*VLOOKUP('Données projet'!$B$11,Paramètres!$A$1:$I$89,5,0)</f>
        <v>28.664999999999996</v>
      </c>
      <c r="BF18" s="14">
        <f t="shared" si="37"/>
        <v>8.938574093705606</v>
      </c>
      <c r="BG18" s="22">
        <f t="shared" si="7"/>
        <v>65.492891546537251</v>
      </c>
      <c r="BH18" s="62">
        <f t="shared" si="8"/>
        <v>358.82622487987055</v>
      </c>
      <c r="BI18" s="62">
        <f ca="1">AVERAGE(OFFSET($BH$3,0,0,'Données projet'!$E$11+1,1))-AVERAGE(OFFSET($H$3,0,0,'Données projet'!$E$11+1,1))</f>
        <v>234.66244049825644</v>
      </c>
      <c r="BJ18" s="62">
        <f t="shared" si="38"/>
        <v>87.037318032671465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82</v>
      </c>
      <c r="L19" s="13">
        <f>VLOOKUP(A19,'Données projet'!$A$35:$I$55,9,0)</f>
        <v>9</v>
      </c>
      <c r="M19" s="13">
        <f t="array" ref="M19">INDEX(L:L,MIN(IF(ISNUMBER(L19:L215),ROW(L19:L215),"")))</f>
        <v>9</v>
      </c>
      <c r="N19" s="14">
        <f>IF('Données projet'!$A$36&gt;35,N18+M19-V18,IF(A19&lt;'Données projet'!$A$36,$K$205^A19,IF(A19='Données projet'!$A$36,'Données projet'!$B$36,N18+M19-V18)))</f>
        <v>82</v>
      </c>
      <c r="O19" s="14">
        <f>N19*VLOOKUP('Données projet'!$B$9,Paramètres!$A$1:$I$89,3,0)*VLOOKUP('Données projet'!$B$9,Paramètres!$A$1:$I$89,5,0)</f>
        <v>49.036000000000001</v>
      </c>
      <c r="P19" s="14">
        <f t="shared" si="33"/>
        <v>14.364521080802803</v>
      </c>
      <c r="Q19" s="22">
        <f t="shared" si="2"/>
        <v>110.42257421573156</v>
      </c>
      <c r="R19" s="62">
        <f t="shared" si="0"/>
        <v>403.75590754906489</v>
      </c>
      <c r="S19" s="62">
        <f ca="1">AVERAGE(OFFSET($R$3,0,0,'Données projet'!$E$9+1,1))-AVERAGE(OFFSET($H$3,0,0,'Données projet'!$E$9+1,1))</f>
        <v>217.62295992724461</v>
      </c>
      <c r="T19" s="62">
        <f t="shared" si="34"/>
        <v>198.62788037979772</v>
      </c>
      <c r="U19" s="16">
        <f>IF(ISNA(VLOOKUP(A19,'Données projet'!$A$35:$I$55,3,0)),0,VLOOKUP(A19,'Données projet'!$A$35:$I$55,3,0))</f>
        <v>2</v>
      </c>
      <c r="V19" s="16">
        <f>IF(ISNA(VLOOKUP(A19,'Données projet'!$A$35:$I$55,4,0)),0,VLOOKUP(A19,'Données projet'!$A$35:$I$55,4,0))</f>
        <v>25</v>
      </c>
      <c r="W19" s="17">
        <f>IF(ISNA(VLOOKUP(A19,'Données projet'!$A$35:$I$55,5,0)),0%,VLOOKUP(A19,'Données projet'!$A$35:$I$55,5,0)*VLOOKUP('Données projet'!$B$9,Paramètres!$A$1:$I$89,7,0))</f>
        <v>0.1125</v>
      </c>
      <c r="X19" s="17">
        <f>IF(ISNA(VLOOKUP(A19,'Données projet'!$A$35:$I$55,6,0)),0%,VLOOKUP(A19,'Données projet'!$A$35:$I$55,6,0)*VLOOKUP('Données projet'!$B$9,Paramètres!$A$1:$I$89,7,0))</f>
        <v>0.13500000000000001</v>
      </c>
      <c r="Y19" s="17">
        <f>IF(ISNA(VLOOKUP(A19,'Données projet'!$A$35:$I$55,7,0)),0%,VLOOKUP(A19,'Données projet'!$A$35:$I$55,7,0))</f>
        <v>0.45</v>
      </c>
      <c r="Z19" s="23">
        <f>EXP(-LN(2)/35)*Z18+(1-EXP(-LN(2)/35))/(LN(2)/35)*V19*W19*VLOOKUP('Données projet'!$B$9,Paramètres!$A$1:$I$89,3,0)*0.475*44/12</f>
        <v>2.2311155934923774</v>
      </c>
      <c r="AA19" s="23">
        <f>EXP(-LN(2)/25)*AA18+(1-EXP(-LN(2)/25))/(LN(2)/25)*Calculateur!V19*Calculateur!X19*VLOOKUP('Données projet'!$B$9,Paramètres!$A$1:$I$89,3,0)*0.475*44/12</f>
        <v>2.6667970095349296</v>
      </c>
      <c r="AB19" s="23">
        <f>EXP(-LN(2)/2)*AB18+(1-EXP(-LN(2)/2))/(LN(2)/2)*V19*Y19*VLOOKUP('Données projet'!$B$9,Paramètres!$A$1:$I$89,3,0)*0.475*44/12</f>
        <v>7.6170927816092986</v>
      </c>
      <c r="AC19" s="24">
        <f t="shared" si="3"/>
        <v>12.515005384636606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8.16</v>
      </c>
      <c r="AI19" s="14">
        <f>IF('Données projet'!$A$62&gt;35,AI18+AH19-AQ18,IF(A19&lt;'Données projet'!$A$62,$AF$205^A19,IF(A19='Données projet'!$A$62,'Données projet'!$B$62,AI18+AH19-AQ18)))</f>
        <v>30.072068858896934</v>
      </c>
      <c r="AJ19" s="14">
        <f>AI19*VLOOKUP('Données projet'!$B$10,Paramètres!$A$1:$I$89,3,0)*VLOOKUP('Données projet'!$B$10,Paramètres!$A$1:$I$89,5,0)</f>
        <v>14.073728225963766</v>
      </c>
      <c r="AK19" s="14">
        <f t="shared" si="35"/>
        <v>4.767452765134359</v>
      </c>
      <c r="AL19" s="22">
        <f t="shared" si="4"/>
        <v>32.815056892829233</v>
      </c>
      <c r="AM19" s="62">
        <f t="shared" si="5"/>
        <v>326.14839022616252</v>
      </c>
      <c r="AN19" s="62">
        <f ca="1">AVERAGE(OFFSET($AM$3,0,0,'Données projet'!$E$10+1,1))-AVERAGE(OFFSET($H$3,0,0,'Données projet'!$E$10+1,1))</f>
        <v>201.92726874818067</v>
      </c>
      <c r="AO19" s="62">
        <f t="shared" si="36"/>
        <v>197.16147791248727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1.8846153846153846</v>
      </c>
      <c r="BD19" s="13">
        <f>IF('Données projet'!$A$88&gt;35,BD18+BC19-BL18,IF(A19&lt;'Données projet'!$A$88,$BA$205^A19,IF(A19='Données projet'!$A$88,'Données projet'!$B$88,BD18+BC19-BL18)))</f>
        <v>30.153846153846146</v>
      </c>
      <c r="BE19" s="14">
        <f>BD19*VLOOKUP('Données projet'!$B$11,Paramètres!$A$1:$I$89,3,0)*VLOOKUP('Données projet'!$B$11,Paramètres!$A$1:$I$89,5,0)</f>
        <v>30.575999999999993</v>
      </c>
      <c r="BF19" s="14">
        <f t="shared" si="37"/>
        <v>9.4631216842413828</v>
      </c>
      <c r="BG19" s="22">
        <f t="shared" si="7"/>
        <v>69.734803600053738</v>
      </c>
      <c r="BH19" s="62">
        <f t="shared" si="8"/>
        <v>363.06813693338705</v>
      </c>
      <c r="BI19" s="62">
        <f ca="1">AVERAGE(OFFSET($BH$3,0,0,'Données projet'!$E$11+1,1))-AVERAGE(OFFSET($H$3,0,0,'Données projet'!$E$11+1,1))</f>
        <v>234.66244049825644</v>
      </c>
      <c r="BJ19" s="62">
        <f t="shared" si="38"/>
        <v>87.037318032671465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</v>
      </c>
      <c r="N20" s="14">
        <f>IF('Données projet'!$A$36&gt;35,N19+M20-V19,IF(A20&lt;'Données projet'!$A$36,$K$205^A20,IF(A20='Données projet'!$A$36,'Données projet'!$B$36,N19+M20-V19)))</f>
        <v>72</v>
      </c>
      <c r="O20" s="14">
        <f>N20*VLOOKUP('Données projet'!$B$9,Paramètres!$A$1:$I$89,3,0)*VLOOKUP('Données projet'!$B$9,Paramètres!$A$1:$I$89,5,0)</f>
        <v>43.056000000000004</v>
      </c>
      <c r="P20" s="14">
        <f t="shared" si="33"/>
        <v>12.805136870729187</v>
      </c>
      <c r="Q20" s="22">
        <f t="shared" si="2"/>
        <v>97.291480049853348</v>
      </c>
      <c r="R20" s="62">
        <f t="shared" si="0"/>
        <v>390.62481338318668</v>
      </c>
      <c r="S20" s="62">
        <f ca="1">AVERAGE(OFFSET($R$3,0,0,'Données projet'!$E$9+1,1))-AVERAGE(OFFSET($H$3,0,0,'Données projet'!$E$9+1,1))</f>
        <v>217.62295992724461</v>
      </c>
      <c r="T20" s="62">
        <f t="shared" si="34"/>
        <v>198.62788037979772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2.1873647775501315</v>
      </c>
      <c r="AA20" s="23">
        <f>EXP(-LN(2)/25)*AA19+(1-EXP(-LN(2)/25))/(LN(2)/25)*Calculateur!V20*Calculateur!X20*VLOOKUP('Données projet'!$B$9,Paramètres!$A$1:$I$89,3,0)*0.475*44/12</f>
        <v>2.5938733050684371</v>
      </c>
      <c r="AB20" s="23">
        <f>EXP(-LN(2)/2)*AB19+(1-EXP(-LN(2)/2))/(LN(2)/2)*V20*Y20*VLOOKUP('Données projet'!$B$9,Paramètres!$A$1:$I$89,3,0)*0.475*44/12</f>
        <v>5.3860979588030373</v>
      </c>
      <c r="AC20" s="24">
        <f t="shared" si="3"/>
        <v>10.167336041421606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8.16</v>
      </c>
      <c r="AI20" s="14">
        <f>IF('Données projet'!$A$62&gt;35,AI19+AH20-AQ19,IF(A20&lt;'Données projet'!$A$62,$AF$205^A20,IF(A20='Données projet'!$A$62,'Données projet'!$B$62,AI19+AH20-AQ19)))</f>
        <v>37.200477447764598</v>
      </c>
      <c r="AJ20" s="14">
        <f>AI20*VLOOKUP('Données projet'!$B$10,Paramètres!$A$1:$I$89,3,0)*VLOOKUP('Données projet'!$B$10,Paramètres!$A$1:$I$89,5,0)</f>
        <v>17.409823445553833</v>
      </c>
      <c r="AK20" s="14">
        <f t="shared" si="35"/>
        <v>5.753312545647546</v>
      </c>
      <c r="AL20" s="22">
        <f t="shared" si="4"/>
        <v>40.342461851342399</v>
      </c>
      <c r="AM20" s="62">
        <f t="shared" si="5"/>
        <v>333.67579518467574</v>
      </c>
      <c r="AN20" s="62">
        <f ca="1">AVERAGE(OFFSET($AM$3,0,0,'Données projet'!$E$10+1,1))-AVERAGE(OFFSET($H$3,0,0,'Données projet'!$E$10+1,1))</f>
        <v>201.92726874818067</v>
      </c>
      <c r="AO20" s="62">
        <f t="shared" si="36"/>
        <v>197.16147791248727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1.8846153846153846</v>
      </c>
      <c r="BD20" s="13">
        <f>IF('Données projet'!$A$88&gt;35,BD19+BC20-BL19,IF(A20&lt;'Données projet'!$A$88,$BA$205^A20,IF(A20='Données projet'!$A$88,'Données projet'!$B$88,BD19+BC20-BL19)))</f>
        <v>32.038461538461533</v>
      </c>
      <c r="BE20" s="14">
        <f>BD20*VLOOKUP('Données projet'!$B$11,Paramètres!$A$1:$I$89,3,0)*VLOOKUP('Données projet'!$B$11,Paramètres!$A$1:$I$89,5,0)</f>
        <v>32.486999999999995</v>
      </c>
      <c r="BF20" s="14">
        <f t="shared" si="37"/>
        <v>9.9838644242217693</v>
      </c>
      <c r="BG20" s="22">
        <f t="shared" si="7"/>
        <v>73.970088872186224</v>
      </c>
      <c r="BH20" s="62">
        <f t="shared" si="8"/>
        <v>367.30342220551955</v>
      </c>
      <c r="BI20" s="62">
        <f ca="1">AVERAGE(OFFSET($BH$3,0,0,'Données projet'!$E$11+1,1))-AVERAGE(OFFSET($H$3,0,0,'Données projet'!$E$11+1,1))</f>
        <v>234.66244049825644</v>
      </c>
      <c r="BJ20" s="62">
        <f t="shared" si="38"/>
        <v>87.037318032671465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</v>
      </c>
      <c r="N21" s="14">
        <f>IF('Données projet'!$A$36&gt;35,N20+M21-V20,IF(A21&lt;'Données projet'!$A$36,$K$205^A21,IF(A21='Données projet'!$A$36,'Données projet'!$B$36,N20+M21-V20)))</f>
        <v>87</v>
      </c>
      <c r="O21" s="14">
        <f>N21*VLOOKUP('Données projet'!$B$9,Paramètres!$A$1:$I$89,3,0)*VLOOKUP('Données projet'!$B$9,Paramètres!$A$1:$I$89,5,0)</f>
        <v>52.026000000000003</v>
      </c>
      <c r="P21" s="14">
        <f t="shared" si="33"/>
        <v>15.135767316300118</v>
      </c>
      <c r="Q21" s="22">
        <f t="shared" si="2"/>
        <v>116.97341140922269</v>
      </c>
      <c r="R21" s="62">
        <f t="shared" si="0"/>
        <v>410.30674474255602</v>
      </c>
      <c r="S21" s="62">
        <f ca="1">AVERAGE(OFFSET($R$3,0,0,'Données projet'!$E$9+1,1))-AVERAGE(OFFSET($H$3,0,0,'Données projet'!$E$9+1,1))</f>
        <v>217.62295992724461</v>
      </c>
      <c r="T21" s="62">
        <f t="shared" si="34"/>
        <v>198.62788037979772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2.1444718884231504</v>
      </c>
      <c r="AA21" s="23">
        <f>EXP(-LN(2)/25)*AA20+(1-EXP(-LN(2)/25))/(LN(2)/25)*Calculateur!V21*Calculateur!X21*VLOOKUP('Données projet'!$B$9,Paramètres!$A$1:$I$89,3,0)*0.475*44/12</f>
        <v>2.5229437031354718</v>
      </c>
      <c r="AB21" s="23">
        <f>EXP(-LN(2)/2)*AB20+(1-EXP(-LN(2)/2))/(LN(2)/2)*V21*Y21*VLOOKUP('Données projet'!$B$9,Paramètres!$A$1:$I$89,3,0)*0.475*44/12</f>
        <v>3.8085463908046497</v>
      </c>
      <c r="AC21" s="24">
        <f t="shared" si="3"/>
        <v>8.4759619823632733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8.16</v>
      </c>
      <c r="AI21" s="14">
        <f>IF('Données projet'!$A$62&gt;35,AI20+AH21-AQ20,IF(A21&lt;'Données projet'!$A$62,$AF$205^A21,IF(A21='Données projet'!$A$62,'Données projet'!$B$62,AI20+AH21-AQ20)))</f>
        <v>46.018633730689196</v>
      </c>
      <c r="AJ21" s="14">
        <f>AI21*VLOOKUP('Données projet'!$B$10,Paramètres!$A$1:$I$89,3,0)*VLOOKUP('Données projet'!$B$10,Paramètres!$A$1:$I$89,5,0)</f>
        <v>21.536720585962545</v>
      </c>
      <c r="AK21" s="14">
        <f t="shared" si="35"/>
        <v>6.9430379027515308</v>
      </c>
      <c r="AL21" s="22">
        <f t="shared" si="4"/>
        <v>49.602246034510351</v>
      </c>
      <c r="AM21" s="62">
        <f t="shared" si="5"/>
        <v>342.93557936784367</v>
      </c>
      <c r="AN21" s="62">
        <f ca="1">AVERAGE(OFFSET($AM$3,0,0,'Données projet'!$E$10+1,1))-AVERAGE(OFFSET($H$3,0,0,'Données projet'!$E$10+1,1))</f>
        <v>201.92726874818067</v>
      </c>
      <c r="AO21" s="62">
        <f t="shared" si="36"/>
        <v>197.16147791248727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1.8846153846153846</v>
      </c>
      <c r="BD21" s="13">
        <f>IF('Données projet'!$A$88&gt;35,BD20+BC21-BL20,IF(A21&lt;'Données projet'!$A$88,$BA$205^A21,IF(A21='Données projet'!$A$88,'Données projet'!$B$88,BD20+BC21-BL20)))</f>
        <v>33.92307692307692</v>
      </c>
      <c r="BE21" s="14">
        <f>BD21*VLOOKUP('Données projet'!$B$11,Paramètres!$A$1:$I$89,3,0)*VLOOKUP('Données projet'!$B$11,Paramètres!$A$1:$I$89,5,0)</f>
        <v>34.397999999999996</v>
      </c>
      <c r="BF21" s="14">
        <f t="shared" si="37"/>
        <v>10.501051622783342</v>
      </c>
      <c r="BG21" s="22">
        <f t="shared" si="7"/>
        <v>78.199181576347655</v>
      </c>
      <c r="BH21" s="62">
        <f t="shared" si="8"/>
        <v>371.53251490968097</v>
      </c>
      <c r="BI21" s="62">
        <f ca="1">AVERAGE(OFFSET($BH$3,0,0,'Données projet'!$E$11+1,1))-AVERAGE(OFFSET($H$3,0,0,'Données projet'!$E$11+1,1))</f>
        <v>234.66244049825644</v>
      </c>
      <c r="BJ21" s="62">
        <f t="shared" si="38"/>
        <v>87.037318032671465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</v>
      </c>
      <c r="N22" s="14">
        <f>IF('Données projet'!$A$36&gt;35,N21+M22-V21,IF(A22&lt;'Données projet'!$A$36,$K$205^A22,IF(A22='Données projet'!$A$36,'Données projet'!$B$36,N21+M22-V21)))</f>
        <v>102</v>
      </c>
      <c r="O22" s="14">
        <f>N22*VLOOKUP('Données projet'!$B$9,Paramètres!$A$1:$I$89,3,0)*VLOOKUP('Données projet'!$B$9,Paramètres!$A$1:$I$89,5,0)</f>
        <v>60.996000000000002</v>
      </c>
      <c r="P22" s="14">
        <f t="shared" si="33"/>
        <v>17.419847263429808</v>
      </c>
      <c r="Q22" s="22">
        <f t="shared" si="2"/>
        <v>136.57426731714023</v>
      </c>
      <c r="R22" s="62">
        <f t="shared" si="0"/>
        <v>429.90760065047357</v>
      </c>
      <c r="S22" s="62">
        <f ca="1">AVERAGE(OFFSET($R$3,0,0,'Données projet'!$E$9+1,1))-AVERAGE(OFFSET($H$3,0,0,'Données projet'!$E$9+1,1))</f>
        <v>217.62295992724461</v>
      </c>
      <c r="T22" s="62">
        <f t="shared" si="34"/>
        <v>198.62788037979772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2.1024201026898703</v>
      </c>
      <c r="AA22" s="23">
        <f>EXP(-LN(2)/25)*AA21+(1-EXP(-LN(2)/25))/(LN(2)/25)*Calculateur!V22*Calculateur!X22*VLOOKUP('Données projet'!$B$9,Paramètres!$A$1:$I$89,3,0)*0.475*44/12</f>
        <v>2.4539536748973894</v>
      </c>
      <c r="AB22" s="23">
        <f>EXP(-LN(2)/2)*AB21+(1-EXP(-LN(2)/2))/(LN(2)/2)*V22*Y22*VLOOKUP('Données projet'!$B$9,Paramètres!$A$1:$I$89,3,0)*0.475*44/12</f>
        <v>2.6930489794015191</v>
      </c>
      <c r="AC22" s="24">
        <f t="shared" si="3"/>
        <v>7.2494227569887784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8.16</v>
      </c>
      <c r="AI22" s="14">
        <f>IF('Données projet'!$A$62&gt;35,AI21+AH22-AQ21,IF(A22&lt;'Données projet'!$A$62,$AF$205^A22,IF(A22='Données projet'!$A$62,'Données projet'!$B$62,AI21+AH22-AQ21)))</f>
        <v>56.927082546532752</v>
      </c>
      <c r="AJ22" s="14">
        <f>AI22*VLOOKUP('Données projet'!$B$10,Paramètres!$A$1:$I$89,3,0)*VLOOKUP('Données projet'!$B$10,Paramètres!$A$1:$I$89,5,0)</f>
        <v>26.641874631777327</v>
      </c>
      <c r="AK22" s="14">
        <f t="shared" si="35"/>
        <v>8.3787861230505634</v>
      </c>
      <c r="AL22" s="22">
        <f t="shared" si="4"/>
        <v>60.994317481325233</v>
      </c>
      <c r="AM22" s="62">
        <f t="shared" si="5"/>
        <v>354.32765081465857</v>
      </c>
      <c r="AN22" s="62">
        <f ca="1">AVERAGE(OFFSET($AM$3,0,0,'Données projet'!$E$10+1,1))-AVERAGE(OFFSET($H$3,0,0,'Données projet'!$E$10+1,1))</f>
        <v>201.92726874818067</v>
      </c>
      <c r="AO22" s="62">
        <f t="shared" si="36"/>
        <v>197.16147791248727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1.8846153846153846</v>
      </c>
      <c r="BD22" s="13">
        <f>IF('Données projet'!$A$88&gt;35,BD21+BC22-BL21,IF(A22&lt;'Données projet'!$A$88,$BA$205^A22,IF(A22='Données projet'!$A$88,'Données projet'!$B$88,BD21+BC22-BL21)))</f>
        <v>35.807692307692307</v>
      </c>
      <c r="BE22" s="14">
        <f>BD22*VLOOKUP('Données projet'!$B$11,Paramètres!$A$1:$I$89,3,0)*VLOOKUP('Données projet'!$B$11,Paramètres!$A$1:$I$89,5,0)</f>
        <v>36.308999999999997</v>
      </c>
      <c r="BF22" s="14">
        <f t="shared" si="37"/>
        <v>11.014903323523386</v>
      </c>
      <c r="BG22" s="22">
        <f t="shared" si="7"/>
        <v>82.422464955136562</v>
      </c>
      <c r="BH22" s="62">
        <f t="shared" si="8"/>
        <v>375.75579828846986</v>
      </c>
      <c r="BI22" s="62">
        <f ca="1">AVERAGE(OFFSET($BH$3,0,0,'Données projet'!$E$11+1,1))-AVERAGE(OFFSET($H$3,0,0,'Données projet'!$E$11+1,1))</f>
        <v>234.66244049825644</v>
      </c>
      <c r="BJ22" s="62">
        <f t="shared" si="38"/>
        <v>87.037318032671465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117</v>
      </c>
      <c r="L23" s="13">
        <f>VLOOKUP(A23,'Données projet'!$A$35:$I$55,9,0)</f>
        <v>15</v>
      </c>
      <c r="M23" s="13">
        <f t="array" ref="M23">INDEX(L:L,MIN(IF(ISNUMBER(L23:L219),ROW(L23:L219),"")))</f>
        <v>15</v>
      </c>
      <c r="N23" s="14">
        <f>IF('Données projet'!$A$36&gt;35,N22+M23-V22,IF(A23&lt;'Données projet'!$A$36,$K$205^A23,IF(A23='Données projet'!$A$36,'Données projet'!$B$36,N22+M23-V22)))</f>
        <v>117</v>
      </c>
      <c r="O23" s="14">
        <f>N23*VLOOKUP('Données projet'!$B$9,Paramètres!$A$1:$I$89,3,0)*VLOOKUP('Données projet'!$B$9,Paramètres!$A$1:$I$89,5,0)</f>
        <v>69.966000000000008</v>
      </c>
      <c r="P23" s="14">
        <f t="shared" si="33"/>
        <v>19.665013934342461</v>
      </c>
      <c r="Q23" s="22">
        <f t="shared" si="2"/>
        <v>156.10734926897979</v>
      </c>
      <c r="R23" s="62">
        <f t="shared" si="0"/>
        <v>449.44068260231313</v>
      </c>
      <c r="S23" s="62">
        <f ca="1">AVERAGE(OFFSET($R$3,0,0,'Données projet'!$E$9+1,1))-AVERAGE(OFFSET($H$3,0,0,'Données projet'!$E$9+1,1))</f>
        <v>217.62295992724461</v>
      </c>
      <c r="T23" s="62">
        <f t="shared" si="34"/>
        <v>198.62788037979772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34</v>
      </c>
      <c r="W23" s="17">
        <f>IF(ISNA(VLOOKUP(A23,'Données projet'!$A$35:$I$55,5,0)),0%,VLOOKUP(A23,'Données projet'!$A$35:$I$55,5,0)*VLOOKUP('Données projet'!$B$9,Paramètres!$A$1:$I$89,7,0))</f>
        <v>0.22500000000000001</v>
      </c>
      <c r="X23" s="78">
        <f>IF(ISNA(VLOOKUP(A23,'Données projet'!$A$35:$I$55,6,0)),0%,VLOOKUP(A23,'Données projet'!$A$35:$I$55,6,0)*VLOOKUP('Données projet'!$B$9,Paramètres!$A$1:$I$89,7,0))</f>
        <v>9.0000000000000011E-2</v>
      </c>
      <c r="Y23" s="17">
        <f>IF(ISNA(VLOOKUP(A23,'Données projet'!$A$35:$I$55,7,0)),0%,VLOOKUP(A23,'Données projet'!$A$35:$I$55,7,0))</f>
        <v>0.3</v>
      </c>
      <c r="Z23" s="23">
        <f>EXP(-LN(2)/35)*Z22+(1-EXP(-LN(2)/35))/(LN(2)/35)*V23*W23*VLOOKUP('Données projet'!$B$9,Paramètres!$A$1:$I$89,3,0)*0.475*44/12</f>
        <v>8.1298273411250275</v>
      </c>
      <c r="AA23" s="23">
        <f>EXP(-LN(2)/25)*AA22+(1-EXP(-LN(2)/25))/(LN(2)/25)*Calculateur!V23*Calculateur!X23*VLOOKUP('Données projet'!$B$9,Paramètres!$A$1:$I$89,3,0)*0.475*44/12</f>
        <v>4.8047461379211747</v>
      </c>
      <c r="AB23" s="23">
        <f>EXP(-LN(2)/2)*AB22+(1-EXP(-LN(2)/2))/(LN(2)/2)*V23*Y23*VLOOKUP('Données projet'!$B$9,Paramètres!$A$1:$I$89,3,0)*0.475*44/12</f>
        <v>8.8104373173947579</v>
      </c>
      <c r="AC23" s="24">
        <f t="shared" si="3"/>
        <v>21.745010796440958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8.16</v>
      </c>
      <c r="AI23" s="14">
        <f>IF('Données projet'!$A$62&gt;35,AI22+AH23-AQ22,IF(A23&lt;'Données projet'!$A$62,$AF$205^A23,IF(A23='Données projet'!$A$62,'Données projet'!$B$62,AI22+AH23-AQ22)))</f>
        <v>70.421315552847034</v>
      </c>
      <c r="AJ23" s="14">
        <f>AI23*VLOOKUP('Données projet'!$B$10,Paramètres!$A$1:$I$89,3,0)*VLOOKUP('Données projet'!$B$10,Paramètres!$A$1:$I$89,5,0)</f>
        <v>32.957175678732412</v>
      </c>
      <c r="AK23" s="14">
        <f t="shared" si="35"/>
        <v>10.111432182734129</v>
      </c>
      <c r="AL23" s="22">
        <f t="shared" si="4"/>
        <v>75.011158692054224</v>
      </c>
      <c r="AM23" s="62">
        <f t="shared" si="5"/>
        <v>368.34449202538752</v>
      </c>
      <c r="AN23" s="62">
        <f ca="1">AVERAGE(OFFSET($AM$3,0,0,'Données projet'!$E$10+1,1))-AVERAGE(OFFSET($H$3,0,0,'Données projet'!$E$10+1,1))</f>
        <v>201.92726874818067</v>
      </c>
      <c r="AO23" s="62">
        <f t="shared" si="36"/>
        <v>197.16147791248727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1.8846153846153846</v>
      </c>
      <c r="BD23" s="13">
        <f>IF('Données projet'!$A$88&gt;35,BD22+BC23-BL22,IF(A23&lt;'Données projet'!$A$88,$BA$205^A23,IF(A23='Données projet'!$A$88,'Données projet'!$B$88,BD22+BC23-BL22)))</f>
        <v>37.692307692307693</v>
      </c>
      <c r="BE23" s="14">
        <f>BD23*VLOOKUP('Données projet'!$B$11,Paramètres!$A$1:$I$89,3,0)*VLOOKUP('Données projet'!$B$11,Paramètres!$A$1:$I$89,5,0)</f>
        <v>38.22</v>
      </c>
      <c r="BF23" s="14">
        <f t="shared" si="37"/>
        <v>11.525615099344257</v>
      </c>
      <c r="BG23" s="22">
        <f t="shared" si="7"/>
        <v>86.640279631357899</v>
      </c>
      <c r="BH23" s="62">
        <f t="shared" si="8"/>
        <v>379.9736129646912</v>
      </c>
      <c r="BI23" s="62">
        <f ca="1">AVERAGE(OFFSET($BH$3,0,0,'Données projet'!$E$11+1,1))-AVERAGE(OFFSET($H$3,0,0,'Données projet'!$E$11+1,1))</f>
        <v>234.66244049825644</v>
      </c>
      <c r="BJ23" s="62">
        <f t="shared" si="38"/>
        <v>87.037318032671465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17.75</v>
      </c>
      <c r="N24" s="14">
        <f>IF('Données projet'!$A$36&gt;35,N23+M24-V23,IF(A24&lt;'Données projet'!$A$36,$K$205^A24,IF(A24='Données projet'!$A$36,'Données projet'!$B$36,N23+M24-V23)))</f>
        <v>100.75</v>
      </c>
      <c r="O24" s="14">
        <f>N24*VLOOKUP('Données projet'!$B$9,Paramètres!$A$1:$I$89,3,0)*VLOOKUP('Données projet'!$B$9,Paramètres!$A$1:$I$89,5,0)</f>
        <v>60.2485</v>
      </c>
      <c r="P24" s="14">
        <f t="shared" si="33"/>
        <v>17.231082487953927</v>
      </c>
      <c r="Q24" s="22">
        <f t="shared" si="2"/>
        <v>134.94360616651974</v>
      </c>
      <c r="R24" s="62">
        <f t="shared" si="0"/>
        <v>428.27693949985303</v>
      </c>
      <c r="S24" s="62">
        <f ca="1">AVERAGE(OFFSET($R$3,0,0,'Données projet'!$E$9+1,1))-AVERAGE(OFFSET($H$3,0,0,'Données projet'!$E$9+1,1))</f>
        <v>217.62295992724461</v>
      </c>
      <c r="T24" s="62">
        <f t="shared" si="34"/>
        <v>198.62788037979772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7.9704063856706124</v>
      </c>
      <c r="AA24" s="23">
        <f>EXP(-LN(2)/25)*AA23+(1-EXP(-LN(2)/25))/(LN(2)/25)*Calculateur!V24*Calculateur!X24*VLOOKUP('Données projet'!$B$9,Paramètres!$A$1:$I$89,3,0)*0.475*44/12</f>
        <v>4.6733601021091022</v>
      </c>
      <c r="AB24" s="23">
        <f>EXP(-LN(2)/2)*AB23+(1-EXP(-LN(2)/2))/(LN(2)/2)*V24*Y24*VLOOKUP('Données projet'!$B$9,Paramètres!$A$1:$I$89,3,0)*0.475*44/12</f>
        <v>6.2299199723488483</v>
      </c>
      <c r="AC24" s="24">
        <f t="shared" si="3"/>
        <v>18.873686460128564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8.16</v>
      </c>
      <c r="AI24" s="14">
        <f>IF('Données projet'!$A$62&gt;35,AI23+AH24-AQ23,IF(A24&lt;'Données projet'!$A$62,$AF$205^A24,IF(A24='Données projet'!$A$62,'Données projet'!$B$62,AI23+AH24-AQ23)))</f>
        <v>87.114277815659833</v>
      </c>
      <c r="AJ24" s="14">
        <f>AI24*VLOOKUP('Données projet'!$B$10,Paramètres!$A$1:$I$89,3,0)*VLOOKUP('Données projet'!$B$10,Paramètres!$A$1:$I$89,5,0)</f>
        <v>40.769482017728798</v>
      </c>
      <c r="AK24" s="14">
        <f t="shared" si="35"/>
        <v>12.202371475357262</v>
      </c>
      <c r="AL24" s="22">
        <f t="shared" si="4"/>
        <v>92.259311500458224</v>
      </c>
      <c r="AM24" s="62">
        <f t="shared" si="5"/>
        <v>385.59264483379155</v>
      </c>
      <c r="AN24" s="62">
        <f ca="1">AVERAGE(OFFSET($AM$3,0,0,'Données projet'!$E$10+1,1))-AVERAGE(OFFSET($H$3,0,0,'Données projet'!$E$10+1,1))</f>
        <v>201.92726874818067</v>
      </c>
      <c r="AO24" s="62">
        <f t="shared" si="36"/>
        <v>197.16147791248727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1.8846153846153846</v>
      </c>
      <c r="BD24" s="13">
        <f>IF('Données projet'!$A$88&gt;35,BD23+BC24-BL23,IF(A24&lt;'Données projet'!$A$88,$BA$205^A24,IF(A24='Données projet'!$A$88,'Données projet'!$B$88,BD23+BC24-BL23)))</f>
        <v>39.57692307692308</v>
      </c>
      <c r="BE24" s="14">
        <f>BD24*VLOOKUP('Données projet'!$B$11,Paramètres!$A$1:$I$89,3,0)*VLOOKUP('Données projet'!$B$11,Paramètres!$A$1:$I$89,5,0)</f>
        <v>40.131</v>
      </c>
      <c r="BF24" s="14">
        <f t="shared" si="37"/>
        <v>12.033361861076633</v>
      </c>
      <c r="BG24" s="22">
        <f t="shared" si="7"/>
        <v>90.852930241375134</v>
      </c>
      <c r="BH24" s="62">
        <f t="shared" si="8"/>
        <v>384.18626357470845</v>
      </c>
      <c r="BI24" s="62">
        <f ca="1">AVERAGE(OFFSET($BH$3,0,0,'Données projet'!$E$11+1,1))-AVERAGE(OFFSET($H$3,0,0,'Données projet'!$E$11+1,1))</f>
        <v>234.66244049825644</v>
      </c>
      <c r="BJ24" s="62">
        <f t="shared" si="38"/>
        <v>87.037318032671465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17.75</v>
      </c>
      <c r="N25" s="14">
        <f>IF('Données projet'!$A$36&gt;35,N24+M25-V24,IF(A25&lt;'Données projet'!$A$36,$K$205^A25,IF(A25='Données projet'!$A$36,'Données projet'!$B$36,N24+M25-V24)))</f>
        <v>118.5</v>
      </c>
      <c r="O25" s="14">
        <f>N25*VLOOKUP('Données projet'!$B$9,Paramètres!$A$1:$I$89,3,0)*VLOOKUP('Données projet'!$B$9,Paramètres!$A$1:$I$89,5,0)</f>
        <v>70.863000000000014</v>
      </c>
      <c r="P25" s="14">
        <f t="shared" si="33"/>
        <v>19.887617813550754</v>
      </c>
      <c r="Q25" s="22">
        <f t="shared" si="2"/>
        <v>158.0573260252676</v>
      </c>
      <c r="R25" s="62">
        <f t="shared" si="0"/>
        <v>451.39065935860094</v>
      </c>
      <c r="S25" s="62">
        <f ca="1">AVERAGE(OFFSET($R$3,0,0,'Données projet'!$E$9+1,1))-AVERAGE(OFFSET($H$3,0,0,'Données projet'!$E$9+1,1))</f>
        <v>217.62295992724461</v>
      </c>
      <c r="T25" s="62">
        <f t="shared" si="34"/>
        <v>198.62788037979772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7.8141115779154768</v>
      </c>
      <c r="AA25" s="23">
        <f>EXP(-LN(2)/25)*AA24+(1-EXP(-LN(2)/25))/(LN(2)/25)*Calculateur!V25*Calculateur!X25*VLOOKUP('Données projet'!$B$9,Paramètres!$A$1:$I$89,3,0)*0.475*44/12</f>
        <v>4.5455668243556024</v>
      </c>
      <c r="AB25" s="23">
        <f>EXP(-LN(2)/2)*AB24+(1-EXP(-LN(2)/2))/(LN(2)/2)*V25*Y25*VLOOKUP('Données projet'!$B$9,Paramètres!$A$1:$I$89,3,0)*0.475*44/12</f>
        <v>4.4052186586973798</v>
      </c>
      <c r="AC25" s="24">
        <f t="shared" si="3"/>
        <v>16.764897060968458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8.16</v>
      </c>
      <c r="AI25" s="14">
        <f>IF('Données projet'!$A$62&gt;35,AI24+AH25-AQ24,IF(A25&lt;'Données projet'!$A$62,$AF$205^A25,IF(A25='Données projet'!$A$62,'Données projet'!$B$62,AI24+AH25-AQ24)))</f>
        <v>107.76420945514639</v>
      </c>
      <c r="AJ25" s="14">
        <f>AI25*VLOOKUP('Données projet'!$B$10,Paramètres!$A$1:$I$89,3,0)*VLOOKUP('Données projet'!$B$10,Paramètres!$A$1:$I$89,5,0)</f>
        <v>50.433650025008511</v>
      </c>
      <c r="AK25" s="14">
        <f t="shared" si="35"/>
        <v>14.725695325026711</v>
      </c>
      <c r="AL25" s="22">
        <f t="shared" si="4"/>
        <v>113.48585981797801</v>
      </c>
      <c r="AM25" s="62">
        <f t="shared" si="5"/>
        <v>406.81919315131131</v>
      </c>
      <c r="AN25" s="62">
        <f ca="1">AVERAGE(OFFSET($AM$3,0,0,'Données projet'!$E$10+1,1))-AVERAGE(OFFSET($H$3,0,0,'Données projet'!$E$10+1,1))</f>
        <v>201.92726874818067</v>
      </c>
      <c r="AO25" s="62">
        <f t="shared" si="36"/>
        <v>197.16147791248727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1.8846153846153846</v>
      </c>
      <c r="BD25" s="13">
        <f>IF('Données projet'!$A$88&gt;35,BD24+BC25-BL24,IF(A25&lt;'Données projet'!$A$88,$BA$205^A25,IF(A25='Données projet'!$A$88,'Données projet'!$B$88,BD24+BC25-BL24)))</f>
        <v>41.461538461538467</v>
      </c>
      <c r="BE25" s="14">
        <f>BD25*VLOOKUP('Données projet'!$B$11,Paramètres!$A$1:$I$89,3,0)*VLOOKUP('Données projet'!$B$11,Paramètres!$A$1:$I$89,5,0)</f>
        <v>42.042000000000009</v>
      </c>
      <c r="BF25" s="14">
        <f t="shared" si="37"/>
        <v>12.538300920096177</v>
      </c>
      <c r="BG25" s="22">
        <f t="shared" si="7"/>
        <v>95.060690769167522</v>
      </c>
      <c r="BH25" s="62">
        <f t="shared" si="8"/>
        <v>388.39402410250085</v>
      </c>
      <c r="BI25" s="62">
        <f ca="1">AVERAGE(OFFSET($BH$3,0,0,'Données projet'!$E$11+1,1))-AVERAGE(OFFSET($H$3,0,0,'Données projet'!$E$11+1,1))</f>
        <v>234.66244049825644</v>
      </c>
      <c r="BJ25" s="62">
        <f t="shared" si="38"/>
        <v>87.037318032671465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17.75</v>
      </c>
      <c r="N26" s="14">
        <f>IF('Données projet'!$A$36&gt;35,N25+M26-V25,IF(A26&lt;'Données projet'!$A$36,$K$205^A26,IF(A26='Données projet'!$A$36,'Données projet'!$B$36,N25+M26-V25)))</f>
        <v>136.25</v>
      </c>
      <c r="O26" s="14">
        <f>N26*VLOOKUP('Données projet'!$B$9,Paramètres!$A$1:$I$89,3,0)*VLOOKUP('Données projet'!$B$9,Paramètres!$A$1:$I$89,5,0)</f>
        <v>81.477500000000006</v>
      </c>
      <c r="P26" s="14">
        <f t="shared" si="33"/>
        <v>22.498054894971787</v>
      </c>
      <c r="Q26" s="22">
        <f t="shared" si="2"/>
        <v>181.09075810874253</v>
      </c>
      <c r="R26" s="62">
        <f t="shared" si="0"/>
        <v>474.42409144207585</v>
      </c>
      <c r="S26" s="62">
        <f ca="1">AVERAGE(OFFSET($R$3,0,0,'Données projet'!$E$9+1,1))-AVERAGE(OFFSET($H$3,0,0,'Données projet'!$E$9+1,1))</f>
        <v>217.62295992724461</v>
      </c>
      <c r="T26" s="62">
        <f t="shared" si="34"/>
        <v>198.62788037979772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7.6608816160100002</v>
      </c>
      <c r="AA26" s="23">
        <f>EXP(-LN(2)/25)*AA25+(1-EXP(-LN(2)/25))/(LN(2)/25)*Calculateur!V26*Calculateur!X26*VLOOKUP('Données projet'!$B$9,Paramètres!$A$1:$I$89,3,0)*0.475*44/12</f>
        <v>4.4212680605026282</v>
      </c>
      <c r="AB26" s="23">
        <f>EXP(-LN(2)/2)*AB25+(1-EXP(-LN(2)/2))/(LN(2)/2)*V26*Y26*VLOOKUP('Données projet'!$B$9,Paramètres!$A$1:$I$89,3,0)*0.475*44/12</f>
        <v>3.1149599861744246</v>
      </c>
      <c r="AC26" s="24">
        <f t="shared" si="3"/>
        <v>15.197109662687053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8.16</v>
      </c>
      <c r="AI26" s="14">
        <f>IF('Données projet'!$A$62&gt;35,AI25+AH26-AQ25,IF(A26&lt;'Données projet'!$A$62,$AF$205^A26,IF(A26='Données projet'!$A$62,'Données projet'!$B$62,AI25+AH26-AQ25)))</f>
        <v>133.30908699107715</v>
      </c>
      <c r="AJ26" s="14">
        <f>AI26*VLOOKUP('Données projet'!$B$10,Paramètres!$A$1:$I$89,3,0)*VLOOKUP('Données projet'!$B$10,Paramètres!$A$1:$I$89,5,0)</f>
        <v>62.388652711824108</v>
      </c>
      <c r="AK26" s="14">
        <f t="shared" si="35"/>
        <v>17.770816373148048</v>
      </c>
      <c r="AL26" s="22">
        <f t="shared" si="4"/>
        <v>139.61107532299317</v>
      </c>
      <c r="AM26" s="62">
        <f t="shared" si="5"/>
        <v>432.94440865632646</v>
      </c>
      <c r="AN26" s="62">
        <f ca="1">AVERAGE(OFFSET($AM$3,0,0,'Données projet'!$E$10+1,1))-AVERAGE(OFFSET($H$3,0,0,'Données projet'!$E$10+1,1))</f>
        <v>201.92726874818067</v>
      </c>
      <c r="AO26" s="62">
        <f t="shared" si="36"/>
        <v>197.16147791248727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1.8846153846153846</v>
      </c>
      <c r="BD26" s="13">
        <f>IF('Données projet'!$A$88&gt;35,BD25+BC26-BL25,IF(A26&lt;'Données projet'!$A$88,$BA$205^A26,IF(A26='Données projet'!$A$88,'Données projet'!$B$88,BD25+BC26-BL25)))</f>
        <v>43.346153846153854</v>
      </c>
      <c r="BE26" s="14">
        <f>BD26*VLOOKUP('Données projet'!$B$11,Paramètres!$A$1:$I$89,3,0)*VLOOKUP('Données projet'!$B$11,Paramètres!$A$1:$I$89,5,0)</f>
        <v>43.95300000000001</v>
      </c>
      <c r="BF26" s="14">
        <f t="shared" si="37"/>
        <v>13.040574478360249</v>
      </c>
      <c r="BG26" s="22">
        <f t="shared" si="7"/>
        <v>99.263808883144108</v>
      </c>
      <c r="BH26" s="62">
        <f t="shared" si="8"/>
        <v>392.59714221647744</v>
      </c>
      <c r="BI26" s="62">
        <f ca="1">AVERAGE(OFFSET($BH$3,0,0,'Données projet'!$E$11+1,1))-AVERAGE(OFFSET($H$3,0,0,'Données projet'!$E$11+1,1))</f>
        <v>234.66244049825644</v>
      </c>
      <c r="BJ26" s="62">
        <f t="shared" si="38"/>
        <v>87.037318032671465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154</v>
      </c>
      <c r="L27" s="13">
        <f>VLOOKUP(A27,'Données projet'!$A$35:$I$55,9,0)</f>
        <v>17.75</v>
      </c>
      <c r="M27" s="13">
        <f t="array" ref="M27">INDEX(L:L,MIN(IF(ISNUMBER(L27:L223),ROW(L27:L223),"")))</f>
        <v>17.75</v>
      </c>
      <c r="N27" s="14">
        <f>IF('Données projet'!$A$36&gt;35,N26+M27-V26,IF(A27&lt;'Données projet'!$A$36,$K$205^A27,IF(A27='Données projet'!$A$36,'Données projet'!$B$36,N26+M27-V26)))</f>
        <v>154</v>
      </c>
      <c r="O27" s="14">
        <f>N27*VLOOKUP('Données projet'!$B$9,Paramètres!$A$1:$I$89,3,0)*VLOOKUP('Données projet'!$B$9,Paramètres!$A$1:$I$89,5,0)</f>
        <v>92.092000000000013</v>
      </c>
      <c r="P27" s="14">
        <f t="shared" si="33"/>
        <v>25.069088296004463</v>
      </c>
      <c r="Q27" s="22">
        <f t="shared" si="2"/>
        <v>204.05556211554111</v>
      </c>
      <c r="R27" s="62">
        <f t="shared" si="0"/>
        <v>497.38889544887445</v>
      </c>
      <c r="S27" s="62">
        <f ca="1">AVERAGE(OFFSET($R$3,0,0,'Données projet'!$E$9+1,1))-AVERAGE(OFFSET($H$3,0,0,'Données projet'!$E$9+1,1))</f>
        <v>217.62295992724461</v>
      </c>
      <c r="T27" s="62">
        <f t="shared" si="34"/>
        <v>198.62788037979772</v>
      </c>
      <c r="U27" s="16">
        <f>IF(ISNA(VLOOKUP(A27,'Données projet'!$A$35:$I$55,3,0)),0,VLOOKUP(A27,'Données projet'!$A$35:$I$55,3,0))</f>
        <v>4</v>
      </c>
      <c r="V27" s="16">
        <f>IF(ISNA(VLOOKUP(A27,'Données projet'!$A$35:$I$55,4,0)),0,VLOOKUP(A27,'Données projet'!$A$35:$I$55,4,0))</f>
        <v>43</v>
      </c>
      <c r="W27" s="17">
        <f>IF(ISNA(VLOOKUP(A27,'Données projet'!$A$35:$I$55,5,0)),0%,VLOOKUP(A27,'Données projet'!$A$35:$I$55,5,0)*VLOOKUP('Données projet'!$B$9,Paramètres!$A$1:$I$89,7,0))</f>
        <v>0.315</v>
      </c>
      <c r="X27" s="17">
        <f>IF(ISNA(VLOOKUP(A27,'Données projet'!$A$35:$I$55,6,0)),0%,VLOOKUP(A27,'Données projet'!$A$35:$I$55,6,0)*VLOOKUP('Données projet'!$B$9,Paramètres!$A$1:$I$89,7,0))</f>
        <v>5.3999999999999999E-2</v>
      </c>
      <c r="Y27" s="17">
        <f>IF(ISNA(VLOOKUP(A27,'Données projet'!$A$35:$I$55,7,0)),0%,VLOOKUP(A27,'Données projet'!$A$35:$I$55,7,0))</f>
        <v>0.18</v>
      </c>
      <c r="Z27" s="23">
        <f>EXP(-LN(2)/35)*Z26+(1-EXP(-LN(2)/35))/(LN(2)/35)*V27*W27*VLOOKUP('Données projet'!$B$9,Paramètres!$A$1:$I$89,3,0)*0.475*44/12</f>
        <v>18.255709098455728</v>
      </c>
      <c r="AA27" s="23">
        <f>EXP(-LN(2)/25)*AA26+(1-EXP(-LN(2)/25))/(LN(2)/25)*Calculateur!V27*Calculateur!X27*VLOOKUP('Données projet'!$B$9,Paramètres!$A$1:$I$89,3,0)*0.475*44/12</f>
        <v>6.1351245954438323</v>
      </c>
      <c r="AB27" s="23">
        <f>EXP(-LN(2)/2)*AB26+(1-EXP(-LN(2)/2))/(LN(2)/2)*V27*Y27*VLOOKUP('Données projet'!$B$9,Paramètres!$A$1:$I$89,3,0)*0.475*44/12</f>
        <v>7.4431691630958881</v>
      </c>
      <c r="AC27" s="24">
        <f t="shared" si="3"/>
        <v>31.834002856995447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8.16</v>
      </c>
      <c r="AI27" s="14">
        <f>IF('Données projet'!$A$62&gt;35,AI26+AH27-AQ26,IF(A27&lt;'Données projet'!$A$62,$AF$205^A27,IF(A27='Données projet'!$A$62,'Données projet'!$B$62,AI26+AH27-AQ26)))</f>
        <v>164.90922880839534</v>
      </c>
      <c r="AJ27" s="14">
        <f>AI27*VLOOKUP('Données projet'!$B$10,Paramètres!$A$1:$I$89,3,0)*VLOOKUP('Données projet'!$B$10,Paramètres!$A$1:$I$89,5,0)</f>
        <v>77.177519082329013</v>
      </c>
      <c r="AK27" s="14">
        <f t="shared" si="35"/>
        <v>21.445636867919784</v>
      </c>
      <c r="AL27" s="22">
        <f t="shared" si="4"/>
        <v>171.76866328001665</v>
      </c>
      <c r="AM27" s="62">
        <f t="shared" si="5"/>
        <v>465.10199661334997</v>
      </c>
      <c r="AN27" s="62">
        <f ca="1">AVERAGE(OFFSET($AM$3,0,0,'Données projet'!$E$10+1,1))-AVERAGE(OFFSET($H$3,0,0,'Données projet'!$E$10+1,1))</f>
        <v>201.92726874818067</v>
      </c>
      <c r="AO27" s="62">
        <f t="shared" si="36"/>
        <v>197.16147791248727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1.8846153846153846</v>
      </c>
      <c r="BD27" s="13">
        <f>IF('Données projet'!$A$88&gt;35,BD26+BC27-BL26,IF(A27&lt;'Données projet'!$A$88,$BA$205^A27,IF(A27='Données projet'!$A$88,'Données projet'!$B$88,BD26+BC27-BL26)))</f>
        <v>45.230769230769241</v>
      </c>
      <c r="BE27" s="14">
        <f>BD27*VLOOKUP('Données projet'!$B$11,Paramètres!$A$1:$I$89,3,0)*VLOOKUP('Données projet'!$B$11,Paramètres!$A$1:$I$89,5,0)</f>
        <v>45.864000000000011</v>
      </c>
      <c r="BF27" s="14">
        <f t="shared" si="37"/>
        <v>13.540311673175401</v>
      </c>
      <c r="BG27" s="22">
        <f t="shared" si="7"/>
        <v>103.46250949744717</v>
      </c>
      <c r="BH27" s="62">
        <f t="shared" si="8"/>
        <v>396.79584283078049</v>
      </c>
      <c r="BI27" s="62">
        <f ca="1">AVERAGE(OFFSET($BH$3,0,0,'Données projet'!$E$11+1,1))-AVERAGE(OFFSET($H$3,0,0,'Données projet'!$E$11+1,1))</f>
        <v>234.66244049825644</v>
      </c>
      <c r="BJ27" s="62">
        <f t="shared" si="38"/>
        <v>87.037318032671465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20.25</v>
      </c>
      <c r="N28" s="14">
        <f>IF('Données projet'!$A$36&gt;35,N27+M28-V27,IF(A28&lt;'Données projet'!$A$36,$K$205^A28,IF(A28='Données projet'!$A$36,'Données projet'!$B$36,N27+M28-V27)))</f>
        <v>131.25</v>
      </c>
      <c r="O28" s="14">
        <f>N28*VLOOKUP('Données projet'!$B$9,Paramètres!$A$1:$I$89,3,0)*VLOOKUP('Données projet'!$B$9,Paramètres!$A$1:$I$89,5,0)</f>
        <v>78.487499999999997</v>
      </c>
      <c r="P28" s="14">
        <f t="shared" si="33"/>
        <v>21.766960201033406</v>
      </c>
      <c r="Q28" s="22">
        <f t="shared" si="2"/>
        <v>174.60985151679984</v>
      </c>
      <c r="R28" s="62">
        <f t="shared" si="0"/>
        <v>467.94318485013315</v>
      </c>
      <c r="S28" s="62">
        <f ca="1">AVERAGE(OFFSET($R$3,0,0,'Données projet'!$E$9+1,1))-AVERAGE(OFFSET($H$3,0,0,'Données projet'!$E$9+1,1))</f>
        <v>217.62295992724461</v>
      </c>
      <c r="T28" s="62">
        <f t="shared" si="34"/>
        <v>198.62788037979772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17.897725777918083</v>
      </c>
      <c r="AA28" s="23">
        <f>EXP(-LN(2)/25)*AA27+(1-EXP(-LN(2)/25))/(LN(2)/25)*Calculateur!V28*Calculateur!X28*VLOOKUP('Données projet'!$B$9,Paramètres!$A$1:$I$89,3,0)*0.475*44/12</f>
        <v>5.9673592907492399</v>
      </c>
      <c r="AB28" s="23">
        <f>EXP(-LN(2)/2)*AB27+(1-EXP(-LN(2)/2))/(LN(2)/2)*V28*Y28*VLOOKUP('Données projet'!$B$9,Paramètres!$A$1:$I$89,3,0)*0.475*44/12</f>
        <v>5.2631153887437021</v>
      </c>
      <c r="AC28" s="24">
        <f t="shared" si="3"/>
        <v>29.128200457411026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204</v>
      </c>
      <c r="AG28" s="13">
        <f>VLOOKUP(A28,'Données projet'!$A$61:$I$81,9,0)</f>
        <v>8.16</v>
      </c>
      <c r="AH28" s="13">
        <f t="array" ref="AH28">INDEX(AG:AG,MIN(IF(ISNUMBER(AG28:AG224),ROW(AG28:AG224),"")))</f>
        <v>8.16</v>
      </c>
      <c r="AI28" s="14">
        <f>IF('Données projet'!$A$62&gt;35,AI27+AH28-AQ27,IF(A28&lt;'Données projet'!$A$62,$AF$205^A28,IF(A28='Données projet'!$A$62,'Données projet'!$B$62,AI27+AH28-AQ27)))</f>
        <v>204</v>
      </c>
      <c r="AJ28" s="14">
        <f>AI28*VLOOKUP('Données projet'!$B$10,Paramètres!$A$1:$I$89,3,0)*VLOOKUP('Données projet'!$B$10,Paramètres!$A$1:$I$89,5,0)</f>
        <v>95.471999999999994</v>
      </c>
      <c r="AK28" s="14">
        <f t="shared" si="35"/>
        <v>25.880372123231169</v>
      </c>
      <c r="AL28" s="22">
        <f t="shared" si="4"/>
        <v>211.35538144796092</v>
      </c>
      <c r="AM28" s="62">
        <f t="shared" si="5"/>
        <v>504.68871478129427</v>
      </c>
      <c r="AN28" s="62">
        <f ca="1">AVERAGE(OFFSET($AM$3,0,0,'Données projet'!$E$10+1,1))-AVERAGE(OFFSET($H$3,0,0,'Données projet'!$E$10+1,1))</f>
        <v>201.92726874818067</v>
      </c>
      <c r="AO28" s="62">
        <f t="shared" si="36"/>
        <v>197.16147791248727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20.399999999999999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0.22000000000000003</v>
      </c>
      <c r="AT28" s="17">
        <f>IF(ISNA(VLOOKUP(A28,'Données projet'!$A$61:$I$81,7,0)),0%,VLOOKUP(A28,'Données projet'!$A$61:$I$81,7,0))</f>
        <v>0.6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2.775324053053394</v>
      </c>
      <c r="AW28" s="23">
        <f>EXP(-LN(2)/2)*AW27+(1-EXP(-LN(2)/2))/(LN(2)/2)*AQ28*AT28*VLOOKUP('Données projet'!$B$10,Paramètres!$A$1:$I$89,3,0)*0.475*44/12</f>
        <v>6.4857889145668048</v>
      </c>
      <c r="AX28" s="23">
        <f t="shared" si="6"/>
        <v>9.2611129676201998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1.8846153846153846</v>
      </c>
      <c r="BD28" s="13">
        <f>IF('Données projet'!$A$88&gt;35,BD27+BC28-BL27,IF(A28&lt;'Données projet'!$A$88,$BA$205^A28,IF(A28='Données projet'!$A$88,'Données projet'!$B$88,BD27+BC28-BL27)))</f>
        <v>47.115384615384627</v>
      </c>
      <c r="BE28" s="14">
        <f>BD28*VLOOKUP('Données projet'!$B$11,Paramètres!$A$1:$I$89,3,0)*VLOOKUP('Données projet'!$B$11,Paramètres!$A$1:$I$89,5,0)</f>
        <v>47.775000000000013</v>
      </c>
      <c r="BF28" s="14">
        <f t="shared" si="37"/>
        <v>14.037630271567368</v>
      </c>
      <c r="BG28" s="22">
        <f t="shared" si="7"/>
        <v>107.65699772297984</v>
      </c>
      <c r="BH28" s="62">
        <f t="shared" si="8"/>
        <v>400.99033105631315</v>
      </c>
      <c r="BI28" s="62">
        <f ca="1">AVERAGE(OFFSET($BH$3,0,0,'Données projet'!$E$11+1,1))-AVERAGE(OFFSET($H$3,0,0,'Données projet'!$E$11+1,1))</f>
        <v>234.66244049825644</v>
      </c>
      <c r="BJ28" s="62">
        <f t="shared" si="38"/>
        <v>87.037318032671465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20.25</v>
      </c>
      <c r="N29" s="14">
        <f>IF('Données projet'!$A$36&gt;35,N28+M29-V28,IF(A29&lt;'Données projet'!$A$36,$K$205^A29,IF(A29='Données projet'!$A$36,'Données projet'!$B$36,N28+M29-V28)))</f>
        <v>151.5</v>
      </c>
      <c r="O29" s="14">
        <f>N29*VLOOKUP('Données projet'!$B$9,Paramètres!$A$1:$I$89,3,0)*VLOOKUP('Données projet'!$B$9,Paramètres!$A$1:$I$89,5,0)</f>
        <v>90.596999999999994</v>
      </c>
      <c r="P29" s="14">
        <f t="shared" si="33"/>
        <v>24.70915156921264</v>
      </c>
      <c r="Q29" s="22">
        <f t="shared" si="2"/>
        <v>200.82488064971199</v>
      </c>
      <c r="R29" s="62">
        <f t="shared" si="0"/>
        <v>494.1582139830453</v>
      </c>
      <c r="S29" s="62">
        <f ca="1">AVERAGE(OFFSET($R$3,0,0,'Données projet'!$E$9+1,1))-AVERAGE(OFFSET($H$3,0,0,'Données projet'!$E$9+1,1))</f>
        <v>217.62295992724461</v>
      </c>
      <c r="T29" s="62">
        <f t="shared" si="34"/>
        <v>198.62788037979772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17.546762291947914</v>
      </c>
      <c r="AA29" s="23">
        <f>EXP(-LN(2)/25)*AA28+(1-EXP(-LN(2)/25))/(LN(2)/25)*Calculateur!V29*Calculateur!X29*VLOOKUP('Données projet'!$B$9,Paramètres!$A$1:$I$89,3,0)*0.475*44/12</f>
        <v>5.8041815371339158</v>
      </c>
      <c r="AB29" s="23">
        <f>EXP(-LN(2)/2)*AB28+(1-EXP(-LN(2)/2))/(LN(2)/2)*V29*Y29*VLOOKUP('Données projet'!$B$9,Paramètres!$A$1:$I$89,3,0)*0.475*44/12</f>
        <v>3.721584581547944</v>
      </c>
      <c r="AC29" s="24">
        <f t="shared" si="3"/>
        <v>27.072528410629772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9.5000000000000036</v>
      </c>
      <c r="AI29" s="14">
        <f>IF('Données projet'!$A$62&gt;35,AI28+AH29-AQ28,IF(A29&lt;'Données projet'!$A$62,$AF$205^A29,IF(A29='Données projet'!$A$62,'Données projet'!$B$62,AI28+AH29-AQ28)))</f>
        <v>193.1</v>
      </c>
      <c r="AJ29" s="14">
        <f>AI29*VLOOKUP('Données projet'!$B$10,Paramètres!$A$1:$I$89,3,0)*VLOOKUP('Données projet'!$B$10,Paramètres!$A$1:$I$89,5,0)</f>
        <v>90.370799999999988</v>
      </c>
      <c r="AK29" s="14">
        <f t="shared" si="35"/>
        <v>24.654631614458758</v>
      </c>
      <c r="AL29" s="22">
        <f t="shared" si="4"/>
        <v>200.33596006184897</v>
      </c>
      <c r="AM29" s="62">
        <f t="shared" si="5"/>
        <v>493.66929339518231</v>
      </c>
      <c r="AN29" s="62">
        <f ca="1">AVERAGE(OFFSET($AM$3,0,0,'Données projet'!$E$10+1,1))-AVERAGE(OFFSET($H$3,0,0,'Données projet'!$E$10+1,1))</f>
        <v>201.92726874818067</v>
      </c>
      <c r="AO29" s="62">
        <f t="shared" si="36"/>
        <v>197.16147791248727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2.6994326708747001</v>
      </c>
      <c r="AW29" s="23">
        <f>EXP(-LN(2)/2)*AW28+(1-EXP(-LN(2)/2))/(LN(2)/2)*AQ29*AT29*VLOOKUP('Données projet'!$B$10,Paramètres!$A$1:$I$89,3,0)*0.475*44/12</f>
        <v>4.5861453228347253</v>
      </c>
      <c r="AX29" s="23">
        <f t="shared" si="6"/>
        <v>7.2855779937094258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1.8846153846153846</v>
      </c>
      <c r="BD29" s="13">
        <f>IF('Données projet'!$A$88&gt;35,BD28+BC29-BL28,IF(A29&lt;'Données projet'!$A$88,$BA$205^A29,IF(A29='Données projet'!$A$88,'Données projet'!$B$88,BD28+BC29-BL28)))</f>
        <v>49.000000000000014</v>
      </c>
      <c r="BE29" s="14">
        <f>BD29*VLOOKUP('Données projet'!$B$11,Paramètres!$A$1:$I$89,3,0)*VLOOKUP('Données projet'!$B$11,Paramètres!$A$1:$I$89,5,0)</f>
        <v>49.686000000000021</v>
      </c>
      <c r="BF29" s="14">
        <f t="shared" si="37"/>
        <v>14.532638085920611</v>
      </c>
      <c r="BG29" s="22">
        <f t="shared" si="7"/>
        <v>111.84746133297843</v>
      </c>
      <c r="BH29" s="62">
        <f t="shared" si="8"/>
        <v>405.18079466631173</v>
      </c>
      <c r="BI29" s="62">
        <f ca="1">AVERAGE(OFFSET($BH$3,0,0,'Données projet'!$E$11+1,1))-AVERAGE(OFFSET($H$3,0,0,'Données projet'!$E$11+1,1))</f>
        <v>234.66244049825644</v>
      </c>
      <c r="BJ29" s="62">
        <f t="shared" si="38"/>
        <v>87.037318032671465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20.25</v>
      </c>
      <c r="N30" s="14">
        <f>IF('Données projet'!$A$36&gt;35,N29+M30-V29,IF(A30&lt;'Données projet'!$A$36,$K$205^A30,IF(A30='Données projet'!$A$36,'Données projet'!$B$36,N29+M30-V29)))</f>
        <v>171.75</v>
      </c>
      <c r="O30" s="14">
        <f>N30*VLOOKUP('Données projet'!$B$9,Paramètres!$A$1:$I$89,3,0)*VLOOKUP('Données projet'!$B$9,Paramètres!$A$1:$I$89,5,0)</f>
        <v>102.70650000000002</v>
      </c>
      <c r="P30" s="14">
        <f t="shared" si="33"/>
        <v>27.60577828062107</v>
      </c>
      <c r="Q30" s="22">
        <f t="shared" si="2"/>
        <v>226.96055133874836</v>
      </c>
      <c r="R30" s="62">
        <f t="shared" si="0"/>
        <v>520.29388467208173</v>
      </c>
      <c r="S30" s="62">
        <f ca="1">AVERAGE(OFFSET($R$3,0,0,'Données projet'!$E$9+1,1))-AVERAGE(OFFSET($H$3,0,0,'Données projet'!$E$9+1,1))</f>
        <v>217.62295992724461</v>
      </c>
      <c r="T30" s="62">
        <f t="shared" si="34"/>
        <v>198.62788037979772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17.202680985871034</v>
      </c>
      <c r="AA30" s="23">
        <f>EXP(-LN(2)/25)*AA29+(1-EXP(-LN(2)/25))/(LN(2)/25)*Calculateur!V30*Calculateur!X30*VLOOKUP('Données projet'!$B$9,Paramètres!$A$1:$I$89,3,0)*0.475*44/12</f>
        <v>5.6454658877723478</v>
      </c>
      <c r="AB30" s="23">
        <f>EXP(-LN(2)/2)*AB29+(1-EXP(-LN(2)/2))/(LN(2)/2)*V30*Y30*VLOOKUP('Données projet'!$B$9,Paramètres!$A$1:$I$89,3,0)*0.475*44/12</f>
        <v>2.6315576943718511</v>
      </c>
      <c r="AC30" s="24">
        <f t="shared" si="3"/>
        <v>25.479704568015229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9.5000000000000036</v>
      </c>
      <c r="AI30" s="14">
        <f>IF('Données projet'!$A$62&gt;35,AI29+AH30-AQ29,IF(A30&lt;'Données projet'!$A$62,$AF$205^A30,IF(A30='Données projet'!$A$62,'Données projet'!$B$62,AI29+AH30-AQ29)))</f>
        <v>202.6</v>
      </c>
      <c r="AJ30" s="14">
        <f>AI30*VLOOKUP('Données projet'!$B$10,Paramètres!$A$1:$I$89,3,0)*VLOOKUP('Données projet'!$B$10,Paramètres!$A$1:$I$89,5,0)</f>
        <v>94.816800000000001</v>
      </c>
      <c r="AK30" s="14">
        <f t="shared" si="35"/>
        <v>25.723372733540568</v>
      </c>
      <c r="AL30" s="22">
        <f t="shared" si="4"/>
        <v>209.94080084424982</v>
      </c>
      <c r="AM30" s="62">
        <f t="shared" si="5"/>
        <v>503.27413417758316</v>
      </c>
      <c r="AN30" s="62">
        <f ca="1">AVERAGE(OFFSET($AM$3,0,0,'Données projet'!$E$10+1,1))-AVERAGE(OFFSET($H$3,0,0,'Données projet'!$E$10+1,1))</f>
        <v>201.92726874818067</v>
      </c>
      <c r="AO30" s="62">
        <f t="shared" si="36"/>
        <v>197.16147791248727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2.625616542532637</v>
      </c>
      <c r="AW30" s="23">
        <f>EXP(-LN(2)/2)*AW29+(1-EXP(-LN(2)/2))/(LN(2)/2)*AQ30*AT30*VLOOKUP('Données projet'!$B$10,Paramètres!$A$1:$I$89,3,0)*0.475*44/12</f>
        <v>3.2428944572834029</v>
      </c>
      <c r="AX30" s="23">
        <f t="shared" si="6"/>
        <v>5.8685109998160403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1.8846153846153846</v>
      </c>
      <c r="BD30" s="13">
        <f>IF('Données projet'!$A$88&gt;35,BD29+BC30-BL29,IF(A30&lt;'Données projet'!$A$88,$BA$205^A30,IF(A30='Données projet'!$A$88,'Données projet'!$B$88,BD29+BC30-BL29)))</f>
        <v>50.884615384615401</v>
      </c>
      <c r="BE30" s="14">
        <f>BD30*VLOOKUP('Données projet'!$B$11,Paramètres!$A$1:$I$89,3,0)*VLOOKUP('Données projet'!$B$11,Paramètres!$A$1:$I$89,5,0)</f>
        <v>51.597000000000016</v>
      </c>
      <c r="BF30" s="14">
        <f t="shared" si="37"/>
        <v>15.02543416570146</v>
      </c>
      <c r="BG30" s="22">
        <f t="shared" si="7"/>
        <v>116.03407283859674</v>
      </c>
      <c r="BH30" s="62">
        <f t="shared" si="8"/>
        <v>409.36740617193004</v>
      </c>
      <c r="BI30" s="62">
        <f ca="1">AVERAGE(OFFSET($BH$3,0,0,'Données projet'!$E$11+1,1))-AVERAGE(OFFSET($H$3,0,0,'Données projet'!$E$11+1,1))</f>
        <v>234.66244049825644</v>
      </c>
      <c r="BJ30" s="62">
        <f t="shared" si="38"/>
        <v>87.037318032671465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192</v>
      </c>
      <c r="L31" s="13">
        <f>VLOOKUP(A31,'Données projet'!$A$35:$I$55,9,0)</f>
        <v>20.25</v>
      </c>
      <c r="M31" s="13">
        <f t="array" ref="M31">INDEX(L:L,MIN(IF(ISNUMBER(L31:L227),ROW(L31:L227),"")))</f>
        <v>20.25</v>
      </c>
      <c r="N31" s="14">
        <f>IF('Données projet'!$A$36&gt;35,N30+M31-V30,IF(A31&lt;'Données projet'!$A$36,$K$205^A31,IF(A31='Données projet'!$A$36,'Données projet'!$B$36,N30+M31-V30)))</f>
        <v>192</v>
      </c>
      <c r="O31" s="14">
        <f>N31*VLOOKUP('Données projet'!$B$9,Paramètres!$A$1:$I$89,3,0)*VLOOKUP('Données projet'!$B$9,Paramètres!$A$1:$I$89,5,0)</f>
        <v>114.81600000000002</v>
      </c>
      <c r="P31" s="14">
        <f t="shared" si="33"/>
        <v>30.462826482209831</v>
      </c>
      <c r="Q31" s="22">
        <f t="shared" si="2"/>
        <v>253.02728945651543</v>
      </c>
      <c r="R31" s="62">
        <f t="shared" si="0"/>
        <v>546.36062278984878</v>
      </c>
      <c r="S31" s="62">
        <f ca="1">AVERAGE(OFFSET($R$3,0,0,'Données projet'!$E$9+1,1))-AVERAGE(OFFSET($H$3,0,0,'Données projet'!$E$9+1,1))</f>
        <v>217.62295992724461</v>
      </c>
      <c r="T31" s="62">
        <f t="shared" si="34"/>
        <v>198.62788037979772</v>
      </c>
      <c r="U31" s="16">
        <f>IF(ISNA(VLOOKUP(A31,'Données projet'!$A$35:$I$55,3,0)),0,VLOOKUP(A31,'Données projet'!$A$35:$I$55,3,0))</f>
        <v>5</v>
      </c>
      <c r="V31" s="16">
        <f>IF(ISNA(VLOOKUP(A31,'Données projet'!$A$35:$I$55,4,0)),0,VLOOKUP(A31,'Données projet'!$A$35:$I$55,4,0))</f>
        <v>41</v>
      </c>
      <c r="W31" s="17">
        <f>IF(ISNA(VLOOKUP(A31,'Données projet'!$A$35:$I$55,5,0)),0%,VLOOKUP(A31,'Données projet'!$A$35:$I$55,5,0)*VLOOKUP('Données projet'!$B$9,Paramètres!$A$1:$I$89,7,0))</f>
        <v>0.315</v>
      </c>
      <c r="X31" s="17">
        <f>IF(ISNA(VLOOKUP(A31,'Données projet'!$A$35:$I$55,6,0)),0%,VLOOKUP(A31,'Données projet'!$A$35:$I$55,6,0)*VLOOKUP('Données projet'!$B$9,Paramètres!$A$1:$I$89,7,0))</f>
        <v>5.3999999999999999E-2</v>
      </c>
      <c r="Y31" s="17">
        <f>IF(ISNA(VLOOKUP(A31,'Données projet'!$A$35:$I$55,7,0)),0%,VLOOKUP(A31,'Données projet'!$A$35:$I$55,7,0))</f>
        <v>0.18</v>
      </c>
      <c r="Z31" s="23">
        <f>EXP(-LN(2)/35)*Z30+(1-EXP(-LN(2)/35))/(LN(2)/35)*V31*W31*VLOOKUP('Données projet'!$B$9,Paramètres!$A$1:$I$89,3,0)*0.475*44/12</f>
        <v>27.11062970965444</v>
      </c>
      <c r="AA31" s="23">
        <f>EXP(-LN(2)/25)*AA30+(1-EXP(-LN(2)/25))/(LN(2)/25)*Calculateur!V31*Calculateur!X31*VLOOKUP('Données projet'!$B$9,Paramètres!$A$1:$I$89,3,0)*0.475*44/12</f>
        <v>7.2405091644439779</v>
      </c>
      <c r="AB31" s="23">
        <f>EXP(-LN(2)/2)*AB30+(1-EXP(-LN(2)/2))/(LN(2)/2)*V31*Y31*VLOOKUP('Données projet'!$B$9,Paramètres!$A$1:$I$89,3,0)*0.475*44/12</f>
        <v>6.8576051555096731</v>
      </c>
      <c r="AC31" s="24">
        <f t="shared" si="3"/>
        <v>41.208744029608091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9.5000000000000036</v>
      </c>
      <c r="AI31" s="14">
        <f>IF('Données projet'!$A$62&gt;35,AI30+AH31-AQ30,IF(A31&lt;'Données projet'!$A$62,$AF$205^A31,IF(A31='Données projet'!$A$62,'Données projet'!$B$62,AI30+AH31-AQ30)))</f>
        <v>212.1</v>
      </c>
      <c r="AJ31" s="14">
        <f>AI31*VLOOKUP('Données projet'!$B$10,Paramètres!$A$1:$I$89,3,0)*VLOOKUP('Données projet'!$B$10,Paramètres!$A$1:$I$89,5,0)</f>
        <v>99.262799999999999</v>
      </c>
      <c r="AK31" s="14">
        <f t="shared" si="35"/>
        <v>26.786294253409366</v>
      </c>
      <c r="AL31" s="22">
        <f t="shared" si="4"/>
        <v>219.53550582468799</v>
      </c>
      <c r="AM31" s="62">
        <f t="shared" si="5"/>
        <v>512.86883915802127</v>
      </c>
      <c r="AN31" s="62">
        <f ca="1">AVERAGE(OFFSET($AM$3,0,0,'Données projet'!$E$10+1,1))-AVERAGE(OFFSET($H$3,0,0,'Données projet'!$E$10+1,1))</f>
        <v>201.92726874818067</v>
      </c>
      <c r="AO31" s="62">
        <f t="shared" si="36"/>
        <v>197.16147791248727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2.553818920101909</v>
      </c>
      <c r="AW31" s="23">
        <f>EXP(-LN(2)/2)*AW30+(1-EXP(-LN(2)/2))/(LN(2)/2)*AQ31*AT31*VLOOKUP('Données projet'!$B$10,Paramètres!$A$1:$I$89,3,0)*0.475*44/12</f>
        <v>2.2930726614173631</v>
      </c>
      <c r="AX31" s="23">
        <f t="shared" si="6"/>
        <v>4.8468915815192721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1.8846153846153846</v>
      </c>
      <c r="BD31" s="13">
        <f>IF('Données projet'!$A$88&gt;35,BD30+BC31-BL30,IF(A31&lt;'Données projet'!$A$88,$BA$205^A31,IF(A31='Données projet'!$A$88,'Données projet'!$B$88,BD30+BC31-BL30)))</f>
        <v>52.769230769230788</v>
      </c>
      <c r="BE31" s="14">
        <f>BD31*VLOOKUP('Données projet'!$B$11,Paramètres!$A$1:$I$89,3,0)*VLOOKUP('Données projet'!$B$11,Paramètres!$A$1:$I$89,5,0)</f>
        <v>53.508000000000017</v>
      </c>
      <c r="BF31" s="14">
        <f t="shared" si="37"/>
        <v>15.516109807666385</v>
      </c>
      <c r="BG31" s="22">
        <f t="shared" si="7"/>
        <v>120.21699124835231</v>
      </c>
      <c r="BH31" s="62">
        <f t="shared" si="8"/>
        <v>413.55032458168563</v>
      </c>
      <c r="BI31" s="62">
        <f ca="1">AVERAGE(OFFSET($BH$3,0,0,'Données projet'!$E$11+1,1))-AVERAGE(OFFSET($H$3,0,0,'Données projet'!$E$11+1,1))</f>
        <v>234.66244049825644</v>
      </c>
      <c r="BJ31" s="62">
        <f t="shared" si="38"/>
        <v>87.037318032671465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15.5</v>
      </c>
      <c r="N32" s="14">
        <f>IF('Données projet'!$A$36&gt;35,N31+M32-V31,IF(A32&lt;'Données projet'!$A$36,$K$205^A32,IF(A32='Données projet'!$A$36,'Données projet'!$B$36,N31+M32-V31)))</f>
        <v>166.5</v>
      </c>
      <c r="O32" s="14">
        <f>N32*VLOOKUP('Données projet'!$B$9,Paramètres!$A$1:$I$89,3,0)*VLOOKUP('Données projet'!$B$9,Paramètres!$A$1:$I$89,5,0)</f>
        <v>99.567000000000007</v>
      </c>
      <c r="P32" s="14">
        <f t="shared" si="33"/>
        <v>26.858815231289142</v>
      </c>
      <c r="Q32" s="22">
        <f t="shared" si="2"/>
        <v>220.19162819449525</v>
      </c>
      <c r="R32" s="62">
        <f t="shared" si="0"/>
        <v>513.52496152782851</v>
      </c>
      <c r="S32" s="62">
        <f ca="1">AVERAGE(OFFSET($R$3,0,0,'Données projet'!$E$9+1,1))-AVERAGE(OFFSET($H$3,0,0,'Données projet'!$E$9+1,1))</f>
        <v>217.62295992724461</v>
      </c>
      <c r="T32" s="62">
        <f t="shared" si="34"/>
        <v>198.62788037979772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26.57900679689946</v>
      </c>
      <c r="AA32" s="23">
        <f>EXP(-LN(2)/25)*AA31+(1-EXP(-LN(2)/25))/(LN(2)/25)*Calculateur!V32*Calculateur!X32*VLOOKUP('Données projet'!$B$9,Paramètres!$A$1:$I$89,3,0)*0.475*44/12</f>
        <v>7.0425170605804288</v>
      </c>
      <c r="AB32" s="23">
        <f>EXP(-LN(2)/2)*AB31+(1-EXP(-LN(2)/2))/(LN(2)/2)*V32*Y32*VLOOKUP('Données projet'!$B$9,Paramètres!$A$1:$I$89,3,0)*0.475*44/12</f>
        <v>4.8490591081607191</v>
      </c>
      <c r="AC32" s="24">
        <f t="shared" si="3"/>
        <v>38.470582965640602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9.5000000000000036</v>
      </c>
      <c r="AI32" s="14">
        <f>IF('Données projet'!$A$62&gt;35,AI31+AH32-AQ31,IF(A32&lt;'Données projet'!$A$62,$AF$205^A32,IF(A32='Données projet'!$A$62,'Données projet'!$B$62,AI31+AH32-AQ31)))</f>
        <v>221.6</v>
      </c>
      <c r="AJ32" s="14">
        <f>AI32*VLOOKUP('Données projet'!$B$10,Paramètres!$A$1:$I$89,3,0)*VLOOKUP('Données projet'!$B$10,Paramètres!$A$1:$I$89,5,0)</f>
        <v>103.7088</v>
      </c>
      <c r="AK32" s="14">
        <f t="shared" si="35"/>
        <v>27.84368661708951</v>
      </c>
      <c r="AL32" s="22">
        <f t="shared" si="4"/>
        <v>229.12058085809755</v>
      </c>
      <c r="AM32" s="62">
        <f t="shared" si="5"/>
        <v>522.45391419143084</v>
      </c>
      <c r="AN32" s="62">
        <f ca="1">AVERAGE(OFFSET($AM$3,0,0,'Données projet'!$E$10+1,1))-AVERAGE(OFFSET($H$3,0,0,'Données projet'!$E$10+1,1))</f>
        <v>201.92726874818067</v>
      </c>
      <c r="AO32" s="62">
        <f t="shared" si="36"/>
        <v>197.16147791248727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2.4839846074322223</v>
      </c>
      <c r="AW32" s="23">
        <f>EXP(-LN(2)/2)*AW31+(1-EXP(-LN(2)/2))/(LN(2)/2)*AQ32*AT32*VLOOKUP('Données projet'!$B$10,Paramètres!$A$1:$I$89,3,0)*0.475*44/12</f>
        <v>1.6214472286417017</v>
      </c>
      <c r="AX32" s="23">
        <f t="shared" si="6"/>
        <v>4.1054318360739241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1.8846153846153846</v>
      </c>
      <c r="BD32" s="13">
        <f>IF('Données projet'!$A$88&gt;35,BD31+BC32-BL31,IF(A32&lt;'Données projet'!$A$88,$BA$205^A32,IF(A32='Données projet'!$A$88,'Données projet'!$B$88,BD31+BC32-BL31)))</f>
        <v>54.653846153846175</v>
      </c>
      <c r="BE32" s="14">
        <f>BD32*VLOOKUP('Données projet'!$B$11,Paramètres!$A$1:$I$89,3,0)*VLOOKUP('Données projet'!$B$11,Paramètres!$A$1:$I$89,5,0)</f>
        <v>55.419000000000025</v>
      </c>
      <c r="BF32" s="14">
        <f t="shared" si="37"/>
        <v>16.004749417699504</v>
      </c>
      <c r="BG32" s="22">
        <f t="shared" si="7"/>
        <v>124.39636356915999</v>
      </c>
      <c r="BH32" s="62">
        <f t="shared" si="8"/>
        <v>417.72969690249329</v>
      </c>
      <c r="BI32" s="62">
        <f ca="1">AVERAGE(OFFSET($BH$3,0,0,'Données projet'!$E$11+1,1))-AVERAGE(OFFSET($H$3,0,0,'Données projet'!$E$11+1,1))</f>
        <v>234.66244049825644</v>
      </c>
      <c r="BJ32" s="62">
        <f t="shared" si="38"/>
        <v>87.037318032671465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15.5</v>
      </c>
      <c r="N33" s="14">
        <f>IF('Données projet'!$A$36&gt;35,N32+M33-V32,IF(A33&lt;'Données projet'!$A$36,$K$205^A33,IF(A33='Données projet'!$A$36,'Données projet'!$B$36,N32+M33-V32)))</f>
        <v>182</v>
      </c>
      <c r="O33" s="14">
        <f>N33*VLOOKUP('Données projet'!$B$9,Paramètres!$A$1:$I$89,3,0)*VLOOKUP('Données projet'!$B$9,Paramètres!$A$1:$I$89,5,0)</f>
        <v>108.836</v>
      </c>
      <c r="P33" s="14">
        <f t="shared" si="33"/>
        <v>29.056567526298153</v>
      </c>
      <c r="Q33" s="22">
        <f t="shared" si="2"/>
        <v>240.16288844163589</v>
      </c>
      <c r="R33" s="62">
        <f t="shared" si="0"/>
        <v>533.49622177496917</v>
      </c>
      <c r="S33" s="62">
        <f ca="1">AVERAGE(OFFSET($R$3,0,0,'Données projet'!$E$9+1,1))-AVERAGE(OFFSET($H$3,0,0,'Données projet'!$E$9+1,1))</f>
        <v>217.62295992724461</v>
      </c>
      <c r="T33" s="62">
        <f t="shared" si="34"/>
        <v>198.62788037979772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26.057808685205647</v>
      </c>
      <c r="AA33" s="23">
        <f>EXP(-LN(2)/25)*AA32+(1-EXP(-LN(2)/25))/(LN(2)/25)*Calculateur!V33*Calculateur!X33*VLOOKUP('Données projet'!$B$9,Paramètres!$A$1:$I$89,3,0)*0.475*44/12</f>
        <v>6.849939061208981</v>
      </c>
      <c r="AB33" s="23">
        <f>EXP(-LN(2)/2)*AB32+(1-EXP(-LN(2)/2))/(LN(2)/2)*V33*Y33*VLOOKUP('Données projet'!$B$9,Paramètres!$A$1:$I$89,3,0)*0.475*44/12</f>
        <v>3.428802577754837</v>
      </c>
      <c r="AC33" s="24">
        <f t="shared" si="3"/>
        <v>36.336550324169465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9.5000000000000036</v>
      </c>
      <c r="AI33" s="14">
        <f>IF('Données projet'!$A$62&gt;35,AI32+AH33-AQ32,IF(A33&lt;'Données projet'!$A$62,$AF$205^A33,IF(A33='Données projet'!$A$62,'Données projet'!$B$62,AI32+AH33-AQ32)))</f>
        <v>231.1</v>
      </c>
      <c r="AJ33" s="14">
        <f>AI33*VLOOKUP('Données projet'!$B$10,Paramètres!$A$1:$I$89,3,0)*VLOOKUP('Données projet'!$B$10,Paramètres!$A$1:$I$89,5,0)</f>
        <v>108.15479999999999</v>
      </c>
      <c r="AK33" s="14">
        <f t="shared" si="35"/>
        <v>28.895813956550473</v>
      </c>
      <c r="AL33" s="22">
        <f t="shared" si="4"/>
        <v>238.69648597432544</v>
      </c>
      <c r="AM33" s="62">
        <f t="shared" si="5"/>
        <v>532.02981930765873</v>
      </c>
      <c r="AN33" s="62">
        <f ca="1">AVERAGE(OFFSET($AM$3,0,0,'Données projet'!$E$10+1,1))-AVERAGE(OFFSET($H$3,0,0,'Données projet'!$E$10+1,1))</f>
        <v>201.92726874818067</v>
      </c>
      <c r="AO33" s="62">
        <f t="shared" si="36"/>
        <v>197.16147791248727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2.4160599177149149</v>
      </c>
      <c r="AW33" s="23">
        <f>EXP(-LN(2)/2)*AW32+(1-EXP(-LN(2)/2))/(LN(2)/2)*AQ33*AT33*VLOOKUP('Données projet'!$B$10,Paramètres!$A$1:$I$89,3,0)*0.475*44/12</f>
        <v>1.1465363307086818</v>
      </c>
      <c r="AX33" s="23">
        <f t="shared" si="6"/>
        <v>3.5625962484235965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1.8846153846153846</v>
      </c>
      <c r="BD33" s="13">
        <f>IF('Données projet'!$A$88&gt;35,BD32+BC33-BL32,IF(A33&lt;'Données projet'!$A$88,$BA$205^A33,IF(A33='Données projet'!$A$88,'Données projet'!$B$88,BD32+BC33-BL32)))</f>
        <v>56.538461538461561</v>
      </c>
      <c r="BE33" s="14">
        <f>BD33*VLOOKUP('Données projet'!$B$11,Paramètres!$A$1:$I$89,3,0)*VLOOKUP('Données projet'!$B$11,Paramètres!$A$1:$I$89,5,0)</f>
        <v>57.330000000000027</v>
      </c>
      <c r="BF33" s="14">
        <f t="shared" si="37"/>
        <v>16.491431250436086</v>
      </c>
      <c r="BG33" s="22">
        <f t="shared" si="7"/>
        <v>128.57232609450958</v>
      </c>
      <c r="BH33" s="62">
        <f t="shared" si="8"/>
        <v>421.90565942784292</v>
      </c>
      <c r="BI33" s="62">
        <f ca="1">AVERAGE(OFFSET($BH$3,0,0,'Données projet'!$E$11+1,1))-AVERAGE(OFFSET($H$3,0,0,'Données projet'!$E$11+1,1))</f>
        <v>234.66244049825644</v>
      </c>
      <c r="BJ33" s="62">
        <f t="shared" si="38"/>
        <v>87.037318032671465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15.5</v>
      </c>
      <c r="N34" s="14">
        <f>IF('Données projet'!$A$36&gt;35,N33+M34-V33,IF(A34&lt;'Données projet'!$A$36,$K$205^A34,IF(A34='Données projet'!$A$36,'Données projet'!$B$36,N33+M34-V33)))</f>
        <v>197.5</v>
      </c>
      <c r="O34" s="14">
        <f>N34*VLOOKUP('Données projet'!$B$9,Paramètres!$A$1:$I$89,3,0)*VLOOKUP('Données projet'!$B$9,Paramètres!$A$1:$I$89,5,0)</f>
        <v>118.10500000000002</v>
      </c>
      <c r="P34" s="14">
        <f t="shared" si="33"/>
        <v>31.232613045681703</v>
      </c>
      <c r="Q34" s="22">
        <f t="shared" si="2"/>
        <v>260.09634272122901</v>
      </c>
      <c r="R34" s="62">
        <f t="shared" si="0"/>
        <v>553.42967605456238</v>
      </c>
      <c r="S34" s="62">
        <f ca="1">AVERAGE(OFFSET($R$3,0,0,'Données projet'!$E$9+1,1))-AVERAGE(OFFSET($H$3,0,0,'Données projet'!$E$9+1,1))</f>
        <v>217.62295992724461</v>
      </c>
      <c r="T34" s="62">
        <f t="shared" si="34"/>
        <v>198.62788037979772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25.546830950582692</v>
      </c>
      <c r="AA34" s="23">
        <f>EXP(-LN(2)/25)*AA33+(1-EXP(-LN(2)/25))/(LN(2)/25)*Calculateur!V34*Calculateur!X34*VLOOKUP('Données projet'!$B$9,Paramètres!$A$1:$I$89,3,0)*0.475*44/12</f>
        <v>6.662627117357582</v>
      </c>
      <c r="AB34" s="23">
        <f>EXP(-LN(2)/2)*AB33+(1-EXP(-LN(2)/2))/(LN(2)/2)*V34*Y34*VLOOKUP('Données projet'!$B$9,Paramètres!$A$1:$I$89,3,0)*0.475*44/12</f>
        <v>2.42452955408036</v>
      </c>
      <c r="AC34" s="24">
        <f t="shared" si="3"/>
        <v>34.633987622020634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9.5000000000000036</v>
      </c>
      <c r="AI34" s="14">
        <f>IF('Données projet'!$A$62&gt;35,AI33+AH34-AQ33,IF(A34&lt;'Données projet'!$A$62,$AF$205^A34,IF(A34='Données projet'!$A$62,'Données projet'!$B$62,AI33+AH34-AQ33)))</f>
        <v>240.6</v>
      </c>
      <c r="AJ34" s="14">
        <f>AI34*VLOOKUP('Données projet'!$B$10,Paramètres!$A$1:$I$89,3,0)*VLOOKUP('Données projet'!$B$10,Paramètres!$A$1:$I$89,5,0)</f>
        <v>112.60080000000001</v>
      </c>
      <c r="AK34" s="14">
        <f t="shared" si="35"/>
        <v>29.94291745924334</v>
      </c>
      <c r="AL34" s="22">
        <f t="shared" si="4"/>
        <v>248.2636412415155</v>
      </c>
      <c r="AM34" s="62">
        <f t="shared" si="5"/>
        <v>541.59697457484879</v>
      </c>
      <c r="AN34" s="62">
        <f ca="1">AVERAGE(OFFSET($AM$3,0,0,'Données projet'!$E$10+1,1))-AVERAGE(OFFSET($H$3,0,0,'Données projet'!$E$10+1,1))</f>
        <v>201.92726874818067</v>
      </c>
      <c r="AO34" s="62">
        <f t="shared" si="36"/>
        <v>197.16147791248727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2.3499926322099314</v>
      </c>
      <c r="AW34" s="23">
        <f>EXP(-LN(2)/2)*AW33+(1-EXP(-LN(2)/2))/(LN(2)/2)*AQ34*AT34*VLOOKUP('Données projet'!$B$10,Paramètres!$A$1:$I$89,3,0)*0.475*44/12</f>
        <v>0.81072361432085094</v>
      </c>
      <c r="AX34" s="23">
        <f t="shared" si="6"/>
        <v>3.1607162465307823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1.8846153846153846</v>
      </c>
      <c r="BD34" s="13">
        <f>IF('Données projet'!$A$88&gt;35,BD33+BC34-BL33,IF(A34&lt;'Données projet'!$A$88,$BA$205^A34,IF(A34='Données projet'!$A$88,'Données projet'!$B$88,BD33+BC34-BL33)))</f>
        <v>58.423076923076948</v>
      </c>
      <c r="BE34" s="14">
        <f>BD34*VLOOKUP('Données projet'!$B$11,Paramètres!$A$1:$I$89,3,0)*VLOOKUP('Données projet'!$B$11,Paramètres!$A$1:$I$89,5,0)</f>
        <v>59.241000000000028</v>
      </c>
      <c r="BF34" s="14">
        <f t="shared" si="37"/>
        <v>16.976228047499458</v>
      </c>
      <c r="BG34" s="22">
        <f t="shared" si="7"/>
        <v>132.74500551606158</v>
      </c>
      <c r="BH34" s="62">
        <f t="shared" si="8"/>
        <v>426.07833884939487</v>
      </c>
      <c r="BI34" s="62">
        <f ca="1">AVERAGE(OFFSET($BH$3,0,0,'Données projet'!$E$11+1,1))-AVERAGE(OFFSET($H$3,0,0,'Données projet'!$E$11+1,1))</f>
        <v>234.66244049825644</v>
      </c>
      <c r="BJ34" s="62">
        <f t="shared" si="38"/>
        <v>87.037318032671465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15.5</v>
      </c>
      <c r="N35" s="14">
        <f>IF('Données projet'!$A$36&gt;35,N34+M35-V34,IF(A35&lt;'Données projet'!$A$36,$K$205^A35,IF(A35='Données projet'!$A$36,'Données projet'!$B$36,N34+M35-V34)))</f>
        <v>213</v>
      </c>
      <c r="O35" s="14">
        <f>N35*VLOOKUP('Données projet'!$B$9,Paramètres!$A$1:$I$89,3,0)*VLOOKUP('Données projet'!$B$9,Paramètres!$A$1:$I$89,5,0)</f>
        <v>127.37400000000001</v>
      </c>
      <c r="P35" s="14">
        <f t="shared" si="33"/>
        <v>33.388849044748468</v>
      </c>
      <c r="Q35" s="22">
        <f t="shared" ref="Q35:Q66" si="53">(O35+P35)*0.475*44/12</f>
        <v>279.99529541960356</v>
      </c>
      <c r="R35" s="62">
        <f t="shared" si="0"/>
        <v>573.32862875293688</v>
      </c>
      <c r="S35" s="62">
        <f ca="1">AVERAGE(OFFSET($R$3,0,0,'Données projet'!$E$9+1,1))-AVERAGE(OFFSET($H$3,0,0,'Données projet'!$E$9+1,1))</f>
        <v>217.62295992724461</v>
      </c>
      <c r="T35" s="62">
        <f t="shared" si="34"/>
        <v>198.62788037979772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25.045873177670046</v>
      </c>
      <c r="AA35" s="23">
        <f>EXP(-LN(2)/25)*AA34+(1-EXP(-LN(2)/25))/(LN(2)/25)*Calculateur!V35*Calculateur!X35*VLOOKUP('Données projet'!$B$9,Paramètres!$A$1:$I$89,3,0)*0.475*44/12</f>
        <v>6.4804372284611063</v>
      </c>
      <c r="AB35" s="23">
        <f>EXP(-LN(2)/2)*AB34+(1-EXP(-LN(2)/2))/(LN(2)/2)*V35*Y35*VLOOKUP('Données projet'!$B$9,Paramètres!$A$1:$I$89,3,0)*0.475*44/12</f>
        <v>1.7144012888774189</v>
      </c>
      <c r="AC35" s="24">
        <f t="shared" si="3"/>
        <v>33.240711695008571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9.5000000000000036</v>
      </c>
      <c r="AI35" s="14">
        <f>IF('Données projet'!$A$62&gt;35,AI34+AH35-AQ34,IF(A35&lt;'Données projet'!$A$62,$AF$205^A35,IF(A35='Données projet'!$A$62,'Données projet'!$B$62,AI34+AH35-AQ34)))</f>
        <v>250.1</v>
      </c>
      <c r="AJ35" s="14">
        <f>AI35*VLOOKUP('Données projet'!$B$10,Paramètres!$A$1:$I$89,3,0)*VLOOKUP('Données projet'!$B$10,Paramètres!$A$1:$I$89,5,0)</f>
        <v>117.0468</v>
      </c>
      <c r="AK35" s="14">
        <f t="shared" si="35"/>
        <v>30.985218187968854</v>
      </c>
      <c r="AL35" s="22">
        <f t="shared" si="4"/>
        <v>257.82243167737909</v>
      </c>
      <c r="AM35" s="62">
        <f t="shared" si="5"/>
        <v>551.15576501071246</v>
      </c>
      <c r="AN35" s="62">
        <f ca="1">AVERAGE(OFFSET($AM$3,0,0,'Données projet'!$E$10+1,1))-AVERAGE(OFFSET($H$3,0,0,'Données projet'!$E$10+1,1))</f>
        <v>201.92726874818067</v>
      </c>
      <c r="AO35" s="62">
        <f t="shared" si="36"/>
        <v>197.16147791248727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2.2857319601014092</v>
      </c>
      <c r="AW35" s="23">
        <f>EXP(-LN(2)/2)*AW34+(1-EXP(-LN(2)/2))/(LN(2)/2)*AQ35*AT35*VLOOKUP('Données projet'!$B$10,Paramètres!$A$1:$I$89,3,0)*0.475*44/12</f>
        <v>0.57326816535434089</v>
      </c>
      <c r="AX35" s="23">
        <f t="shared" si="6"/>
        <v>2.8590001254557502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1.8846153846153846</v>
      </c>
      <c r="BD35" s="13">
        <f>IF('Données projet'!$A$88&gt;35,BD34+BC35-BL34,IF(A35&lt;'Données projet'!$A$88,$BA$205^A35,IF(A35='Données projet'!$A$88,'Données projet'!$B$88,BD34+BC35-BL34)))</f>
        <v>60.307692307692335</v>
      </c>
      <c r="BE35" s="14">
        <f>BD35*VLOOKUP('Données projet'!$B$11,Paramètres!$A$1:$I$89,3,0)*VLOOKUP('Données projet'!$B$11,Paramètres!$A$1:$I$89,5,0)</f>
        <v>61.152000000000029</v>
      </c>
      <c r="BF35" s="14">
        <f t="shared" si="37"/>
        <v>17.459207591071262</v>
      </c>
      <c r="BG35" s="22">
        <f t="shared" si="7"/>
        <v>136.91451988778249</v>
      </c>
      <c r="BH35" s="62">
        <f t="shared" si="8"/>
        <v>430.2478532211158</v>
      </c>
      <c r="BI35" s="62">
        <f ca="1">AVERAGE(OFFSET($BH$3,0,0,'Données projet'!$E$11+1,1))-AVERAGE(OFFSET($H$3,0,0,'Données projet'!$E$11+1,1))</f>
        <v>234.66244049825644</v>
      </c>
      <c r="BJ35" s="62">
        <f t="shared" si="38"/>
        <v>87.037318032671465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15.5</v>
      </c>
      <c r="N36" s="14">
        <f>IF('Données projet'!$A$36&gt;35,N35+M36-V35,IF(A36&lt;'Données projet'!$A$36,$K$205^A36,IF(A36='Données projet'!$A$36,'Données projet'!$B$36,N35+M36-V35)))</f>
        <v>228.5</v>
      </c>
      <c r="O36" s="14">
        <f>N36*VLOOKUP('Données projet'!$B$9,Paramètres!$A$1:$I$89,3,0)*VLOOKUP('Données projet'!$B$9,Paramètres!$A$1:$I$89,5,0)</f>
        <v>136.643</v>
      </c>
      <c r="P36" s="14">
        <f t="shared" si="33"/>
        <v>35.526880997312432</v>
      </c>
      <c r="Q36" s="22">
        <f t="shared" si="53"/>
        <v>299.86254273698574</v>
      </c>
      <c r="R36" s="62">
        <f t="shared" si="0"/>
        <v>593.19587607031906</v>
      </c>
      <c r="S36" s="62">
        <f ca="1">AVERAGE(OFFSET($R$3,0,0,'Données projet'!$E$9+1,1))-AVERAGE(OFFSET($H$3,0,0,'Données projet'!$E$9+1,1))</f>
        <v>217.62295992724461</v>
      </c>
      <c r="T36" s="62">
        <f t="shared" si="34"/>
        <v>198.62788037979772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24.554738881130149</v>
      </c>
      <c r="AA36" s="23">
        <f>EXP(-LN(2)/25)*AA35+(1-EXP(-LN(2)/25))/(LN(2)/25)*Calculateur!V36*Calculateur!X36*VLOOKUP('Données projet'!$B$9,Paramètres!$A$1:$I$89,3,0)*0.475*44/12</f>
        <v>6.3032293316574544</v>
      </c>
      <c r="AB36" s="23">
        <f>EXP(-LN(2)/2)*AB35+(1-EXP(-LN(2)/2))/(LN(2)/2)*V36*Y36*VLOOKUP('Données projet'!$B$9,Paramètres!$A$1:$I$89,3,0)*0.475*44/12</f>
        <v>1.2122647770401802</v>
      </c>
      <c r="AC36" s="24">
        <f t="shared" si="3"/>
        <v>32.070232989827787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259.60000000000002</v>
      </c>
      <c r="AG36" s="13">
        <f>VLOOKUP(A36,'Données projet'!$A$61:$I$81,9,0)</f>
        <v>9.5000000000000036</v>
      </c>
      <c r="AH36" s="13">
        <f t="array" ref="AH36">INDEX(AG:AG,MIN(IF(ISNUMBER(AG36:AG232),ROW(AG36:AG232),"")))</f>
        <v>9.5000000000000036</v>
      </c>
      <c r="AI36" s="14">
        <f>IF('Données projet'!$A$62&gt;35,AI35+AH36-AQ35,IF(A36&lt;'Données projet'!$A$62,$AF$205^A36,IF(A36='Données projet'!$A$62,'Données projet'!$B$62,AI35+AH36-AQ35)))</f>
        <v>259.60000000000002</v>
      </c>
      <c r="AJ36" s="14">
        <f>AI36*VLOOKUP('Données projet'!$B$10,Paramètres!$A$1:$I$89,3,0)*VLOOKUP('Données projet'!$B$10,Paramètres!$A$1:$I$89,5,0)</f>
        <v>121.4928</v>
      </c>
      <c r="AK36" s="14">
        <f t="shared" si="35"/>
        <v>32.02291946024841</v>
      </c>
      <c r="AL36" s="22">
        <f t="shared" si="4"/>
        <v>267.37321139326599</v>
      </c>
      <c r="AM36" s="62">
        <f t="shared" si="5"/>
        <v>560.7065447265993</v>
      </c>
      <c r="AN36" s="62">
        <f ca="1">AVERAGE(OFFSET($AM$3,0,0,'Données projet'!$E$10+1,1))-AVERAGE(OFFSET($H$3,0,0,'Données projet'!$E$10+1,1))</f>
        <v>201.92726874818067</v>
      </c>
      <c r="AO36" s="62">
        <f t="shared" si="36"/>
        <v>197.16147791248727</v>
      </c>
      <c r="AP36" s="16">
        <f>IF(ISNA(VLOOKUP(A36,'Données projet'!$A$61:$I$81,3,0)),0,VLOOKUP(A36,'Données projet'!$A$61:$I$81,3,0))</f>
        <v>2</v>
      </c>
      <c r="AQ36" s="16">
        <f>IF(ISNA(VLOOKUP(A36,'Données projet'!$A$61:$I$81,4,0)),0,VLOOKUP(A36,'Données projet'!$A$61:$I$81,4,0))</f>
        <v>38.94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0.22000000000000003</v>
      </c>
      <c r="AT36" s="17">
        <f>IF(ISNA(VLOOKUP(A36,'Données projet'!$A$61:$I$81,7,0)),0%,VLOOKUP(A36,'Données projet'!$A$61:$I$81,7,0))</f>
        <v>0.6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7.5208323536617598</v>
      </c>
      <c r="AW36" s="23">
        <f>EXP(-LN(2)/2)*AW35+(1-EXP(-LN(2)/2))/(LN(2)/2)*AQ36*AT36*VLOOKUP('Données projet'!$B$10,Paramètres!$A$1:$I$89,3,0)*0.475*44/12</f>
        <v>12.785588294083531</v>
      </c>
      <c r="AX36" s="23">
        <f t="shared" si="6"/>
        <v>20.306420647745291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1.8846153846153846</v>
      </c>
      <c r="BD36" s="13">
        <f>IF('Données projet'!$A$88&gt;35,BD35+BC36-BL35,IF(A36&lt;'Données projet'!$A$88,$BA$205^A36,IF(A36='Données projet'!$A$88,'Données projet'!$B$88,BD35+BC36-BL35)))</f>
        <v>62.192307692307722</v>
      </c>
      <c r="BE36" s="14">
        <f>BD36*VLOOKUP('Données projet'!$B$11,Paramètres!$A$1:$I$89,3,0)*VLOOKUP('Données projet'!$B$11,Paramètres!$A$1:$I$89,5,0)</f>
        <v>63.063000000000031</v>
      </c>
      <c r="BF36" s="14">
        <f t="shared" si="37"/>
        <v>17.940433186321659</v>
      </c>
      <c r="BG36" s="22">
        <f t="shared" si="7"/>
        <v>141.08097946617693</v>
      </c>
      <c r="BH36" s="62">
        <f t="shared" si="8"/>
        <v>434.41431279951024</v>
      </c>
      <c r="BI36" s="62">
        <f ca="1">AVERAGE(OFFSET($BH$3,0,0,'Données projet'!$E$11+1,1))-AVERAGE(OFFSET($H$3,0,0,'Données projet'!$E$11+1,1))</f>
        <v>234.66244049825644</v>
      </c>
      <c r="BJ36" s="62">
        <f t="shared" si="38"/>
        <v>87.037318032671465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244</v>
      </c>
      <c r="L37" s="13">
        <f>VLOOKUP(A37,'Données projet'!$A$35:$I$55,9,0)</f>
        <v>15.5</v>
      </c>
      <c r="M37" s="13">
        <f t="array" ref="M37">INDEX(L:L,MIN(IF(ISNUMBER(L37:L233),ROW(L37:L233),"")))</f>
        <v>15.5</v>
      </c>
      <c r="N37" s="14">
        <f>IF('Données projet'!$A$36&gt;35,N36+M37-V36,IF(A37&lt;'Données projet'!$A$36,$K$205^A37,IF(A37='Données projet'!$A$36,'Données projet'!$B$36,N36+M37-V36)))</f>
        <v>244</v>
      </c>
      <c r="O37" s="14">
        <f>N37*VLOOKUP('Données projet'!$B$9,Paramètres!$A$1:$I$89,3,0)*VLOOKUP('Données projet'!$B$9,Paramètres!$A$1:$I$89,5,0)</f>
        <v>145.91200000000001</v>
      </c>
      <c r="P37" s="14">
        <f t="shared" si="33"/>
        <v>37.648084239987625</v>
      </c>
      <c r="Q37" s="22">
        <f t="shared" si="53"/>
        <v>319.70048005131179</v>
      </c>
      <c r="R37" s="62">
        <f t="shared" si="0"/>
        <v>613.0338133846451</v>
      </c>
      <c r="S37" s="62">
        <f ca="1">AVERAGE(OFFSET($R$3,0,0,'Données projet'!$E$9+1,1))-AVERAGE(OFFSET($H$3,0,0,'Données projet'!$E$9+1,1))</f>
        <v>217.62295992724461</v>
      </c>
      <c r="T37" s="62">
        <f t="shared" si="34"/>
        <v>198.62788037979772</v>
      </c>
      <c r="U37" s="16">
        <f>IF(ISNA(VLOOKUP(A37,'Données projet'!$A$35:$I$55,3,0)),0,VLOOKUP(A37,'Données projet'!$A$35:$I$55,3,0))</f>
        <v>6</v>
      </c>
      <c r="V37" s="16">
        <f>IF(ISNA(VLOOKUP(A37,'Données projet'!$A$35:$I$55,4,0)),0,VLOOKUP(A37,'Données projet'!$A$35:$I$55,4,0))</f>
        <v>60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5.3999999999999999E-2</v>
      </c>
      <c r="Y37" s="17">
        <f>IF(ISNA(VLOOKUP(A37,'Données projet'!$A$35:$I$55,7,0)),0%,VLOOKUP(A37,'Données projet'!$A$35:$I$55,7,0))</f>
        <v>0.18</v>
      </c>
      <c r="Z37" s="23">
        <f>EXP(-LN(2)/35)*Z36+(1-EXP(-LN(2)/35))/(LN(2)/35)*V37*W37*VLOOKUP('Données projet'!$B$9,Paramètres!$A$1:$I$89,3,0)*0.475*44/12</f>
        <v>39.066332216851833</v>
      </c>
      <c r="AA37" s="23">
        <f>EXP(-LN(2)/25)*AA36+(1-EXP(-LN(2)/25))/(LN(2)/25)*Calculateur!V37*Calculateur!X37*VLOOKUP('Données projet'!$B$9,Paramètres!$A$1:$I$89,3,0)*0.475*44/12</f>
        <v>8.6909923232643891</v>
      </c>
      <c r="AB37" s="23">
        <f>EXP(-LN(2)/2)*AB36+(1-EXP(-LN(2)/2))/(LN(2)/2)*V37*Y37*VLOOKUP('Données projet'!$B$9,Paramètres!$A$1:$I$89,3,0)*0.475*44/12</f>
        <v>8.1696097147836362</v>
      </c>
      <c r="AC37" s="24">
        <f t="shared" si="3"/>
        <v>55.926934254899862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10.1875</v>
      </c>
      <c r="AI37" s="14">
        <f>IF('Données projet'!$A$62&gt;35,AI36+AH37-AQ36,IF(A37&lt;'Données projet'!$A$62,$AF$205^A37,IF(A37='Données projet'!$A$62,'Données projet'!$B$62,AI36+AH37-AQ36)))</f>
        <v>230.84750000000003</v>
      </c>
      <c r="AJ37" s="14">
        <f>AI37*VLOOKUP('Données projet'!$B$10,Paramètres!$A$1:$I$89,3,0)*VLOOKUP('Données projet'!$B$10,Paramètres!$A$1:$I$89,5,0)</f>
        <v>108.03663000000002</v>
      </c>
      <c r="AK37" s="14">
        <f t="shared" si="35"/>
        <v>28.867915530423033</v>
      </c>
      <c r="AL37" s="22">
        <f t="shared" si="4"/>
        <v>238.44208346548677</v>
      </c>
      <c r="AM37" s="62">
        <f t="shared" si="5"/>
        <v>531.77541679882006</v>
      </c>
      <c r="AN37" s="62">
        <f ca="1">AVERAGE(OFFSET($AM$3,0,0,'Données projet'!$E$10+1,1))-AVERAGE(OFFSET($H$3,0,0,'Données projet'!$E$10+1,1))</f>
        <v>201.92726874818067</v>
      </c>
      <c r="AO37" s="62">
        <f t="shared" si="36"/>
        <v>197.16147791248727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7.3151747974474945</v>
      </c>
      <c r="AW37" s="23">
        <f>EXP(-LN(2)/2)*AW36+(1-EXP(-LN(2)/2))/(LN(2)/2)*AQ37*AT37*VLOOKUP('Données projet'!$B$10,Paramètres!$A$1:$I$89,3,0)*0.475*44/12</f>
        <v>9.0407761842058072</v>
      </c>
      <c r="AX37" s="23">
        <f t="shared" si="6"/>
        <v>16.355950981653301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1.8846153846153846</v>
      </c>
      <c r="BD37" s="13">
        <f>IF('Données projet'!$A$88&gt;35,BD36+BC37-BL36,IF(A37&lt;'Données projet'!$A$88,$BA$205^A37,IF(A37='Données projet'!$A$88,'Données projet'!$B$88,BD36+BC37-BL36)))</f>
        <v>64.076923076923109</v>
      </c>
      <c r="BE37" s="14">
        <f>BD37*VLOOKUP('Données projet'!$B$11,Paramètres!$A$1:$I$89,3,0)*VLOOKUP('Données projet'!$B$11,Paramètres!$A$1:$I$89,5,0)</f>
        <v>64.974000000000032</v>
      </c>
      <c r="BF37" s="14">
        <f t="shared" si="37"/>
        <v>18.419964083720082</v>
      </c>
      <c r="BG37" s="22">
        <f t="shared" si="7"/>
        <v>145.24448744581252</v>
      </c>
      <c r="BH37" s="62">
        <f t="shared" si="8"/>
        <v>438.57782077914584</v>
      </c>
      <c r="BI37" s="62">
        <f ca="1">AVERAGE(OFFSET($BH$3,0,0,'Données projet'!$E$11+1,1))-AVERAGE(OFFSET($H$3,0,0,'Données projet'!$E$11+1,1))</f>
        <v>234.66244049825644</v>
      </c>
      <c r="BJ37" s="62">
        <f t="shared" si="38"/>
        <v>87.037318032671465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19.166666666666668</v>
      </c>
      <c r="N38" s="14">
        <f>IF('Données projet'!$A$36&gt;35,N37+M38-V37,IF(A38&lt;'Données projet'!$A$36,$K$205^A38,IF(A38='Données projet'!$A$36,'Données projet'!$B$36,N37+M38-V37)))</f>
        <v>203.16666666666669</v>
      </c>
      <c r="O38" s="14">
        <f>N38*VLOOKUP('Données projet'!$B$9,Paramètres!$A$1:$I$89,3,0)*VLOOKUP('Données projet'!$B$9,Paramètres!$A$1:$I$89,5,0)</f>
        <v>121.49366666666668</v>
      </c>
      <c r="P38" s="14">
        <f t="shared" si="33"/>
        <v>32.023121305251337</v>
      </c>
      <c r="Q38" s="22">
        <f t="shared" si="53"/>
        <v>267.37507238442385</v>
      </c>
      <c r="R38" s="62">
        <f t="shared" si="0"/>
        <v>560.70840571775716</v>
      </c>
      <c r="S38" s="62">
        <f ca="1">AVERAGE(OFFSET($R$3,0,0,'Données projet'!$E$9+1,1))-AVERAGE(OFFSET($H$3,0,0,'Données projet'!$E$9+1,1))</f>
        <v>217.62295992724461</v>
      </c>
      <c r="T38" s="62">
        <f t="shared" si="34"/>
        <v>198.62788037979772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38.300265270189193</v>
      </c>
      <c r="AA38" s="23">
        <f>EXP(-LN(2)/25)*AA37+(1-EXP(-LN(2)/25))/(LN(2)/25)*Calculateur!V38*Calculateur!X38*VLOOKUP('Données projet'!$B$9,Paramètres!$A$1:$I$89,3,0)*0.475*44/12</f>
        <v>8.4533366811453021</v>
      </c>
      <c r="AB38" s="23">
        <f>EXP(-LN(2)/2)*AB37+(1-EXP(-LN(2)/2))/(LN(2)/2)*V38*Y38*VLOOKUP('Données projet'!$B$9,Paramètres!$A$1:$I$89,3,0)*0.475*44/12</f>
        <v>5.7767864289710058</v>
      </c>
      <c r="AC38" s="24">
        <f t="shared" si="3"/>
        <v>52.530388380305503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10.1875</v>
      </c>
      <c r="AI38" s="14">
        <f>IF('Données projet'!$A$62&gt;35,AI37+AH38-AQ37,IF(A38&lt;'Données projet'!$A$62,$AF$205^A38,IF(A38='Données projet'!$A$62,'Données projet'!$B$62,AI37+AH38-AQ37)))</f>
        <v>241.03500000000003</v>
      </c>
      <c r="AJ38" s="14">
        <f>AI38*VLOOKUP('Données projet'!$B$10,Paramètres!$A$1:$I$89,3,0)*VLOOKUP('Données projet'!$B$10,Paramètres!$A$1:$I$89,5,0)</f>
        <v>112.80438000000002</v>
      </c>
      <c r="AK38" s="14">
        <f t="shared" si="35"/>
        <v>29.990747173266367</v>
      </c>
      <c r="AL38" s="22">
        <f t="shared" si="4"/>
        <v>248.70151316010561</v>
      </c>
      <c r="AM38" s="62">
        <f t="shared" si="5"/>
        <v>542.03484649343886</v>
      </c>
      <c r="AN38" s="62">
        <f ca="1">AVERAGE(OFFSET($AM$3,0,0,'Données projet'!$E$10+1,1))-AVERAGE(OFFSET($H$3,0,0,'Données projet'!$E$10+1,1))</f>
        <v>201.92726874818067</v>
      </c>
      <c r="AO38" s="62">
        <f t="shared" si="36"/>
        <v>197.16147791248727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7.1151409579229696</v>
      </c>
      <c r="AW38" s="23">
        <f>EXP(-LN(2)/2)*AW37+(1-EXP(-LN(2)/2))/(LN(2)/2)*AQ38*AT38*VLOOKUP('Données projet'!$B$10,Paramètres!$A$1:$I$89,3,0)*0.475*44/12</f>
        <v>6.3927941470417666</v>
      </c>
      <c r="AX38" s="23">
        <f t="shared" si="6"/>
        <v>13.507935104964737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1.8846153846153846</v>
      </c>
      <c r="BD38" s="13">
        <f>IF('Données projet'!$A$88&gt;35,BD37+BC38-BL37,IF(A38&lt;'Données projet'!$A$88,$BA$205^A38,IF(A38='Données projet'!$A$88,'Données projet'!$B$88,BD37+BC38-BL37)))</f>
        <v>65.961538461538495</v>
      </c>
      <c r="BE38" s="14">
        <f>BD38*VLOOKUP('Données projet'!$B$11,Paramètres!$A$1:$I$89,3,0)*VLOOKUP('Données projet'!$B$11,Paramètres!$A$1:$I$89,5,0)</f>
        <v>66.885000000000034</v>
      </c>
      <c r="BF38" s="14">
        <f t="shared" si="37"/>
        <v>18.897855850266343</v>
      </c>
      <c r="BG38" s="22">
        <f t="shared" si="7"/>
        <v>149.4051406058806</v>
      </c>
      <c r="BH38" s="62">
        <f t="shared" si="8"/>
        <v>442.73847393921392</v>
      </c>
      <c r="BI38" s="62">
        <f ca="1">AVERAGE(OFFSET($BH$3,0,0,'Données projet'!$E$11+1,1))-AVERAGE(OFFSET($H$3,0,0,'Données projet'!$E$11+1,1))</f>
        <v>234.66244049825644</v>
      </c>
      <c r="BJ38" s="62">
        <f t="shared" si="38"/>
        <v>87.037318032671465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19.166666666666668</v>
      </c>
      <c r="N39" s="14">
        <f>IF('Données projet'!$A$36&gt;35,N38+M39-V38,IF(A39&lt;'Données projet'!$A$36,$K$205^A39,IF(A39='Données projet'!$A$36,'Données projet'!$B$36,N38+M39-V38)))</f>
        <v>222.33333333333334</v>
      </c>
      <c r="O39" s="14">
        <f>N39*VLOOKUP('Données projet'!$B$9,Paramètres!$A$1:$I$89,3,0)*VLOOKUP('Données projet'!$B$9,Paramètres!$A$1:$I$89,5,0)</f>
        <v>132.95533333333336</v>
      </c>
      <c r="P39" s="14">
        <f t="shared" si="33"/>
        <v>34.678354128813524</v>
      </c>
      <c r="Q39" s="22">
        <f t="shared" si="53"/>
        <v>291.96200566323915</v>
      </c>
      <c r="R39" s="62">
        <f t="shared" si="0"/>
        <v>585.29533899657247</v>
      </c>
      <c r="S39" s="62">
        <f ca="1">AVERAGE(OFFSET($R$3,0,0,'Données projet'!$E$9+1,1))-AVERAGE(OFFSET($H$3,0,0,'Données projet'!$E$9+1,1))</f>
        <v>217.62295992724461</v>
      </c>
      <c r="T39" s="62">
        <f t="shared" si="34"/>
        <v>198.62788037979772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37.549220429095904</v>
      </c>
      <c r="AA39" s="23">
        <f>EXP(-LN(2)/25)*AA38+(1-EXP(-LN(2)/25))/(LN(2)/25)*Calculateur!V39*Calculateur!X39*VLOOKUP('Données projet'!$B$9,Paramètres!$A$1:$I$89,3,0)*0.475*44/12</f>
        <v>8.2221797450577281</v>
      </c>
      <c r="AB39" s="23">
        <f>EXP(-LN(2)/2)*AB38+(1-EXP(-LN(2)/2))/(LN(2)/2)*V39*Y39*VLOOKUP('Données projet'!$B$9,Paramètres!$A$1:$I$89,3,0)*0.475*44/12</f>
        <v>4.084804857391819</v>
      </c>
      <c r="AC39" s="24">
        <f t="shared" si="3"/>
        <v>49.85620503154545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10.1875</v>
      </c>
      <c r="AI39" s="14">
        <f>IF('Données projet'!$A$62&gt;35,AI38+AH39-AQ38,IF(A39&lt;'Données projet'!$A$62,$AF$205^A39,IF(A39='Données projet'!$A$62,'Données projet'!$B$62,AI38+AH39-AQ38)))</f>
        <v>251.22250000000003</v>
      </c>
      <c r="AJ39" s="14">
        <f>AI39*VLOOKUP('Données projet'!$B$10,Paramètres!$A$1:$I$89,3,0)*VLOOKUP('Données projet'!$B$10,Paramètres!$A$1:$I$89,5,0)</f>
        <v>117.57213</v>
      </c>
      <c r="AK39" s="14">
        <f t="shared" si="35"/>
        <v>31.108066630384823</v>
      </c>
      <c r="AL39" s="22">
        <f t="shared" si="4"/>
        <v>258.9513424645869</v>
      </c>
      <c r="AM39" s="62">
        <f t="shared" si="5"/>
        <v>552.28467579792027</v>
      </c>
      <c r="AN39" s="62">
        <f ca="1">AVERAGE(OFFSET($AM$3,0,0,'Données projet'!$E$10+1,1))-AVERAGE(OFFSET($H$3,0,0,'Données projet'!$E$10+1,1))</f>
        <v>201.92726874818067</v>
      </c>
      <c r="AO39" s="62">
        <f t="shared" si="36"/>
        <v>197.16147791248727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6.9205770542595646</v>
      </c>
      <c r="AW39" s="23">
        <f>EXP(-LN(2)/2)*AW38+(1-EXP(-LN(2)/2))/(LN(2)/2)*AQ39*AT39*VLOOKUP('Données projet'!$B$10,Paramètres!$A$1:$I$89,3,0)*0.475*44/12</f>
        <v>4.5203880921029045</v>
      </c>
      <c r="AX39" s="23">
        <f t="shared" si="6"/>
        <v>11.440965146362469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1.8846153846153846</v>
      </c>
      <c r="BD39" s="13">
        <f>IF('Données projet'!$A$88&gt;35,BD38+BC39-BL38,IF(A39&lt;'Données projet'!$A$88,$BA$205^A39,IF(A39='Données projet'!$A$88,'Données projet'!$B$88,BD38+BC39-BL38)))</f>
        <v>67.846153846153882</v>
      </c>
      <c r="BE39" s="14">
        <f>BD39*VLOOKUP('Données projet'!$B$11,Paramètres!$A$1:$I$89,3,0)*VLOOKUP('Données projet'!$B$11,Paramètres!$A$1:$I$89,5,0)</f>
        <v>68.796000000000035</v>
      </c>
      <c r="BF39" s="14">
        <f t="shared" si="37"/>
        <v>19.374160697102734</v>
      </c>
      <c r="BG39" s="22">
        <f t="shared" si="7"/>
        <v>153.56302988078733</v>
      </c>
      <c r="BH39" s="62">
        <f t="shared" si="8"/>
        <v>446.89636321412064</v>
      </c>
      <c r="BI39" s="62">
        <f ca="1">AVERAGE(OFFSET($BH$3,0,0,'Données projet'!$E$11+1,1))-AVERAGE(OFFSET($H$3,0,0,'Données projet'!$E$11+1,1))</f>
        <v>234.66244049825644</v>
      </c>
      <c r="BJ39" s="62">
        <f t="shared" si="38"/>
        <v>87.037318032671465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19.166666666666668</v>
      </c>
      <c r="N40" s="14">
        <f>IF('Données projet'!$A$36&gt;35,N39+M40-V39,IF(A40&lt;'Données projet'!$A$36,$K$205^A40,IF(A40='Données projet'!$A$36,'Données projet'!$B$36,N39+M40-V39)))</f>
        <v>241.5</v>
      </c>
      <c r="O40" s="14">
        <f>N40*VLOOKUP('Données projet'!$B$9,Paramètres!$A$1:$I$89,3,0)*VLOOKUP('Données projet'!$B$9,Paramètres!$A$1:$I$89,5,0)</f>
        <v>144.417</v>
      </c>
      <c r="P40" s="14">
        <f t="shared" si="33"/>
        <v>37.307041616133553</v>
      </c>
      <c r="Q40" s="22">
        <f t="shared" si="53"/>
        <v>316.50270581476593</v>
      </c>
      <c r="R40" s="62">
        <f t="shared" si="0"/>
        <v>609.83603914809919</v>
      </c>
      <c r="S40" s="62">
        <f ca="1">AVERAGE(OFFSET($R$3,0,0,'Données projet'!$E$9+1,1))-AVERAGE(OFFSET($H$3,0,0,'Données projet'!$E$9+1,1))</f>
        <v>217.62295992724461</v>
      </c>
      <c r="T40" s="62">
        <f t="shared" si="34"/>
        <v>198.62788037979772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36.812903119244332</v>
      </c>
      <c r="AA40" s="23">
        <f>EXP(-LN(2)/25)*AA39+(1-EXP(-LN(2)/25))/(LN(2)/25)*Calculateur!V40*Calculateur!X40*VLOOKUP('Données projet'!$B$9,Paramètres!$A$1:$I$89,3,0)*0.475*44/12</f>
        <v>7.9973438075434835</v>
      </c>
      <c r="AB40" s="23">
        <f>EXP(-LN(2)/2)*AB39+(1-EXP(-LN(2)/2))/(LN(2)/2)*V40*Y40*VLOOKUP('Données projet'!$B$9,Paramètres!$A$1:$I$89,3,0)*0.475*44/12</f>
        <v>2.8883932144855038</v>
      </c>
      <c r="AC40" s="24">
        <f t="shared" si="3"/>
        <v>47.698640141273316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10.1875</v>
      </c>
      <c r="AI40" s="14">
        <f>IF('Données projet'!$A$62&gt;35,AI39+AH40-AQ39,IF(A40&lt;'Données projet'!$A$62,$AF$205^A40,IF(A40='Données projet'!$A$62,'Données projet'!$B$62,AI39+AH40-AQ39)))</f>
        <v>261.41000000000003</v>
      </c>
      <c r="AJ40" s="14">
        <f>AI40*VLOOKUP('Données projet'!$B$10,Paramètres!$A$1:$I$89,3,0)*VLOOKUP('Données projet'!$B$10,Paramètres!$A$1:$I$89,5,0)</f>
        <v>122.33988000000001</v>
      </c>
      <c r="AK40" s="14">
        <f t="shared" si="35"/>
        <v>32.22012300014292</v>
      </c>
      <c r="AL40" s="22">
        <f t="shared" si="4"/>
        <v>269.19200522524892</v>
      </c>
      <c r="AM40" s="62">
        <f t="shared" si="5"/>
        <v>562.52533855858223</v>
      </c>
      <c r="AN40" s="62">
        <f ca="1">AVERAGE(OFFSET($AM$3,0,0,'Données projet'!$E$10+1,1))-AVERAGE(OFFSET($H$3,0,0,'Données projet'!$E$10+1,1))</f>
        <v>201.92726874818067</v>
      </c>
      <c r="AO40" s="62">
        <f t="shared" si="36"/>
        <v>197.16147791248727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6.7313335107735064</v>
      </c>
      <c r="AW40" s="23">
        <f>EXP(-LN(2)/2)*AW39+(1-EXP(-LN(2)/2))/(LN(2)/2)*AQ40*AT40*VLOOKUP('Données projet'!$B$10,Paramètres!$A$1:$I$89,3,0)*0.475*44/12</f>
        <v>3.1963970735208838</v>
      </c>
      <c r="AX40" s="23">
        <f t="shared" si="6"/>
        <v>9.927730584294391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1.8846153846153846</v>
      </c>
      <c r="BD40" s="13">
        <f>IF('Données projet'!$A$88&gt;35,BD39+BC40-BL39,IF(A40&lt;'Données projet'!$A$88,$BA$205^A40,IF(A40='Données projet'!$A$88,'Données projet'!$B$88,BD39+BC40-BL39)))</f>
        <v>69.730769230769269</v>
      </c>
      <c r="BE40" s="14">
        <f>BD40*VLOOKUP('Données projet'!$B$11,Paramètres!$A$1:$I$89,3,0)*VLOOKUP('Données projet'!$B$11,Paramètres!$A$1:$I$89,5,0)</f>
        <v>70.707000000000036</v>
      </c>
      <c r="BF40" s="14">
        <f t="shared" si="37"/>
        <v>19.848927769701518</v>
      </c>
      <c r="BG40" s="22">
        <f t="shared" si="7"/>
        <v>157.71824086556353</v>
      </c>
      <c r="BH40" s="62">
        <f t="shared" si="8"/>
        <v>451.05157419889684</v>
      </c>
      <c r="BI40" s="62">
        <f ca="1">AVERAGE(OFFSET($BH$3,0,0,'Données projet'!$E$11+1,1))-AVERAGE(OFFSET($H$3,0,0,'Données projet'!$E$11+1,1))</f>
        <v>234.66244049825644</v>
      </c>
      <c r="BJ40" s="62">
        <f t="shared" si="38"/>
        <v>87.037318032671465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19.166666666666668</v>
      </c>
      <c r="N41" s="14">
        <f>IF('Données projet'!$A$36&gt;35,N40+M41-V40,IF(A41&lt;'Données projet'!$A$36,$K$205^A41,IF(A41='Données projet'!$A$36,'Données projet'!$B$36,N40+M41-V40)))</f>
        <v>260.66666666666669</v>
      </c>
      <c r="O41" s="14">
        <f>N41*VLOOKUP('Données projet'!$B$9,Paramètres!$A$1:$I$89,3,0)*VLOOKUP('Données projet'!$B$9,Paramètres!$A$1:$I$89,5,0)</f>
        <v>155.8786666666667</v>
      </c>
      <c r="P41" s="14">
        <f t="shared" si="33"/>
        <v>39.91153006299848</v>
      </c>
      <c r="Q41" s="22">
        <f t="shared" si="53"/>
        <v>341.00125930416687</v>
      </c>
      <c r="R41" s="62">
        <f t="shared" si="0"/>
        <v>634.33459263750024</v>
      </c>
      <c r="S41" s="62">
        <f ca="1">AVERAGE(OFFSET($R$3,0,0,'Données projet'!$E$9+1,1))-AVERAGE(OFFSET($H$3,0,0,'Données projet'!$E$9+1,1))</f>
        <v>217.62295992724461</v>
      </c>
      <c r="T41" s="62">
        <f t="shared" si="34"/>
        <v>198.62788037979772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36.091024542729741</v>
      </c>
      <c r="AA41" s="23">
        <f>EXP(-LN(2)/25)*AA40+(1-EXP(-LN(2)/25))/(LN(2)/25)*Calculateur!V41*Calculateur!X41*VLOOKUP('Données projet'!$B$9,Paramètres!$A$1:$I$89,3,0)*0.475*44/12</f>
        <v>7.7786560205641742</v>
      </c>
      <c r="AB41" s="23">
        <f>EXP(-LN(2)/2)*AB40+(1-EXP(-LN(2)/2))/(LN(2)/2)*V41*Y41*VLOOKUP('Données projet'!$B$9,Paramètres!$A$1:$I$89,3,0)*0.475*44/12</f>
        <v>2.0424024286959099</v>
      </c>
      <c r="AC41" s="24">
        <f t="shared" si="3"/>
        <v>45.91208299198982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10.1875</v>
      </c>
      <c r="AI41" s="14">
        <f>IF('Données projet'!$A$62&gt;35,AI40+AH41-AQ40,IF(A41&lt;'Données projet'!$A$62,$AF$205^A41,IF(A41='Données projet'!$A$62,'Données projet'!$B$62,AI40+AH41-AQ40)))</f>
        <v>271.59750000000003</v>
      </c>
      <c r="AJ41" s="14">
        <f>AI41*VLOOKUP('Données projet'!$B$10,Paramètres!$A$1:$I$89,3,0)*VLOOKUP('Données projet'!$B$10,Paramètres!$A$1:$I$89,5,0)</f>
        <v>127.10763000000001</v>
      </c>
      <c r="AK41" s="14">
        <f t="shared" si="35"/>
        <v>33.327144866175374</v>
      </c>
      <c r="AL41" s="22">
        <f t="shared" si="4"/>
        <v>279.42389955858874</v>
      </c>
      <c r="AM41" s="62">
        <f t="shared" si="5"/>
        <v>572.75723289192206</v>
      </c>
      <c r="AN41" s="62">
        <f ca="1">AVERAGE(OFFSET($AM$3,0,0,'Données projet'!$E$10+1,1))-AVERAGE(OFFSET($H$3,0,0,'Données projet'!$E$10+1,1))</f>
        <v>201.92726874818067</v>
      </c>
      <c r="AO41" s="62">
        <f t="shared" si="36"/>
        <v>197.16147791248727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6.5472648419359603</v>
      </c>
      <c r="AW41" s="23">
        <f>EXP(-LN(2)/2)*AW40+(1-EXP(-LN(2)/2))/(LN(2)/2)*AQ41*AT41*VLOOKUP('Données projet'!$B$10,Paramètres!$A$1:$I$89,3,0)*0.475*44/12</f>
        <v>2.2601940460514527</v>
      </c>
      <c r="AX41" s="23">
        <f t="shared" si="6"/>
        <v>8.8074588879874121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1.8846153846153846</v>
      </c>
      <c r="BD41" s="13">
        <f>IF('Données projet'!$A$88&gt;35,BD40+BC41-BL40,IF(A41&lt;'Données projet'!$A$88,$BA$205^A41,IF(A41='Données projet'!$A$88,'Données projet'!$B$88,BD40+BC41-BL40)))</f>
        <v>71.615384615384656</v>
      </c>
      <c r="BE41" s="14">
        <f>BD41*VLOOKUP('Données projet'!$B$11,Paramètres!$A$1:$I$89,3,0)*VLOOKUP('Données projet'!$B$11,Paramètres!$A$1:$I$89,5,0)</f>
        <v>72.618000000000038</v>
      </c>
      <c r="BF41" s="14">
        <f t="shared" si="37"/>
        <v>20.322203405798462</v>
      </c>
      <c r="BG41" s="22">
        <f t="shared" si="7"/>
        <v>161.87085426509904</v>
      </c>
      <c r="BH41" s="62">
        <f t="shared" si="8"/>
        <v>455.20418759843233</v>
      </c>
      <c r="BI41" s="62">
        <f ca="1">AVERAGE(OFFSET($BH$3,0,0,'Données projet'!$E$11+1,1))-AVERAGE(OFFSET($H$3,0,0,'Données projet'!$E$11+1,1))</f>
        <v>234.66244049825644</v>
      </c>
      <c r="BJ41" s="62">
        <f t="shared" si="38"/>
        <v>87.037318032671465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19.166666666666668</v>
      </c>
      <c r="N42" s="14">
        <f>IF('Données projet'!$A$36&gt;35,N41+M42-V41,IF(A42&lt;'Données projet'!$A$36,$K$205^A42,IF(A42='Données projet'!$A$36,'Données projet'!$B$36,N41+M42-V41)))</f>
        <v>279.83333333333337</v>
      </c>
      <c r="O42" s="14">
        <f>N42*VLOOKUP('Données projet'!$B$9,Paramètres!$A$1:$I$89,3,0)*VLOOKUP('Données projet'!$B$9,Paramètres!$A$1:$I$89,5,0)</f>
        <v>167.34033333333338</v>
      </c>
      <c r="P42" s="14">
        <f t="shared" si="33"/>
        <v>42.493801152873964</v>
      </c>
      <c r="Q42" s="22">
        <f t="shared" si="53"/>
        <v>365.46111756347779</v>
      </c>
      <c r="R42" s="62">
        <f t="shared" si="0"/>
        <v>658.7944508968111</v>
      </c>
      <c r="S42" s="62">
        <f ca="1">AVERAGE(OFFSET($R$3,0,0,'Données projet'!$E$9+1,1))-AVERAGE(OFFSET($H$3,0,0,'Données projet'!$E$9+1,1))</f>
        <v>217.62295992724461</v>
      </c>
      <c r="T42" s="62">
        <f t="shared" si="34"/>
        <v>198.62788037979772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35.383301564798145</v>
      </c>
      <c r="AA42" s="23">
        <f>EXP(-LN(2)/25)*AA41+(1-EXP(-LN(2)/25))/(LN(2)/25)*Calculateur!V42*Calculateur!X42*VLOOKUP('Données projet'!$B$9,Paramètres!$A$1:$I$89,3,0)*0.475*44/12</f>
        <v>7.5659482626201049</v>
      </c>
      <c r="AB42" s="23">
        <f>EXP(-LN(2)/2)*AB41+(1-EXP(-LN(2)/2))/(LN(2)/2)*V42*Y42*VLOOKUP('Données projet'!$B$9,Paramètres!$A$1:$I$89,3,0)*0.475*44/12</f>
        <v>1.4441966072427521</v>
      </c>
      <c r="AC42" s="24">
        <f t="shared" si="3"/>
        <v>44.393446434661001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10.1875</v>
      </c>
      <c r="AI42" s="14">
        <f>IF('Données projet'!$A$62&gt;35,AI41+AH42-AQ41,IF(A42&lt;'Données projet'!$A$62,$AF$205^A42,IF(A42='Données projet'!$A$62,'Données projet'!$B$62,AI41+AH42-AQ41)))</f>
        <v>281.78500000000003</v>
      </c>
      <c r="AJ42" s="14">
        <f>AI42*VLOOKUP('Données projet'!$B$10,Paramètres!$A$1:$I$89,3,0)*VLOOKUP('Données projet'!$B$10,Paramètres!$A$1:$I$89,5,0)</f>
        <v>131.87538000000001</v>
      </c>
      <c r="AK42" s="14">
        <f t="shared" si="35"/>
        <v>34.429342692535762</v>
      </c>
      <c r="AL42" s="22">
        <f t="shared" si="4"/>
        <v>289.64739202283312</v>
      </c>
      <c r="AM42" s="62">
        <f t="shared" si="5"/>
        <v>582.98072535616643</v>
      </c>
      <c r="AN42" s="62">
        <f ca="1">AVERAGE(OFFSET($AM$3,0,0,'Données projet'!$E$10+1,1))-AVERAGE(OFFSET($H$3,0,0,'Données projet'!$E$10+1,1))</f>
        <v>201.92726874818067</v>
      </c>
      <c r="AO42" s="62">
        <f t="shared" si="36"/>
        <v>197.16147791248727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6.3682295405275271</v>
      </c>
      <c r="AW42" s="23">
        <f>EXP(-LN(2)/2)*AW41+(1-EXP(-LN(2)/2))/(LN(2)/2)*AQ42*AT42*VLOOKUP('Données projet'!$B$10,Paramètres!$A$1:$I$89,3,0)*0.475*44/12</f>
        <v>1.5981985367604421</v>
      </c>
      <c r="AX42" s="23">
        <f t="shared" si="6"/>
        <v>7.9664280772879694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1.8846153846153846</v>
      </c>
      <c r="BD42" s="13">
        <f>IF('Données projet'!$A$88&gt;35,BD41+BC42-BL41,IF(A42&lt;'Données projet'!$A$88,$BA$205^A42,IF(A42='Données projet'!$A$88,'Données projet'!$B$88,BD41+BC42-BL41)))</f>
        <v>73.500000000000043</v>
      </c>
      <c r="BE42" s="14">
        <f>BD42*VLOOKUP('Données projet'!$B$11,Paramètres!$A$1:$I$89,3,0)*VLOOKUP('Données projet'!$B$11,Paramètres!$A$1:$I$89,5,0)</f>
        <v>74.529000000000039</v>
      </c>
      <c r="BF42" s="14">
        <f t="shared" si="37"/>
        <v>20.794031365411836</v>
      </c>
      <c r="BG42" s="22">
        <f t="shared" si="7"/>
        <v>166.020946294759</v>
      </c>
      <c r="BH42" s="62">
        <f t="shared" si="8"/>
        <v>459.35427962809229</v>
      </c>
      <c r="BI42" s="62">
        <f ca="1">AVERAGE(OFFSET($BH$3,0,0,'Données projet'!$E$11+1,1))-AVERAGE(OFFSET($H$3,0,0,'Données projet'!$E$11+1,1))</f>
        <v>234.66244049825644</v>
      </c>
      <c r="BJ42" s="62">
        <f t="shared" si="38"/>
        <v>87.037318032671465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299</v>
      </c>
      <c r="L43" s="13">
        <f>VLOOKUP(A43,'Données projet'!$A$35:$I$55,9,0)</f>
        <v>19.166666666666668</v>
      </c>
      <c r="M43" s="13">
        <f t="array" ref="M43">INDEX(L:L,MIN(IF(ISNUMBER(L43:L239),ROW(L43:L239),"")))</f>
        <v>19.166666666666668</v>
      </c>
      <c r="N43" s="14">
        <f>IF('Données projet'!$A$36&gt;35,N42+M43-V42,IF(A43&lt;'Données projet'!$A$36,$K$205^A43,IF(A43='Données projet'!$A$36,'Données projet'!$B$36,N42+M43-V42)))</f>
        <v>299.00000000000006</v>
      </c>
      <c r="O43" s="14">
        <f>N43*VLOOKUP('Données projet'!$B$9,Paramètres!$A$1:$I$89,3,0)*VLOOKUP('Données projet'!$B$9,Paramètres!$A$1:$I$89,5,0)</f>
        <v>178.80200000000002</v>
      </c>
      <c r="P43" s="14">
        <f t="shared" si="33"/>
        <v>45.055549739375941</v>
      </c>
      <c r="Q43" s="22">
        <f t="shared" si="53"/>
        <v>389.88523246274644</v>
      </c>
      <c r="R43" s="62">
        <f t="shared" si="0"/>
        <v>683.2185657960797</v>
      </c>
      <c r="S43" s="62">
        <f ca="1">AVERAGE(OFFSET($R$3,0,0,'Données projet'!$E$9+1,1))-AVERAGE(OFFSET($H$3,0,0,'Données projet'!$E$9+1,1))</f>
        <v>217.62295992724461</v>
      </c>
      <c r="T43" s="62">
        <f t="shared" si="34"/>
        <v>198.62788037979772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34</v>
      </c>
      <c r="W43" s="17">
        <f>IF(ISNA(VLOOKUP(A43,'Données projet'!$A$35:$I$55,5,0)),0%,VLOOKUP(A43,'Données projet'!$A$35:$I$55,5,0)*VLOOKUP('Données projet'!$B$9,Paramètres!$A$1:$I$89,7,0))</f>
        <v>0.315</v>
      </c>
      <c r="X43" s="17">
        <f>IF(ISNA(VLOOKUP(A43,'Données projet'!$A$35:$I$55,6,0)),0%,VLOOKUP(A43,'Données projet'!$A$35:$I$55,6,0)*VLOOKUP('Données projet'!$B$9,Paramètres!$A$1:$I$89,7,0))</f>
        <v>5.3999999999999999E-2</v>
      </c>
      <c r="Y43" s="17">
        <f>IF(ISNA(VLOOKUP(A43,'Données projet'!$A$35:$I$55,7,0)),0%,VLOOKUP(A43,'Données projet'!$A$35:$I$55,7,0))</f>
        <v>0.18</v>
      </c>
      <c r="Z43" s="23">
        <f>EXP(-LN(2)/35)*Z42+(1-EXP(-LN(2)/35))/(LN(2)/35)*V43*W43*VLOOKUP('Données projet'!$B$9,Paramètres!$A$1:$I$89,3,0)*0.475*44/12</f>
        <v>43.185544782814361</v>
      </c>
      <c r="AA43" s="23">
        <f>EXP(-LN(2)/25)*AA42+(1-EXP(-LN(2)/25))/(LN(2)/25)*Calculateur!V43*Calculateur!X43*VLOOKUP('Données projet'!$B$9,Paramètres!$A$1:$I$89,3,0)*0.475*44/12</f>
        <v>8.8097945826898325</v>
      </c>
      <c r="AB43" s="23">
        <f>EXP(-LN(2)/2)*AB42+(1-EXP(-LN(2)/2))/(LN(2)/2)*V43*Y43*VLOOKUP('Données projet'!$B$9,Paramètres!$A$1:$I$89,3,0)*0.475*44/12</f>
        <v>5.1648996875434126</v>
      </c>
      <c r="AC43" s="24">
        <f t="shared" si="3"/>
        <v>57.160239053047604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10.1875</v>
      </c>
      <c r="AI43" s="14">
        <f>IF('Données projet'!$A$62&gt;35,AI42+AH43-AQ42,IF(A43&lt;'Données projet'!$A$62,$AF$205^A43,IF(A43='Données projet'!$A$62,'Données projet'!$B$62,AI42+AH43-AQ42)))</f>
        <v>291.97250000000003</v>
      </c>
      <c r="AJ43" s="14">
        <f>AI43*VLOOKUP('Données projet'!$B$10,Paramètres!$A$1:$I$89,3,0)*VLOOKUP('Données projet'!$B$10,Paramètres!$A$1:$I$89,5,0)</f>
        <v>136.64313000000001</v>
      </c>
      <c r="AK43" s="14">
        <f t="shared" si="35"/>
        <v>35.526910862739456</v>
      </c>
      <c r="AL43" s="22">
        <f t="shared" si="4"/>
        <v>299.86282116927129</v>
      </c>
      <c r="AM43" s="62">
        <f t="shared" si="5"/>
        <v>593.1961545026046</v>
      </c>
      <c r="AN43" s="62">
        <f ca="1">AVERAGE(OFFSET($AM$3,0,0,'Données projet'!$E$10+1,1))-AVERAGE(OFFSET($H$3,0,0,'Données projet'!$E$10+1,1))</f>
        <v>201.92726874818067</v>
      </c>
      <c r="AO43" s="62">
        <f t="shared" si="36"/>
        <v>197.16147791248727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6.1940899688511655</v>
      </c>
      <c r="AW43" s="23">
        <f>EXP(-LN(2)/2)*AW42+(1-EXP(-LN(2)/2))/(LN(2)/2)*AQ43*AT43*VLOOKUP('Données projet'!$B$10,Paramètres!$A$1:$I$89,3,0)*0.475*44/12</f>
        <v>1.1300970230257263</v>
      </c>
      <c r="AX43" s="23">
        <f t="shared" si="6"/>
        <v>7.3241869918768918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1.8846153846153846</v>
      </c>
      <c r="BD43" s="13">
        <f>IF('Données projet'!$A$88&gt;35,BD42+BC43-BL42,IF(A43&lt;'Données projet'!$A$88,$BA$205^A43,IF(A43='Données projet'!$A$88,'Données projet'!$B$88,BD42+BC43-BL42)))</f>
        <v>75.384615384615429</v>
      </c>
      <c r="BE43" s="14">
        <f>BD43*VLOOKUP('Données projet'!$B$11,Paramètres!$A$1:$I$89,3,0)*VLOOKUP('Données projet'!$B$11,Paramètres!$A$1:$I$89,5,0)</f>
        <v>76.44000000000004</v>
      </c>
      <c r="BF43" s="14">
        <f t="shared" si="37"/>
        <v>21.264453036605797</v>
      </c>
      <c r="BG43" s="22">
        <f t="shared" si="7"/>
        <v>170.16858903875519</v>
      </c>
      <c r="BH43" s="62">
        <f t="shared" si="8"/>
        <v>463.50192237208853</v>
      </c>
      <c r="BI43" s="62">
        <f ca="1">AVERAGE(OFFSET($BH$3,0,0,'Données projet'!$E$11+1,1))-AVERAGE(OFFSET($H$3,0,0,'Données projet'!$E$11+1,1))</f>
        <v>234.66244049825644</v>
      </c>
      <c r="BJ43" s="62">
        <f t="shared" si="38"/>
        <v>87.037318032671465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13.166666666666666</v>
      </c>
      <c r="N44" s="14">
        <f>IF('Données projet'!$A$36&gt;35,N43+M44-V43,IF(A44&lt;'Données projet'!$A$36,$K$205^A44,IF(A44='Données projet'!$A$36,'Données projet'!$B$36,N43+M44-V43)))</f>
        <v>278.16666666666674</v>
      </c>
      <c r="O44" s="14">
        <f>N44*VLOOKUP('Données projet'!$B$9,Paramètres!$A$1:$I$89,3,0)*VLOOKUP('Données projet'!$B$9,Paramètres!$A$1:$I$89,5,0)</f>
        <v>166.34366666666673</v>
      </c>
      <c r="P44" s="14">
        <f t="shared" si="33"/>
        <v>42.27009319028425</v>
      </c>
      <c r="Q44" s="22">
        <f t="shared" si="53"/>
        <v>363.33563175085629</v>
      </c>
      <c r="R44" s="62">
        <f t="shared" si="0"/>
        <v>656.66896508418961</v>
      </c>
      <c r="S44" s="62">
        <f ca="1">AVERAGE(OFFSET($R$3,0,0,'Données projet'!$E$9+1,1))-AVERAGE(OFFSET($H$3,0,0,'Données projet'!$E$9+1,1))</f>
        <v>217.62295992724461</v>
      </c>
      <c r="T44" s="62">
        <f t="shared" si="34"/>
        <v>198.62788037979772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42.338702590204775</v>
      </c>
      <c r="AA44" s="23">
        <f>EXP(-LN(2)/25)*AA43+(1-EXP(-LN(2)/25))/(LN(2)/25)*Calculateur!V44*Calculateur!X44*VLOOKUP('Données projet'!$B$9,Paramètres!$A$1:$I$89,3,0)*0.475*44/12</f>
        <v>8.5688902865392169</v>
      </c>
      <c r="AB44" s="23">
        <f>EXP(-LN(2)/2)*AB43+(1-EXP(-LN(2)/2))/(LN(2)/2)*V44*Y44*VLOOKUP('Données projet'!$B$9,Paramètres!$A$1:$I$89,3,0)*0.475*44/12</f>
        <v>3.652135593210228</v>
      </c>
      <c r="AC44" s="24">
        <f t="shared" si="3"/>
        <v>54.559728469954216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302.16000000000003</v>
      </c>
      <c r="AG44" s="13">
        <f>VLOOKUP(A44,'Données projet'!$A$61:$I$81,9,0)</f>
        <v>10.1875</v>
      </c>
      <c r="AH44" s="13">
        <f t="array" ref="AH44">INDEX(AG:AG,MIN(IF(ISNUMBER(AG44:AG240),ROW(AG44:AG240),"")))</f>
        <v>10.1875</v>
      </c>
      <c r="AI44" s="14">
        <f>IF('Données projet'!$A$62&gt;35,AI43+AH44-AQ43,IF(A44&lt;'Données projet'!$A$62,$AF$205^A44,IF(A44='Données projet'!$A$62,'Données projet'!$B$62,AI43+AH44-AQ43)))</f>
        <v>302.16000000000003</v>
      </c>
      <c r="AJ44" s="14">
        <f>AI44*VLOOKUP('Données projet'!$B$10,Paramètres!$A$1:$I$89,3,0)*VLOOKUP('Données projet'!$B$10,Paramètres!$A$1:$I$89,5,0)</f>
        <v>141.41088000000002</v>
      </c>
      <c r="AK44" s="14">
        <f t="shared" si="35"/>
        <v>36.620029426225379</v>
      </c>
      <c r="AL44" s="22">
        <f t="shared" si="4"/>
        <v>310.07050058400927</v>
      </c>
      <c r="AM44" s="62">
        <f t="shared" si="5"/>
        <v>603.40383391734258</v>
      </c>
      <c r="AN44" s="62">
        <f ca="1">AVERAGE(OFFSET($AM$3,0,0,'Données projet'!$E$10+1,1))-AVERAGE(OFFSET($H$3,0,0,'Données projet'!$E$10+1,1))</f>
        <v>201.92726874818067</v>
      </c>
      <c r="AO44" s="62">
        <f t="shared" si="36"/>
        <v>197.16147791248727</v>
      </c>
      <c r="AP44" s="16">
        <f>IF(ISNA(VLOOKUP(A44,'Données projet'!$A$61:$I$81,3,0)),0,VLOOKUP(A44,'Données projet'!$A$61:$I$81,3,0))</f>
        <v>3</v>
      </c>
      <c r="AQ44" s="16">
        <f>IF(ISNA(VLOOKUP(A44,'Données projet'!$A$61:$I$81,4,0)),0,VLOOKUP(A44,'Données projet'!$A$61:$I$81,4,0))</f>
        <v>60.43</v>
      </c>
      <c r="AR44" s="17">
        <f>IF(ISNA(VLOOKUP(A44,'Données projet'!$A$61:$I$81,5,0)),0%,VLOOKUP(A44,'Données projet'!$A$61:$I$81,5,0)*VLOOKUP('Données projet'!$B$10,Paramètres!$A$1:$I$89,7,0))</f>
        <v>0.16500000000000001</v>
      </c>
      <c r="AS44" s="17">
        <f>IF(ISNA(VLOOKUP(A44,'Données projet'!$A$61:$I$81,6,0)),0%,VLOOKUP(A44,'Données projet'!$A$61:$I$81,6,0)*VLOOKUP('Données projet'!$B$10,Paramètres!$A$1:$I$89,7,0))</f>
        <v>0.15400000000000003</v>
      </c>
      <c r="AT44" s="17">
        <f>IF(ISNA(VLOOKUP(A44,'Données projet'!$A$61:$I$81,7,0)),0%,VLOOKUP(A44,'Données projet'!$A$61:$I$81,7,0))</f>
        <v>0.42</v>
      </c>
      <c r="AU44" s="23">
        <f>EXP(-LN(2)/35)*AU43+(1-EXP(-LN(2)/35))/(LN(2)/35)*AQ44*AR44*VLOOKUP('Données projet'!$B$10,Paramètres!$A$1:$I$89,3,0)*0.475*44/12</f>
        <v>6.1902864770595656</v>
      </c>
      <c r="AV44" s="23">
        <f>EXP(-LN(2)/25)*AV43+(1-EXP(-LN(2)/25))/(LN(2)/25)*Calculateur!AQ44*Calculateur!AS44*VLOOKUP('Données projet'!$B$10,Paramètres!$A$1:$I$89,3,0)*0.475*44/12</f>
        <v>11.779564349400857</v>
      </c>
      <c r="AW44" s="23">
        <f>EXP(-LN(2)/2)*AW43+(1-EXP(-LN(2)/2))/(LN(2)/2)*AQ44*AT44*VLOOKUP('Données projet'!$B$10,Paramètres!$A$1:$I$89,3,0)*0.475*44/12</f>
        <v>14.247891272061123</v>
      </c>
      <c r="AX44" s="23">
        <f t="shared" si="6"/>
        <v>32.217742098521548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1.8846153846153846</v>
      </c>
      <c r="BD44" s="13">
        <f>IF('Données projet'!$A$88&gt;35,BD43+BC44-BL43,IF(A44&lt;'Données projet'!$A$88,$BA$205^A44,IF(A44='Données projet'!$A$88,'Données projet'!$B$88,BD43+BC44-BL43)))</f>
        <v>77.269230769230816</v>
      </c>
      <c r="BE44" s="14">
        <f>BD44*VLOOKUP('Données projet'!$B$11,Paramètres!$A$1:$I$89,3,0)*VLOOKUP('Données projet'!$B$11,Paramètres!$A$1:$I$89,5,0)</f>
        <v>78.351000000000056</v>
      </c>
      <c r="BF44" s="14">
        <f t="shared" si="37"/>
        <v>21.733507620098223</v>
      </c>
      <c r="BG44" s="22">
        <f t="shared" si="7"/>
        <v>174.31385077167116</v>
      </c>
      <c r="BH44" s="62">
        <f t="shared" si="8"/>
        <v>467.6471841050045</v>
      </c>
      <c r="BI44" s="62">
        <f ca="1">AVERAGE(OFFSET($BH$3,0,0,'Données projet'!$E$11+1,1))-AVERAGE(OFFSET($H$3,0,0,'Données projet'!$E$11+1,1))</f>
        <v>234.66244049825644</v>
      </c>
      <c r="BJ44" s="62">
        <f t="shared" si="38"/>
        <v>87.037318032671465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13.166666666666666</v>
      </c>
      <c r="N45" s="14">
        <f>IF('Données projet'!$A$36&gt;35,N44+M45-V44,IF(A45&lt;'Données projet'!$A$36,$K$205^A45,IF(A45='Données projet'!$A$36,'Données projet'!$B$36,N44+M45-V44)))</f>
        <v>291.33333333333343</v>
      </c>
      <c r="O45" s="14">
        <f>N45*VLOOKUP('Données projet'!$B$9,Paramètres!$A$1:$I$89,3,0)*VLOOKUP('Données projet'!$B$9,Paramètres!$A$1:$I$89,5,0)</f>
        <v>174.21733333333339</v>
      </c>
      <c r="P45" s="14">
        <f t="shared" si="33"/>
        <v>44.033214640942347</v>
      </c>
      <c r="Q45" s="22">
        <f t="shared" si="53"/>
        <v>380.11970438853018</v>
      </c>
      <c r="R45" s="62">
        <f t="shared" si="0"/>
        <v>673.45303772186344</v>
      </c>
      <c r="S45" s="62">
        <f ca="1">AVERAGE(OFFSET($R$3,0,0,'Données projet'!$E$9+1,1))-AVERAGE(OFFSET($H$3,0,0,'Données projet'!$E$9+1,1))</f>
        <v>217.62295992724461</v>
      </c>
      <c r="T45" s="62">
        <f t="shared" si="34"/>
        <v>198.62788037979772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41.508466456469527</v>
      </c>
      <c r="AA45" s="23">
        <f>EXP(-LN(2)/25)*AA44+(1-EXP(-LN(2)/25))/(LN(2)/25)*Calculateur!V45*Calculateur!X45*VLOOKUP('Données projet'!$B$9,Paramètres!$A$1:$I$89,3,0)*0.475*44/12</f>
        <v>8.3345735310354456</v>
      </c>
      <c r="AB45" s="23">
        <f>EXP(-LN(2)/2)*AB44+(1-EXP(-LN(2)/2))/(LN(2)/2)*V45*Y45*VLOOKUP('Données projet'!$B$9,Paramètres!$A$1:$I$89,3,0)*0.475*44/12</f>
        <v>2.5824498437717067</v>
      </c>
      <c r="AC45" s="24">
        <f t="shared" si="3"/>
        <v>52.425489831276678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11.863636363636363</v>
      </c>
      <c r="AI45" s="14">
        <f>IF('Données projet'!$A$62&gt;35,AI44+AH45-AQ44,IF(A45&lt;'Données projet'!$A$62,$AF$205^A45,IF(A45='Données projet'!$A$62,'Données projet'!$B$62,AI44+AH45-AQ44)))</f>
        <v>253.59363636363639</v>
      </c>
      <c r="AJ45" s="14">
        <f>AI45*VLOOKUP('Données projet'!$B$10,Paramètres!$A$1:$I$89,3,0)*VLOOKUP('Données projet'!$B$10,Paramètres!$A$1:$I$89,5,0)</f>
        <v>118.68182181818185</v>
      </c>
      <c r="AK45" s="14">
        <f t="shared" si="35"/>
        <v>31.367358518357648</v>
      </c>
      <c r="AL45" s="22">
        <f t="shared" si="4"/>
        <v>261.3356557528063</v>
      </c>
      <c r="AM45" s="62">
        <f t="shared" si="5"/>
        <v>554.66898908613962</v>
      </c>
      <c r="AN45" s="62">
        <f ca="1">AVERAGE(OFFSET($AM$3,0,0,'Données projet'!$E$10+1,1))-AVERAGE(OFFSET($H$3,0,0,'Données projet'!$E$10+1,1))</f>
        <v>201.92726874818067</v>
      </c>
      <c r="AO45" s="62">
        <f t="shared" si="36"/>
        <v>197.16147791248727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6.0688987349463588</v>
      </c>
      <c r="AV45" s="23">
        <f>EXP(-LN(2)/25)*AV44+(1-EXP(-LN(2)/25))/(LN(2)/25)*Calculateur!AQ45*Calculateur!AS45*VLOOKUP('Données projet'!$B$10,Paramètres!$A$1:$I$89,3,0)*0.475*44/12</f>
        <v>11.457451542806124</v>
      </c>
      <c r="AW45" s="23">
        <f>EXP(-LN(2)/2)*AW44+(1-EXP(-LN(2)/2))/(LN(2)/2)*AQ45*AT45*VLOOKUP('Données projet'!$B$10,Paramètres!$A$1:$I$89,3,0)*0.475*44/12</f>
        <v>10.074780536083045</v>
      </c>
      <c r="AX45" s="23">
        <f t="shared" si="6"/>
        <v>27.601130813835532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1.8846153846153846</v>
      </c>
      <c r="BD45" s="13">
        <f>IF('Données projet'!$A$88&gt;35,BD44+BC45-BL44,IF(A45&lt;'Données projet'!$A$88,$BA$205^A45,IF(A45='Données projet'!$A$88,'Données projet'!$B$88,BD44+BC45-BL44)))</f>
        <v>79.153846153846203</v>
      </c>
      <c r="BE45" s="14">
        <f>BD45*VLOOKUP('Données projet'!$B$11,Paramètres!$A$1:$I$89,3,0)*VLOOKUP('Données projet'!$B$11,Paramètres!$A$1:$I$89,5,0)</f>
        <v>80.262000000000057</v>
      </c>
      <c r="BF45" s="14">
        <f t="shared" si="37"/>
        <v>22.201232295351048</v>
      </c>
      <c r="BG45" s="22">
        <f t="shared" si="7"/>
        <v>178.45679624773652</v>
      </c>
      <c r="BH45" s="62">
        <f t="shared" si="8"/>
        <v>471.79012958106983</v>
      </c>
      <c r="BI45" s="62">
        <f ca="1">AVERAGE(OFFSET($BH$3,0,0,'Données projet'!$E$11+1,1))-AVERAGE(OFFSET($H$3,0,0,'Données projet'!$E$11+1,1))</f>
        <v>234.66244049825644</v>
      </c>
      <c r="BJ45" s="62">
        <f t="shared" si="38"/>
        <v>87.037318032671465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13.166666666666666</v>
      </c>
      <c r="N46" s="14">
        <f>IF('Données projet'!$A$36&gt;35,N45+M46-V45,IF(A46&lt;'Données projet'!$A$36,$K$205^A46,IF(A46='Données projet'!$A$36,'Données projet'!$B$36,N45+M46-V45)))</f>
        <v>304.50000000000011</v>
      </c>
      <c r="O46" s="14">
        <f>N46*VLOOKUP('Données projet'!$B$9,Paramètres!$A$1:$I$89,3,0)*VLOOKUP('Données projet'!$B$9,Paramètres!$A$1:$I$89,5,0)</f>
        <v>182.09100000000007</v>
      </c>
      <c r="P46" s="14">
        <f t="shared" si="33"/>
        <v>45.787081970409069</v>
      </c>
      <c r="Q46" s="22">
        <f t="shared" si="53"/>
        <v>396.88765943179595</v>
      </c>
      <c r="R46" s="62">
        <f t="shared" si="0"/>
        <v>690.22099276512927</v>
      </c>
      <c r="S46" s="62">
        <f ca="1">AVERAGE(OFFSET($R$3,0,0,'Données projet'!$E$9+1,1))-AVERAGE(OFFSET($H$3,0,0,'Données projet'!$E$9+1,1))</f>
        <v>217.62295992724461</v>
      </c>
      <c r="T46" s="62">
        <f t="shared" si="34"/>
        <v>198.62788037979772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40.694510746922788</v>
      </c>
      <c r="AA46" s="23">
        <f>EXP(-LN(2)/25)*AA45+(1-EXP(-LN(2)/25))/(LN(2)/25)*Calculateur!V46*Calculateur!X46*VLOOKUP('Données projet'!$B$9,Paramètres!$A$1:$I$89,3,0)*0.475*44/12</f>
        <v>8.1066641795331087</v>
      </c>
      <c r="AB46" s="23">
        <f>EXP(-LN(2)/2)*AB45+(1-EXP(-LN(2)/2))/(LN(2)/2)*V46*Y46*VLOOKUP('Données projet'!$B$9,Paramètres!$A$1:$I$89,3,0)*0.475*44/12</f>
        <v>1.8260677966051142</v>
      </c>
      <c r="AC46" s="24">
        <f t="shared" si="3"/>
        <v>50.627242723061016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11.863636363636363</v>
      </c>
      <c r="AI46" s="14">
        <f>IF('Données projet'!$A$62&gt;35,AI45+AH46-AQ45,IF(A46&lt;'Données projet'!$A$62,$AF$205^A46,IF(A46='Données projet'!$A$62,'Données projet'!$B$62,AI45+AH46-AQ45)))</f>
        <v>265.45727272727277</v>
      </c>
      <c r="AJ46" s="14">
        <f>AI46*VLOOKUP('Données projet'!$B$10,Paramètres!$A$1:$I$89,3,0)*VLOOKUP('Données projet'!$B$10,Paramètres!$A$1:$I$89,5,0)</f>
        <v>124.23400363636365</v>
      </c>
      <c r="AK46" s="14">
        <f t="shared" si="35"/>
        <v>32.660509404168003</v>
      </c>
      <c r="AL46" s="22">
        <f t="shared" si="4"/>
        <v>273.25794354559258</v>
      </c>
      <c r="AM46" s="62">
        <f t="shared" si="5"/>
        <v>566.5912768789259</v>
      </c>
      <c r="AN46" s="62">
        <f ca="1">AVERAGE(OFFSET($AM$3,0,0,'Données projet'!$E$10+1,1))-AVERAGE(OFFSET($H$3,0,0,'Données projet'!$E$10+1,1))</f>
        <v>201.92726874818067</v>
      </c>
      <c r="AO46" s="62">
        <f t="shared" si="36"/>
        <v>197.16147791248727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5.9498913324167804</v>
      </c>
      <c r="AV46" s="23">
        <f>EXP(-LN(2)/25)*AV45+(1-EXP(-LN(2)/25))/(LN(2)/25)*Calculateur!AQ46*Calculateur!AS46*VLOOKUP('Données projet'!$B$10,Paramètres!$A$1:$I$89,3,0)*0.475*44/12</f>
        <v>11.144146927846901</v>
      </c>
      <c r="AW46" s="23">
        <f>EXP(-LN(2)/2)*AW45+(1-EXP(-LN(2)/2))/(LN(2)/2)*AQ46*AT46*VLOOKUP('Données projet'!$B$10,Paramètres!$A$1:$I$89,3,0)*0.475*44/12</f>
        <v>7.1239456360305624</v>
      </c>
      <c r="AX46" s="23">
        <f t="shared" si="6"/>
        <v>24.217983896294243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1.8846153846153846</v>
      </c>
      <c r="BD46" s="13">
        <f>IF('Données projet'!$A$88&gt;35,BD45+BC46-BL45,IF(A46&lt;'Données projet'!$A$88,$BA$205^A46,IF(A46='Données projet'!$A$88,'Données projet'!$B$88,BD45+BC46-BL45)))</f>
        <v>81.03846153846159</v>
      </c>
      <c r="BE46" s="14">
        <f>BD46*VLOOKUP('Données projet'!$B$11,Paramètres!$A$1:$I$89,3,0)*VLOOKUP('Données projet'!$B$11,Paramètres!$A$1:$I$89,5,0)</f>
        <v>82.173000000000059</v>
      </c>
      <c r="BF46" s="14">
        <f t="shared" si="37"/>
        <v>22.667662370396673</v>
      </c>
      <c r="BG46" s="22">
        <f t="shared" si="7"/>
        <v>182.59748696177428</v>
      </c>
      <c r="BH46" s="62">
        <f t="shared" si="8"/>
        <v>475.93082029510759</v>
      </c>
      <c r="BI46" s="62">
        <f ca="1">AVERAGE(OFFSET($BH$3,0,0,'Données projet'!$E$11+1,1))-AVERAGE(OFFSET($H$3,0,0,'Données projet'!$E$11+1,1))</f>
        <v>234.66244049825644</v>
      </c>
      <c r="BJ46" s="62">
        <f t="shared" si="38"/>
        <v>87.037318032671465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13.166666666666666</v>
      </c>
      <c r="N47" s="14">
        <f>IF('Données projet'!$A$36&gt;35,N46+M47-V46,IF(A47&lt;'Données projet'!$A$36,$K$205^A47,IF(A47='Données projet'!$A$36,'Données projet'!$B$36,N46+M47-V46)))</f>
        <v>317.6666666666668</v>
      </c>
      <c r="O47" s="14">
        <f>N47*VLOOKUP('Données projet'!$B$9,Paramètres!$A$1:$I$89,3,0)*VLOOKUP('Données projet'!$B$9,Paramètres!$A$1:$I$89,5,0)</f>
        <v>189.96466666666674</v>
      </c>
      <c r="P47" s="14">
        <f t="shared" si="33"/>
        <v>47.532141068345183</v>
      </c>
      <c r="Q47" s="22">
        <f t="shared" si="53"/>
        <v>413.64027347181246</v>
      </c>
      <c r="R47" s="62">
        <f t="shared" si="0"/>
        <v>706.97360680514578</v>
      </c>
      <c r="S47" s="62">
        <f ca="1">AVERAGE(OFFSET($R$3,0,0,'Données projet'!$E$9+1,1))-AVERAGE(OFFSET($H$3,0,0,'Données projet'!$E$9+1,1))</f>
        <v>217.62295992724461</v>
      </c>
      <c r="T47" s="62">
        <f t="shared" si="34"/>
        <v>198.62788037979772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39.896516212376298</v>
      </c>
      <c r="AA47" s="23">
        <f>EXP(-LN(2)/25)*AA46+(1-EXP(-LN(2)/25))/(LN(2)/25)*Calculateur!V47*Calculateur!X47*VLOOKUP('Données projet'!$B$9,Paramètres!$A$1:$I$89,3,0)*0.475*44/12</f>
        <v>7.8849870212328348</v>
      </c>
      <c r="AB47" s="23">
        <f>EXP(-LN(2)/2)*AB46+(1-EXP(-LN(2)/2))/(LN(2)/2)*V47*Y47*VLOOKUP('Données projet'!$B$9,Paramètres!$A$1:$I$89,3,0)*0.475*44/12</f>
        <v>1.2912249218858536</v>
      </c>
      <c r="AC47" s="24">
        <f t="shared" si="3"/>
        <v>49.072728155494985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11.863636363636363</v>
      </c>
      <c r="AI47" s="14">
        <f>IF('Données projet'!$A$62&gt;35,AI46+AH47-AQ46,IF(A47&lt;'Données projet'!$A$62,$AF$205^A47,IF(A47='Données projet'!$A$62,'Données projet'!$B$62,AI46+AH47-AQ46)))</f>
        <v>277.32090909090914</v>
      </c>
      <c r="AJ47" s="14">
        <f>AI47*VLOOKUP('Données projet'!$B$10,Paramètres!$A$1:$I$89,3,0)*VLOOKUP('Données projet'!$B$10,Paramètres!$A$1:$I$89,5,0)</f>
        <v>129.78618545454549</v>
      </c>
      <c r="AK47" s="14">
        <f t="shared" si="35"/>
        <v>33.946948336425564</v>
      </c>
      <c r="AL47" s="22">
        <f t="shared" si="4"/>
        <v>285.16854135260792</v>
      </c>
      <c r="AM47" s="62">
        <f t="shared" si="5"/>
        <v>578.50187468594117</v>
      </c>
      <c r="AN47" s="62">
        <f ca="1">AVERAGE(OFFSET($AM$3,0,0,'Données projet'!$E$10+1,1))-AVERAGE(OFFSET($H$3,0,0,'Données projet'!$E$10+1,1))</f>
        <v>201.92726874818067</v>
      </c>
      <c r="AO47" s="62">
        <f t="shared" si="36"/>
        <v>197.16147791248727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5.8332175924634591</v>
      </c>
      <c r="AV47" s="23">
        <f>EXP(-LN(2)/25)*AV46+(1-EXP(-LN(2)/25))/(LN(2)/25)*Calculateur!AQ47*Calculateur!AS47*VLOOKUP('Données projet'!$B$10,Paramètres!$A$1:$I$89,3,0)*0.475*44/12</f>
        <v>10.83940964405971</v>
      </c>
      <c r="AW47" s="23">
        <f>EXP(-LN(2)/2)*AW46+(1-EXP(-LN(2)/2))/(LN(2)/2)*AQ47*AT47*VLOOKUP('Données projet'!$B$10,Paramètres!$A$1:$I$89,3,0)*0.475*44/12</f>
        <v>5.0373902680415235</v>
      </c>
      <c r="AX47" s="23">
        <f t="shared" si="6"/>
        <v>21.710017504564693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1.8846153846153846</v>
      </c>
      <c r="BD47" s="13">
        <f>IF('Données projet'!$A$88&gt;35,BD46+BC47-BL46,IF(A47&lt;'Données projet'!$A$88,$BA$205^A47,IF(A47='Données projet'!$A$88,'Données projet'!$B$88,BD46+BC47-BL46)))</f>
        <v>82.923076923076977</v>
      </c>
      <c r="BE47" s="14">
        <f>BD47*VLOOKUP('Données projet'!$B$11,Paramètres!$A$1:$I$89,3,0)*VLOOKUP('Données projet'!$B$11,Paramètres!$A$1:$I$89,5,0)</f>
        <v>84.08400000000006</v>
      </c>
      <c r="BF47" s="14">
        <f t="shared" si="37"/>
        <v>23.132831417334547</v>
      </c>
      <c r="BG47" s="22">
        <f t="shared" si="7"/>
        <v>186.73598138519108</v>
      </c>
      <c r="BH47" s="62">
        <f t="shared" si="8"/>
        <v>480.06931471852442</v>
      </c>
      <c r="BI47" s="62">
        <f ca="1">AVERAGE(OFFSET($BH$3,0,0,'Données projet'!$E$11+1,1))-AVERAGE(OFFSET($H$3,0,0,'Données projet'!$E$11+1,1))</f>
        <v>234.66244049825644</v>
      </c>
      <c r="BJ47" s="62">
        <f t="shared" si="38"/>
        <v>87.037318032671465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13.166666666666666</v>
      </c>
      <c r="N48" s="14">
        <f>IF('Données projet'!$A$36&gt;35,N47+M48-V47,IF(A48&lt;'Données projet'!$A$36,$K$205^A48,IF(A48='Données projet'!$A$36,'Données projet'!$B$36,N47+M48-V47)))</f>
        <v>330.83333333333348</v>
      </c>
      <c r="O48" s="14">
        <f>N48*VLOOKUP('Données projet'!$B$9,Paramètres!$A$1:$I$89,3,0)*VLOOKUP('Données projet'!$B$9,Paramètres!$A$1:$I$89,5,0)</f>
        <v>197.83833333333345</v>
      </c>
      <c r="P48" s="14">
        <f t="shared" si="33"/>
        <v>49.26879877057565</v>
      </c>
      <c r="Q48" s="22">
        <f t="shared" si="53"/>
        <v>430.37825508097495</v>
      </c>
      <c r="R48" s="62">
        <f t="shared" si="0"/>
        <v>723.71158841430827</v>
      </c>
      <c r="S48" s="62">
        <f ca="1">AVERAGE(OFFSET($R$3,0,0,'Données projet'!$E$9+1,1))-AVERAGE(OFFSET($H$3,0,0,'Données projet'!$E$9+1,1))</f>
        <v>217.62295992724461</v>
      </c>
      <c r="T48" s="62">
        <f t="shared" si="34"/>
        <v>198.62788037979772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39.114169863923657</v>
      </c>
      <c r="AA48" s="23">
        <f>EXP(-LN(2)/25)*AA47+(1-EXP(-LN(2)/25))/(LN(2)/25)*Calculateur!V48*Calculateur!X48*VLOOKUP('Données projet'!$B$9,Paramètres!$A$1:$I$89,3,0)*0.475*44/12</f>
        <v>7.6693716364837767</v>
      </c>
      <c r="AB48" s="23">
        <f>EXP(-LN(2)/2)*AB47+(1-EXP(-LN(2)/2))/(LN(2)/2)*V48*Y48*VLOOKUP('Données projet'!$B$9,Paramètres!$A$1:$I$89,3,0)*0.475*44/12</f>
        <v>0.91303389830255721</v>
      </c>
      <c r="AC48" s="24">
        <f t="shared" si="3"/>
        <v>47.696575398709989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11.863636363636363</v>
      </c>
      <c r="AI48" s="14">
        <f>IF('Données projet'!$A$62&gt;35,AI47+AH48-AQ47,IF(A48&lt;'Données projet'!$A$62,$AF$205^A48,IF(A48='Données projet'!$A$62,'Données projet'!$B$62,AI47+AH48-AQ47)))</f>
        <v>289.18454545454551</v>
      </c>
      <c r="AJ48" s="14">
        <f>AI48*VLOOKUP('Données projet'!$B$10,Paramètres!$A$1:$I$89,3,0)*VLOOKUP('Données projet'!$B$10,Paramètres!$A$1:$I$89,5,0)</f>
        <v>135.33836727272728</v>
      </c>
      <c r="AK48" s="14">
        <f t="shared" si="35"/>
        <v>35.226995273551132</v>
      </c>
      <c r="AL48" s="22">
        <f t="shared" si="4"/>
        <v>297.06800643476817</v>
      </c>
      <c r="AM48" s="62">
        <f t="shared" si="5"/>
        <v>590.40133976810148</v>
      </c>
      <c r="AN48" s="62">
        <f ca="1">AVERAGE(OFFSET($AM$3,0,0,'Données projet'!$E$10+1,1))-AVERAGE(OFFSET($H$3,0,0,'Données projet'!$E$10+1,1))</f>
        <v>201.92726874818067</v>
      </c>
      <c r="AO48" s="62">
        <f t="shared" si="36"/>
        <v>197.16147791248727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5.7188317533866675</v>
      </c>
      <c r="AV48" s="23">
        <f>EXP(-LN(2)/25)*AV47+(1-EXP(-LN(2)/25))/(LN(2)/25)*Calculateur!AQ48*Calculateur!AS48*VLOOKUP('Données projet'!$B$10,Paramètres!$A$1:$I$89,3,0)*0.475*44/12</f>
        <v>10.543005417323117</v>
      </c>
      <c r="AW48" s="23">
        <f>EXP(-LN(2)/2)*AW47+(1-EXP(-LN(2)/2))/(LN(2)/2)*AQ48*AT48*VLOOKUP('Données projet'!$B$10,Paramètres!$A$1:$I$89,3,0)*0.475*44/12</f>
        <v>3.5619728180152816</v>
      </c>
      <c r="AX48" s="23">
        <f t="shared" si="6"/>
        <v>19.823809988725067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1.8846153846153846</v>
      </c>
      <c r="BD48" s="13">
        <f>IF('Données projet'!$A$88&gt;35,BD47+BC48-BL47,IF(A48&lt;'Données projet'!$A$88,$BA$205^A48,IF(A48='Données projet'!$A$88,'Données projet'!$B$88,BD47+BC48-BL47)))</f>
        <v>84.807692307692363</v>
      </c>
      <c r="BE48" s="14">
        <f>BD48*VLOOKUP('Données projet'!$B$11,Paramètres!$A$1:$I$89,3,0)*VLOOKUP('Données projet'!$B$11,Paramètres!$A$1:$I$89,5,0)</f>
        <v>85.995000000000061</v>
      </c>
      <c r="BF48" s="14">
        <f t="shared" si="37"/>
        <v>23.596771395162531</v>
      </c>
      <c r="BG48" s="22">
        <f t="shared" si="7"/>
        <v>190.87233517990819</v>
      </c>
      <c r="BH48" s="62">
        <f t="shared" si="8"/>
        <v>484.20566851324151</v>
      </c>
      <c r="BI48" s="62">
        <f ca="1">AVERAGE(OFFSET($BH$3,0,0,'Données projet'!$E$11+1,1))-AVERAGE(OFFSET($H$3,0,0,'Données projet'!$E$11+1,1))</f>
        <v>234.66244049825644</v>
      </c>
      <c r="BJ48" s="62">
        <f t="shared" si="38"/>
        <v>87.037318032671465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344</v>
      </c>
      <c r="L49" s="13">
        <f>VLOOKUP(A49,'Données projet'!$A$35:$I$55,9,0)</f>
        <v>13.166666666666666</v>
      </c>
      <c r="M49" s="13">
        <f t="array" ref="M49">INDEX(L:L,MIN(IF(ISNUMBER(L49:L245),ROW(L49:L245),"")))</f>
        <v>13.166666666666666</v>
      </c>
      <c r="N49" s="14">
        <f>IF('Données projet'!$A$36&gt;35,N48+M49-V48,IF(A49&lt;'Données projet'!$A$36,$K$205^A49,IF(A49='Données projet'!$A$36,'Données projet'!$B$36,N48+M49-V48)))</f>
        <v>344.00000000000017</v>
      </c>
      <c r="O49" s="14">
        <f>N49*VLOOKUP('Données projet'!$B$9,Paramètres!$A$1:$I$89,3,0)*VLOOKUP('Données projet'!$B$9,Paramètres!$A$1:$I$89,5,0)</f>
        <v>205.71200000000013</v>
      </c>
      <c r="P49" s="14">
        <f t="shared" si="33"/>
        <v>50.997427696933762</v>
      </c>
      <c r="Q49" s="22">
        <f t="shared" si="53"/>
        <v>447.10225323882656</v>
      </c>
      <c r="R49" s="62">
        <f t="shared" si="0"/>
        <v>740.43558657215988</v>
      </c>
      <c r="S49" s="62">
        <f ca="1">AVERAGE(OFFSET($R$3,0,0,'Données projet'!$E$9+1,1))-AVERAGE(OFFSET($H$3,0,0,'Données projet'!$E$9+1,1))</f>
        <v>217.62295992724461</v>
      </c>
      <c r="T49" s="62">
        <f t="shared" si="34"/>
        <v>198.62788037979772</v>
      </c>
      <c r="U49" s="16">
        <f>IF(ISNA(VLOOKUP(A49,'Données projet'!$A$35:$I$55,3,0)),0,VLOOKUP(A49,'Données projet'!$A$35:$I$55,3,0))</f>
        <v>8</v>
      </c>
      <c r="V49" s="16">
        <f>IF(ISNA(VLOOKUP(A49,'Données projet'!$A$35:$I$55,4,0)),0,VLOOKUP(A49,'Données projet'!$A$35:$I$55,4,0))</f>
        <v>21</v>
      </c>
      <c r="W49" s="17">
        <f>IF(ISNA(VLOOKUP(A49,'Données projet'!$A$35:$I$55,5,0)),0%,VLOOKUP(A49,'Données projet'!$A$35:$I$55,5,0)*VLOOKUP('Données projet'!$B$9,Paramètres!$A$1:$I$89,7,0))</f>
        <v>0.315</v>
      </c>
      <c r="X49" s="17">
        <f>IF(ISNA(VLOOKUP(A49,'Données projet'!$A$35:$I$55,6,0)),0%,VLOOKUP(A49,'Données projet'!$A$35:$I$55,6,0)*VLOOKUP('Données projet'!$B$9,Paramètres!$A$1:$I$89,7,0))</f>
        <v>5.3999999999999999E-2</v>
      </c>
      <c r="Y49" s="17">
        <f>IF(ISNA(VLOOKUP(A49,'Données projet'!$A$35:$I$55,7,0)),0%,VLOOKUP(A49,'Données projet'!$A$35:$I$55,7,0))</f>
        <v>0.18</v>
      </c>
      <c r="Z49" s="23">
        <f>EXP(-LN(2)/35)*Z48+(1-EXP(-LN(2)/35))/(LN(2)/35)*V49*W49*VLOOKUP('Données projet'!$B$9,Paramètres!$A$1:$I$89,3,0)*0.475*44/12</f>
        <v>43.594748726074094</v>
      </c>
      <c r="AA49" s="23">
        <f>EXP(-LN(2)/25)*AA48+(1-EXP(-LN(2)/25))/(LN(2)/25)*Calculateur!V49*Calculateur!X49*VLOOKUP('Données projet'!$B$9,Paramètres!$A$1:$I$89,3,0)*0.475*44/12</f>
        <v>8.3556960609731377</v>
      </c>
      <c r="AB49" s="23">
        <f>EXP(-LN(2)/2)*AB48+(1-EXP(-LN(2)/2))/(LN(2)/2)*V49*Y49*VLOOKUP('Données projet'!$B$9,Paramètres!$A$1:$I$89,3,0)*0.475*44/12</f>
        <v>3.204955635563651</v>
      </c>
      <c r="AC49" s="24">
        <f t="shared" si="3"/>
        <v>55.155400422610882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11.863636363636363</v>
      </c>
      <c r="AI49" s="14">
        <f>IF('Données projet'!$A$62&gt;35,AI48+AH49-AQ48,IF(A49&lt;'Données projet'!$A$62,$AF$205^A49,IF(A49='Données projet'!$A$62,'Données projet'!$B$62,AI48+AH49-AQ48)))</f>
        <v>301.04818181818189</v>
      </c>
      <c r="AJ49" s="14">
        <f>AI49*VLOOKUP('Données projet'!$B$10,Paramètres!$A$1:$I$89,3,0)*VLOOKUP('Données projet'!$B$10,Paramètres!$A$1:$I$89,5,0)</f>
        <v>140.89054909090913</v>
      </c>
      <c r="AK49" s="14">
        <f t="shared" si="35"/>
        <v>36.5009424362201</v>
      </c>
      <c r="AL49" s="22">
        <f t="shared" si="4"/>
        <v>308.95684774308342</v>
      </c>
      <c r="AM49" s="62">
        <f t="shared" si="5"/>
        <v>602.29018107641673</v>
      </c>
      <c r="AN49" s="62">
        <f ca="1">AVERAGE(OFFSET($AM$3,0,0,'Données projet'!$E$10+1,1))-AVERAGE(OFFSET($H$3,0,0,'Données projet'!$E$10+1,1))</f>
        <v>201.92726874818067</v>
      </c>
      <c r="AO49" s="62">
        <f t="shared" si="36"/>
        <v>197.16147791248727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5.6066889508456992</v>
      </c>
      <c r="AV49" s="23">
        <f>EXP(-LN(2)/25)*AV48+(1-EXP(-LN(2)/25))/(LN(2)/25)*Calculateur!AQ49*Calculateur!AS49*VLOOKUP('Données projet'!$B$10,Paramètres!$A$1:$I$89,3,0)*0.475*44/12</f>
        <v>10.254706379753857</v>
      </c>
      <c r="AW49" s="23">
        <f>EXP(-LN(2)/2)*AW48+(1-EXP(-LN(2)/2))/(LN(2)/2)*AQ49*AT49*VLOOKUP('Données projet'!$B$10,Paramètres!$A$1:$I$89,3,0)*0.475*44/12</f>
        <v>2.5186951340207622</v>
      </c>
      <c r="AX49" s="23">
        <f t="shared" si="6"/>
        <v>18.38009046462032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1.8846153846153846</v>
      </c>
      <c r="BD49" s="13">
        <f>IF('Données projet'!$A$88&gt;35,BD48+BC49-BL48,IF(A49&lt;'Données projet'!$A$88,$BA$205^A49,IF(A49='Données projet'!$A$88,'Données projet'!$B$88,BD48+BC49-BL48)))</f>
        <v>86.69230769230775</v>
      </c>
      <c r="BE49" s="14">
        <f>BD49*VLOOKUP('Données projet'!$B$11,Paramètres!$A$1:$I$89,3,0)*VLOOKUP('Données projet'!$B$11,Paramètres!$A$1:$I$89,5,0)</f>
        <v>87.906000000000063</v>
      </c>
      <c r="BF49" s="14">
        <f t="shared" si="37"/>
        <v>24.059512761382098</v>
      </c>
      <c r="BG49" s="22">
        <f t="shared" si="7"/>
        <v>195.00660139274058</v>
      </c>
      <c r="BH49" s="62">
        <f t="shared" si="8"/>
        <v>488.33993472607392</v>
      </c>
      <c r="BI49" s="62">
        <f ca="1">AVERAGE(OFFSET($BH$3,0,0,'Données projet'!$E$11+1,1))-AVERAGE(OFFSET($H$3,0,0,'Données projet'!$E$11+1,1))</f>
        <v>234.66244049825644</v>
      </c>
      <c r="BJ49" s="62">
        <f t="shared" si="38"/>
        <v>87.037318032671465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7.75</v>
      </c>
      <c r="N50" s="14">
        <f>IF('Données projet'!$A$36&gt;35,N49+M50-V49,IF(A50&lt;'Données projet'!$A$36,$K$205^A50,IF(A50='Données projet'!$A$36,'Données projet'!$B$36,N49+M50-V49)))</f>
        <v>330.75000000000017</v>
      </c>
      <c r="O50" s="14">
        <f>N50*VLOOKUP('Données projet'!$B$9,Paramètres!$A$1:$I$89,3,0)*VLOOKUP('Données projet'!$B$9,Paramètres!$A$1:$I$89,5,0)</f>
        <v>197.78850000000014</v>
      </c>
      <c r="P50" s="14">
        <f t="shared" si="33"/>
        <v>49.257832889251105</v>
      </c>
      <c r="Q50" s="22">
        <f t="shared" si="53"/>
        <v>430.27236311544584</v>
      </c>
      <c r="R50" s="62">
        <f t="shared" si="0"/>
        <v>723.6056964487791</v>
      </c>
      <c r="S50" s="62">
        <f ca="1">AVERAGE(OFFSET($R$3,0,0,'Données projet'!$E$9+1,1))-AVERAGE(OFFSET($H$3,0,0,'Données projet'!$E$9+1,1))</f>
        <v>217.62295992724461</v>
      </c>
      <c r="T50" s="62">
        <f t="shared" si="34"/>
        <v>198.62788037979772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42.739882293726943</v>
      </c>
      <c r="AA50" s="23">
        <f>EXP(-LN(2)/25)*AA49+(1-EXP(-LN(2)/25))/(LN(2)/25)*Calculateur!V50*Calculateur!X50*VLOOKUP('Données projet'!$B$9,Paramètres!$A$1:$I$89,3,0)*0.475*44/12</f>
        <v>8.1272091127788677</v>
      </c>
      <c r="AB50" s="23">
        <f>EXP(-LN(2)/2)*AB49+(1-EXP(-LN(2)/2))/(LN(2)/2)*V50*Y50*VLOOKUP('Données projet'!$B$9,Paramètres!$A$1:$I$89,3,0)*0.475*44/12</f>
        <v>2.2662458633090989</v>
      </c>
      <c r="AC50" s="24">
        <f t="shared" si="3"/>
        <v>53.133337269814909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11.863636363636363</v>
      </c>
      <c r="AI50" s="14">
        <f>IF('Données projet'!$A$62&gt;35,AI49+AH50-AQ49,IF(A50&lt;'Données projet'!$A$62,$AF$205^A50,IF(A50='Données projet'!$A$62,'Données projet'!$B$62,AI49+AH50-AQ49)))</f>
        <v>312.91181818181826</v>
      </c>
      <c r="AJ50" s="14">
        <f>AI50*VLOOKUP('Données projet'!$B$10,Paramètres!$A$1:$I$89,3,0)*VLOOKUP('Données projet'!$B$10,Paramètres!$A$1:$I$89,5,0)</f>
        <v>146.44273090909095</v>
      </c>
      <c r="AK50" s="14">
        <f t="shared" si="35"/>
        <v>37.769057709680411</v>
      </c>
      <c r="AL50" s="22">
        <f t="shared" si="4"/>
        <v>320.83553184436016</v>
      </c>
      <c r="AM50" s="62">
        <f t="shared" si="5"/>
        <v>614.16886517769353</v>
      </c>
      <c r="AN50" s="62">
        <f ca="1">AVERAGE(OFFSET($AM$3,0,0,'Données projet'!$E$10+1,1))-AVERAGE(OFFSET($H$3,0,0,'Données projet'!$E$10+1,1))</f>
        <v>201.92726874818067</v>
      </c>
      <c r="AO50" s="62">
        <f t="shared" si="36"/>
        <v>197.16147791248727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5.4967452002622039</v>
      </c>
      <c r="AV50" s="23">
        <f>EXP(-LN(2)/25)*AV49+(1-EXP(-LN(2)/25))/(LN(2)/25)*Calculateur!AQ50*Calculateur!AS50*VLOOKUP('Données projet'!$B$10,Paramètres!$A$1:$I$89,3,0)*0.475*44/12</f>
        <v>9.9742908945279165</v>
      </c>
      <c r="AW50" s="23">
        <f>EXP(-LN(2)/2)*AW49+(1-EXP(-LN(2)/2))/(LN(2)/2)*AQ50*AT50*VLOOKUP('Données projet'!$B$10,Paramètres!$A$1:$I$89,3,0)*0.475*44/12</f>
        <v>1.7809864090076413</v>
      </c>
      <c r="AX50" s="23">
        <f t="shared" si="6"/>
        <v>17.252022503797761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1.8846153846153846</v>
      </c>
      <c r="BD50" s="13">
        <f>IF('Données projet'!$A$88&gt;35,BD49+BC50-BL49,IF(A50&lt;'Données projet'!$A$88,$BA$205^A50,IF(A50='Données projet'!$A$88,'Données projet'!$B$88,BD49+BC50-BL49)))</f>
        <v>88.576923076923137</v>
      </c>
      <c r="BE50" s="14">
        <f>BD50*VLOOKUP('Données projet'!$B$11,Paramètres!$A$1:$I$89,3,0)*VLOOKUP('Données projet'!$B$11,Paramètres!$A$1:$I$89,5,0)</f>
        <v>89.817000000000064</v>
      </c>
      <c r="BF50" s="14">
        <f t="shared" si="37"/>
        <v>24.521084573624965</v>
      </c>
      <c r="BG50" s="22">
        <f t="shared" si="7"/>
        <v>199.13883063239689</v>
      </c>
      <c r="BH50" s="62">
        <f t="shared" si="8"/>
        <v>492.4721639657302</v>
      </c>
      <c r="BI50" s="62">
        <f ca="1">AVERAGE(OFFSET($BH$3,0,0,'Données projet'!$E$11+1,1))-AVERAGE(OFFSET($H$3,0,0,'Données projet'!$E$11+1,1))</f>
        <v>234.66244049825644</v>
      </c>
      <c r="BJ50" s="62">
        <f t="shared" si="38"/>
        <v>87.037318032671465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7.75</v>
      </c>
      <c r="N51" s="14">
        <f>IF('Données projet'!$A$36&gt;35,N50+M51-V50,IF(A51&lt;'Données projet'!$A$36,$K$205^A51,IF(A51='Données projet'!$A$36,'Données projet'!$B$36,N50+M51-V50)))</f>
        <v>338.50000000000017</v>
      </c>
      <c r="O51" s="14">
        <f>N51*VLOOKUP('Données projet'!$B$9,Paramètres!$A$1:$I$89,3,0)*VLOOKUP('Données projet'!$B$9,Paramètres!$A$1:$I$89,5,0)</f>
        <v>202.42300000000012</v>
      </c>
      <c r="P51" s="14">
        <f t="shared" si="33"/>
        <v>50.276296006959576</v>
      </c>
      <c r="Q51" s="22">
        <f t="shared" si="53"/>
        <v>440.11794054545476</v>
      </c>
      <c r="R51" s="62">
        <f t="shared" si="0"/>
        <v>733.45127387878802</v>
      </c>
      <c r="S51" s="62">
        <f ca="1">AVERAGE(OFFSET($R$3,0,0,'Données projet'!$E$9+1,1))-AVERAGE(OFFSET($H$3,0,0,'Données projet'!$E$9+1,1))</f>
        <v>217.62295992724461</v>
      </c>
      <c r="T51" s="62">
        <f t="shared" si="34"/>
        <v>198.62788037979772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41.901779270701084</v>
      </c>
      <c r="AA51" s="23">
        <f>EXP(-LN(2)/25)*AA50+(1-EXP(-LN(2)/25))/(LN(2)/25)*Calculateur!V51*Calculateur!X51*VLOOKUP('Données projet'!$B$9,Paramètres!$A$1:$I$89,3,0)*0.475*44/12</f>
        <v>7.9049701521985769</v>
      </c>
      <c r="AB51" s="23">
        <f>EXP(-LN(2)/2)*AB50+(1-EXP(-LN(2)/2))/(LN(2)/2)*V51*Y51*VLOOKUP('Données projet'!$B$9,Paramètres!$A$1:$I$89,3,0)*0.475*44/12</f>
        <v>1.6024778177818255</v>
      </c>
      <c r="AC51" s="24">
        <f t="shared" si="3"/>
        <v>51.409227240681489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11.863636363636363</v>
      </c>
      <c r="AI51" s="14">
        <f>IF('Données projet'!$A$62&gt;35,AI50+AH51-AQ50,IF(A51&lt;'Données projet'!$A$62,$AF$205^A51,IF(A51='Données projet'!$A$62,'Données projet'!$B$62,AI50+AH51-AQ50)))</f>
        <v>324.77545454545464</v>
      </c>
      <c r="AJ51" s="14">
        <f>AI51*VLOOKUP('Données projet'!$B$10,Paramètres!$A$1:$I$89,3,0)*VLOOKUP('Données projet'!$B$10,Paramètres!$A$1:$I$89,5,0)</f>
        <v>151.99491272727278</v>
      </c>
      <c r="AK51" s="14">
        <f t="shared" si="35"/>
        <v>39.031587515583425</v>
      </c>
      <c r="AL51" s="22">
        <f t="shared" si="4"/>
        <v>332.70448792297452</v>
      </c>
      <c r="AM51" s="62">
        <f t="shared" si="5"/>
        <v>626.03782125630778</v>
      </c>
      <c r="AN51" s="62">
        <f ca="1">AVERAGE(OFFSET($AM$3,0,0,'Données projet'!$E$10+1,1))-AVERAGE(OFFSET($H$3,0,0,'Données projet'!$E$10+1,1))</f>
        <v>201.92726874818067</v>
      </c>
      <c r="AO51" s="62">
        <f t="shared" si="36"/>
        <v>197.16147791248727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5.3889573795685841</v>
      </c>
      <c r="AV51" s="23">
        <f>EXP(-LN(2)/25)*AV50+(1-EXP(-LN(2)/25))/(LN(2)/25)*Calculateur!AQ51*Calculateur!AS51*VLOOKUP('Données projet'!$B$10,Paramètres!$A$1:$I$89,3,0)*0.475*44/12</f>
        <v>9.7015433854918882</v>
      </c>
      <c r="AW51" s="23">
        <f>EXP(-LN(2)/2)*AW50+(1-EXP(-LN(2)/2))/(LN(2)/2)*AQ51*AT51*VLOOKUP('Données projet'!$B$10,Paramètres!$A$1:$I$89,3,0)*0.475*44/12</f>
        <v>1.2593475670103813</v>
      </c>
      <c r="AX51" s="23">
        <f t="shared" si="6"/>
        <v>16.349848332070852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1.8846153846153846</v>
      </c>
      <c r="BD51" s="13">
        <f>IF('Données projet'!$A$88&gt;35,BD50+BC51-BL50,IF(A51&lt;'Données projet'!$A$88,$BA$205^A51,IF(A51='Données projet'!$A$88,'Données projet'!$B$88,BD50+BC51-BL50)))</f>
        <v>90.461538461538524</v>
      </c>
      <c r="BE51" s="14">
        <f>BD51*VLOOKUP('Données projet'!$B$11,Paramètres!$A$1:$I$89,3,0)*VLOOKUP('Données projet'!$B$11,Paramètres!$A$1:$I$89,5,0)</f>
        <v>91.728000000000065</v>
      </c>
      <c r="BF51" s="14">
        <f t="shared" si="37"/>
        <v>24.981514582386584</v>
      </c>
      <c r="BG51" s="22">
        <f t="shared" si="7"/>
        <v>203.26907123099008</v>
      </c>
      <c r="BH51" s="62">
        <f t="shared" si="8"/>
        <v>496.60240456432336</v>
      </c>
      <c r="BI51" s="62">
        <f ca="1">AVERAGE(OFFSET($BH$3,0,0,'Données projet'!$E$11+1,1))-AVERAGE(OFFSET($H$3,0,0,'Données projet'!$E$11+1,1))</f>
        <v>234.66244049825644</v>
      </c>
      <c r="BJ51" s="62">
        <f t="shared" si="38"/>
        <v>87.037318032671465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7.75</v>
      </c>
      <c r="N52" s="14">
        <f>IF('Données projet'!$A$36&gt;35,N51+M52-V51,IF(A52&lt;'Données projet'!$A$36,$K$205^A52,IF(A52='Données projet'!$A$36,'Données projet'!$B$36,N51+M52-V51)))</f>
        <v>346.25000000000017</v>
      </c>
      <c r="O52" s="14">
        <f>N52*VLOOKUP('Données projet'!$B$9,Paramètres!$A$1:$I$89,3,0)*VLOOKUP('Données projet'!$B$9,Paramètres!$A$1:$I$89,5,0)</f>
        <v>207.05750000000012</v>
      </c>
      <c r="P52" s="14">
        <f t="shared" si="33"/>
        <v>51.292048291115591</v>
      </c>
      <c r="Q52" s="22">
        <f t="shared" si="53"/>
        <v>449.95879660702644</v>
      </c>
      <c r="R52" s="62">
        <f t="shared" si="0"/>
        <v>743.2921299403597</v>
      </c>
      <c r="S52" s="62">
        <f ca="1">AVERAGE(OFFSET($R$3,0,0,'Données projet'!$E$9+1,1))-AVERAGE(OFFSET($H$3,0,0,'Données projet'!$E$9+1,1))</f>
        <v>217.62295992724461</v>
      </c>
      <c r="T52" s="62">
        <f t="shared" si="34"/>
        <v>198.62788037979772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41.080110936764392</v>
      </c>
      <c r="AA52" s="23">
        <f>EXP(-LN(2)/25)*AA51+(1-EXP(-LN(2)/25))/(LN(2)/25)*Calculateur!V52*Calculateur!X52*VLOOKUP('Données projet'!$B$9,Paramètres!$A$1:$I$89,3,0)*0.475*44/12</f>
        <v>7.688808327682394</v>
      </c>
      <c r="AB52" s="23">
        <f>EXP(-LN(2)/2)*AB51+(1-EXP(-LN(2)/2))/(LN(2)/2)*V52*Y52*VLOOKUP('Données projet'!$B$9,Paramètres!$A$1:$I$89,3,0)*0.475*44/12</f>
        <v>1.1331229316545495</v>
      </c>
      <c r="AC52" s="24">
        <f t="shared" si="3"/>
        <v>49.902042196101334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11.863636363636363</v>
      </c>
      <c r="AI52" s="14">
        <f>IF('Données projet'!$A$62&gt;35,AI51+AH52-AQ51,IF(A52&lt;'Données projet'!$A$62,$AF$205^A52,IF(A52='Données projet'!$A$62,'Données projet'!$B$62,AI51+AH52-AQ51)))</f>
        <v>336.63909090909101</v>
      </c>
      <c r="AJ52" s="14">
        <f>AI52*VLOOKUP('Données projet'!$B$10,Paramètres!$A$1:$I$89,3,0)*VLOOKUP('Données projet'!$B$10,Paramètres!$A$1:$I$89,5,0)</f>
        <v>157.5470945454546</v>
      </c>
      <c r="AK52" s="14">
        <f t="shared" si="35"/>
        <v>40.288759252403246</v>
      </c>
      <c r="AL52" s="22">
        <f t="shared" si="4"/>
        <v>344.56411203126908</v>
      </c>
      <c r="AM52" s="62">
        <f t="shared" si="5"/>
        <v>637.89744536460239</v>
      </c>
      <c r="AN52" s="62">
        <f ca="1">AVERAGE(OFFSET($AM$3,0,0,'Données projet'!$E$10+1,1))-AVERAGE(OFFSET($H$3,0,0,'Données projet'!$E$10+1,1))</f>
        <v>201.92726874818067</v>
      </c>
      <c r="AO52" s="62">
        <f t="shared" si="36"/>
        <v>197.16147791248727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5.2832832122946876</v>
      </c>
      <c r="AV52" s="23">
        <f>EXP(-LN(2)/25)*AV51+(1-EXP(-LN(2)/25))/(LN(2)/25)*Calculateur!AQ52*Calculateur!AS52*VLOOKUP('Données projet'!$B$10,Paramètres!$A$1:$I$89,3,0)*0.475*44/12</f>
        <v>9.4362541714336192</v>
      </c>
      <c r="AW52" s="23">
        <f>EXP(-LN(2)/2)*AW51+(1-EXP(-LN(2)/2))/(LN(2)/2)*AQ52*AT52*VLOOKUP('Données projet'!$B$10,Paramètres!$A$1:$I$89,3,0)*0.475*44/12</f>
        <v>0.89049320450382075</v>
      </c>
      <c r="AX52" s="23">
        <f t="shared" si="6"/>
        <v>15.610030588232128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1.8846153846153846</v>
      </c>
      <c r="BD52" s="13">
        <f>IF('Données projet'!$A$88&gt;35,BD51+BC52-BL51,IF(A52&lt;'Données projet'!$A$88,$BA$205^A52,IF(A52='Données projet'!$A$88,'Données projet'!$B$88,BD51+BC52-BL51)))</f>
        <v>92.346153846153911</v>
      </c>
      <c r="BE52" s="14">
        <f>BD52*VLOOKUP('Données projet'!$B$11,Paramètres!$A$1:$I$89,3,0)*VLOOKUP('Données projet'!$B$11,Paramètres!$A$1:$I$89,5,0)</f>
        <v>93.639000000000067</v>
      </c>
      <c r="BF52" s="14">
        <f t="shared" si="37"/>
        <v>25.440829315813765</v>
      </c>
      <c r="BG52" s="22">
        <f t="shared" si="7"/>
        <v>207.39736939170908</v>
      </c>
      <c r="BH52" s="62">
        <f t="shared" si="8"/>
        <v>500.73070272504242</v>
      </c>
      <c r="BI52" s="62">
        <f ca="1">AVERAGE(OFFSET($BH$3,0,0,'Données projet'!$E$11+1,1))-AVERAGE(OFFSET($H$3,0,0,'Données projet'!$E$11+1,1))</f>
        <v>234.66244049825644</v>
      </c>
      <c r="BJ52" s="62">
        <f t="shared" si="38"/>
        <v>87.037318032671465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7.75</v>
      </c>
      <c r="N53" s="14">
        <f>IF('Données projet'!$A$36&gt;35,N52+M53-V52,IF(A53&lt;'Données projet'!$A$36,$K$205^A53,IF(A53='Données projet'!$A$36,'Données projet'!$B$36,N52+M53-V52)))</f>
        <v>354.00000000000017</v>
      </c>
      <c r="O53" s="14">
        <f>N53*VLOOKUP('Données projet'!$B$9,Paramètres!$A$1:$I$89,3,0)*VLOOKUP('Données projet'!$B$9,Paramètres!$A$1:$I$89,5,0)</f>
        <v>211.69200000000012</v>
      </c>
      <c r="P53" s="14">
        <f t="shared" si="33"/>
        <v>52.305157403317885</v>
      </c>
      <c r="Q53" s="22">
        <f t="shared" si="53"/>
        <v>459.79504914411217</v>
      </c>
      <c r="R53" s="62">
        <f t="shared" si="0"/>
        <v>753.12838247744548</v>
      </c>
      <c r="S53" s="62">
        <f ca="1">AVERAGE(OFFSET($R$3,0,0,'Données projet'!$E$9+1,1))-AVERAGE(OFFSET($H$3,0,0,'Données projet'!$E$9+1,1))</f>
        <v>217.62295992724461</v>
      </c>
      <c r="T53" s="62">
        <f t="shared" si="34"/>
        <v>198.62788037979772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40.274555017688002</v>
      </c>
      <c r="AA53" s="23">
        <f>EXP(-LN(2)/25)*AA52+(1-EXP(-LN(2)/25))/(LN(2)/25)*Calculateur!V53*Calculateur!X53*VLOOKUP('Données projet'!$B$9,Paramètres!$A$1:$I$89,3,0)*0.475*44/12</f>
        <v>7.4785574596250619</v>
      </c>
      <c r="AB53" s="23">
        <f>EXP(-LN(2)/2)*AB52+(1-EXP(-LN(2)/2))/(LN(2)/2)*V53*Y53*VLOOKUP('Données projet'!$B$9,Paramètres!$A$1:$I$89,3,0)*0.475*44/12</f>
        <v>0.80123890889091276</v>
      </c>
      <c r="AC53" s="24">
        <f t="shared" si="3"/>
        <v>48.554351386203983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11.863636363636363</v>
      </c>
      <c r="AI53" s="14">
        <f>IF('Données projet'!$A$62&gt;35,AI52+AH53-AQ52,IF(A53&lt;'Données projet'!$A$62,$AF$205^A53,IF(A53='Données projet'!$A$62,'Données projet'!$B$62,AI52+AH53-AQ52)))</f>
        <v>348.50272727272738</v>
      </c>
      <c r="AJ53" s="14">
        <f>AI53*VLOOKUP('Données projet'!$B$10,Paramètres!$A$1:$I$89,3,0)*VLOOKUP('Données projet'!$B$10,Paramètres!$A$1:$I$89,5,0)</f>
        <v>163.09927636363642</v>
      </c>
      <c r="AK53" s="14">
        <f t="shared" si="35"/>
        <v>41.540783382174482</v>
      </c>
      <c r="AL53" s="22">
        <f t="shared" si="4"/>
        <v>356.41477072395401</v>
      </c>
      <c r="AM53" s="62">
        <f t="shared" si="5"/>
        <v>649.74810405728726</v>
      </c>
      <c r="AN53" s="62">
        <f ca="1">AVERAGE(OFFSET($AM$3,0,0,'Données projet'!$E$10+1,1))-AVERAGE(OFFSET($H$3,0,0,'Données projet'!$E$10+1,1))</f>
        <v>201.92726874818067</v>
      </c>
      <c r="AO53" s="62">
        <f t="shared" si="36"/>
        <v>197.16147791248727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5.1796812509861541</v>
      </c>
      <c r="AV53" s="23">
        <f>EXP(-LN(2)/25)*AV52+(1-EXP(-LN(2)/25))/(LN(2)/25)*Calculateur!AQ53*Calculateur!AS53*VLOOKUP('Données projet'!$B$10,Paramètres!$A$1:$I$89,3,0)*0.475*44/12</f>
        <v>9.1782193048847276</v>
      </c>
      <c r="AW53" s="23">
        <f>EXP(-LN(2)/2)*AW52+(1-EXP(-LN(2)/2))/(LN(2)/2)*AQ53*AT53*VLOOKUP('Données projet'!$B$10,Paramètres!$A$1:$I$89,3,0)*0.475*44/12</f>
        <v>0.62967378350519077</v>
      </c>
      <c r="AX53" s="23">
        <f t="shared" si="6"/>
        <v>14.987574339376071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1.8846153846153846</v>
      </c>
      <c r="BD53" s="13">
        <f>IF('Données projet'!$A$88&gt;35,BD52+BC53-BL52,IF(A53&lt;'Données projet'!$A$88,$BA$205^A53,IF(A53='Données projet'!$A$88,'Données projet'!$B$88,BD52+BC53-BL52)))</f>
        <v>94.230769230769297</v>
      </c>
      <c r="BE53" s="14">
        <f>BD53*VLOOKUP('Données projet'!$B$11,Paramètres!$A$1:$I$89,3,0)*VLOOKUP('Données projet'!$B$11,Paramètres!$A$1:$I$89,5,0)</f>
        <v>95.550000000000068</v>
      </c>
      <c r="BF53" s="14">
        <f t="shared" si="37"/>
        <v>25.899054157375339</v>
      </c>
      <c r="BG53" s="22">
        <f t="shared" si="7"/>
        <v>211.52376932409547</v>
      </c>
      <c r="BH53" s="62">
        <f t="shared" si="8"/>
        <v>504.85710265742875</v>
      </c>
      <c r="BI53" s="62">
        <f ca="1">AVERAGE(OFFSET($BH$3,0,0,'Données projet'!$E$11+1,1))-AVERAGE(OFFSET($H$3,0,0,'Données projet'!$E$11+1,1))</f>
        <v>234.66244049825644</v>
      </c>
      <c r="BJ53" s="62">
        <f t="shared" si="38"/>
        <v>87.037318032671465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7.75</v>
      </c>
      <c r="N54" s="14">
        <f>IF('Données projet'!$A$36&gt;35,N53+M54-V53,IF(A54&lt;'Données projet'!$A$36,$K$205^A54,IF(A54='Données projet'!$A$36,'Données projet'!$B$36,N53+M54-V53)))</f>
        <v>361.75000000000017</v>
      </c>
      <c r="O54" s="14">
        <f>N54*VLOOKUP('Données projet'!$B$9,Paramètres!$A$1:$I$89,3,0)*VLOOKUP('Données projet'!$B$9,Paramètres!$A$1:$I$89,5,0)</f>
        <v>216.32650000000012</v>
      </c>
      <c r="P54" s="14">
        <f t="shared" si="33"/>
        <v>53.315687873397927</v>
      </c>
      <c r="Q54" s="22">
        <f t="shared" si="53"/>
        <v>469.62681054616814</v>
      </c>
      <c r="R54" s="62">
        <f t="shared" si="0"/>
        <v>762.9601438795014</v>
      </c>
      <c r="S54" s="62">
        <f ca="1">AVERAGE(OFFSET($R$3,0,0,'Données projet'!$E$9+1,1))-AVERAGE(OFFSET($H$3,0,0,'Données projet'!$E$9+1,1))</f>
        <v>217.62295992724461</v>
      </c>
      <c r="T54" s="62">
        <f t="shared" si="34"/>
        <v>198.62788037979772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39.484795558844105</v>
      </c>
      <c r="AA54" s="23">
        <f>EXP(-LN(2)/25)*AA53+(1-EXP(-LN(2)/25))/(LN(2)/25)*Calculateur!V54*Calculateur!X54*VLOOKUP('Données projet'!$B$9,Paramètres!$A$1:$I$89,3,0)*0.475*44/12</f>
        <v>7.2740559126113702</v>
      </c>
      <c r="AB54" s="23">
        <f>EXP(-LN(2)/2)*AB53+(1-EXP(-LN(2)/2))/(LN(2)/2)*V54*Y54*VLOOKUP('Données projet'!$B$9,Paramètres!$A$1:$I$89,3,0)*0.475*44/12</f>
        <v>0.56656146582727474</v>
      </c>
      <c r="AC54" s="24">
        <f t="shared" si="3"/>
        <v>47.325412937282749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11.863636363636363</v>
      </c>
      <c r="AI54" s="14">
        <f>IF('Données projet'!$A$62&gt;35,AI53+AH54-AQ53,IF(A54&lt;'Données projet'!$A$62,$AF$205^A54,IF(A54='Données projet'!$A$62,'Données projet'!$B$62,AI53+AH54-AQ53)))</f>
        <v>360.36636363636376</v>
      </c>
      <c r="AJ54" s="14">
        <f>AI54*VLOOKUP('Données projet'!$B$10,Paramètres!$A$1:$I$89,3,0)*VLOOKUP('Données projet'!$B$10,Paramètres!$A$1:$I$89,5,0)</f>
        <v>168.65145818181821</v>
      </c>
      <c r="AK54" s="14">
        <f t="shared" si="35"/>
        <v>42.78785522510276</v>
      </c>
      <c r="AL54" s="22">
        <f t="shared" si="4"/>
        <v>368.2568041837207</v>
      </c>
      <c r="AM54" s="62">
        <f t="shared" si="5"/>
        <v>661.59013751705402</v>
      </c>
      <c r="AN54" s="62">
        <f ca="1">AVERAGE(OFFSET($AM$3,0,0,'Données projet'!$E$10+1,1))-AVERAGE(OFFSET($H$3,0,0,'Données projet'!$E$10+1,1))</f>
        <v>201.92726874818067</v>
      </c>
      <c r="AO54" s="62">
        <f t="shared" si="36"/>
        <v>197.16147791248727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5.0781108609479242</v>
      </c>
      <c r="AV54" s="23">
        <f>EXP(-LN(2)/25)*AV53+(1-EXP(-LN(2)/25))/(LN(2)/25)*Calculateur!AQ54*Calculateur!AS54*VLOOKUP('Données projet'!$B$10,Paramètres!$A$1:$I$89,3,0)*0.475*44/12</f>
        <v>8.9272404153310791</v>
      </c>
      <c r="AW54" s="23">
        <f>EXP(-LN(2)/2)*AW53+(1-EXP(-LN(2)/2))/(LN(2)/2)*AQ54*AT54*VLOOKUP('Données projet'!$B$10,Paramètres!$A$1:$I$89,3,0)*0.475*44/12</f>
        <v>0.44524660225191043</v>
      </c>
      <c r="AX54" s="23">
        <f t="shared" si="6"/>
        <v>14.450597878530914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1.8846153846153846</v>
      </c>
      <c r="BD54" s="13">
        <f>IF('Données projet'!$A$88&gt;35,BD53+BC54-BL53,IF(A54&lt;'Données projet'!$A$88,$BA$205^A54,IF(A54='Données projet'!$A$88,'Données projet'!$B$88,BD53+BC54-BL53)))</f>
        <v>96.115384615384684</v>
      </c>
      <c r="BE54" s="14">
        <f>BD54*VLOOKUP('Données projet'!$B$11,Paramètres!$A$1:$I$89,3,0)*VLOOKUP('Données projet'!$B$11,Paramètres!$A$1:$I$89,5,0)</f>
        <v>97.46100000000007</v>
      </c>
      <c r="BF54" s="14">
        <f t="shared" si="37"/>
        <v>26.356213417143735</v>
      </c>
      <c r="BG54" s="22">
        <f t="shared" si="7"/>
        <v>215.64831336819213</v>
      </c>
      <c r="BH54" s="62">
        <f t="shared" si="8"/>
        <v>508.98164670152545</v>
      </c>
      <c r="BI54" s="62">
        <f ca="1">AVERAGE(OFFSET($BH$3,0,0,'Données projet'!$E$11+1,1))-AVERAGE(OFFSET($H$3,0,0,'Données projet'!$E$11+1,1))</f>
        <v>234.66244049825644</v>
      </c>
      <c r="BJ54" s="62">
        <f t="shared" si="38"/>
        <v>87.037318032671465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7.75</v>
      </c>
      <c r="N55" s="14">
        <f>IF('Données projet'!$A$36&gt;35,N54+M55-V54,IF(A55&lt;'Données projet'!$A$36,$K$205^A55,IF(A55='Données projet'!$A$36,'Données projet'!$B$36,N54+M55-V54)))</f>
        <v>369.50000000000017</v>
      </c>
      <c r="O55" s="14">
        <f>N55*VLOOKUP('Données projet'!$B$9,Paramètres!$A$1:$I$89,3,0)*VLOOKUP('Données projet'!$B$9,Paramètres!$A$1:$I$89,5,0)</f>
        <v>220.96100000000013</v>
      </c>
      <c r="P55" s="14">
        <f t="shared" si="33"/>
        <v>54.323701308314739</v>
      </c>
      <c r="Q55" s="22">
        <f t="shared" si="53"/>
        <v>479.45418811198175</v>
      </c>
      <c r="R55" s="62">
        <f t="shared" si="0"/>
        <v>772.78752144531506</v>
      </c>
      <c r="S55" s="62">
        <f ca="1">AVERAGE(OFFSET($R$3,0,0,'Données projet'!$E$9+1,1))-AVERAGE(OFFSET($H$3,0,0,'Données projet'!$E$9+1,1))</f>
        <v>217.62295992724461</v>
      </c>
      <c r="T55" s="62">
        <f t="shared" si="34"/>
        <v>198.62788037979772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38.71052280128243</v>
      </c>
      <c r="AA55" s="23">
        <f>EXP(-LN(2)/25)*AA54+(1-EXP(-LN(2)/25))/(LN(2)/25)*Calculateur!V55*Calculateur!X55*VLOOKUP('Données projet'!$B$9,Paramètres!$A$1:$I$89,3,0)*0.475*44/12</f>
        <v>7.0751464711550369</v>
      </c>
      <c r="AB55" s="23">
        <f>EXP(-LN(2)/2)*AB54+(1-EXP(-LN(2)/2))/(LN(2)/2)*V55*Y55*VLOOKUP('Données projet'!$B$9,Paramètres!$A$1:$I$89,3,0)*0.475*44/12</f>
        <v>0.40061945444545638</v>
      </c>
      <c r="AC55" s="24">
        <f t="shared" si="3"/>
        <v>46.186288726882921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372.23</v>
      </c>
      <c r="AG55" s="13">
        <f>VLOOKUP(A55,'Données projet'!$A$61:$I$81,9,0)</f>
        <v>11.863636363636363</v>
      </c>
      <c r="AH55" s="13">
        <f t="array" ref="AH55">INDEX(AG:AG,MIN(IF(ISNUMBER(AG55:AG251),ROW(AG55:AG251),"")))</f>
        <v>11.863636363636363</v>
      </c>
      <c r="AI55" s="14">
        <f>IF('Données projet'!$A$62&gt;35,AI54+AH55-AQ54,IF(A55&lt;'Données projet'!$A$62,$AF$205^A55,IF(A55='Données projet'!$A$62,'Données projet'!$B$62,AI54+AH55-AQ54)))</f>
        <v>372.23000000000013</v>
      </c>
      <c r="AJ55" s="14">
        <f>AI55*VLOOKUP('Données projet'!$B$10,Paramètres!$A$1:$I$89,3,0)*VLOOKUP('Données projet'!$B$10,Paramètres!$A$1:$I$89,5,0)</f>
        <v>174.20364000000006</v>
      </c>
      <c r="AK55" s="14">
        <f t="shared" si="35"/>
        <v>44.030156511214884</v>
      </c>
      <c r="AL55" s="22">
        <f t="shared" si="4"/>
        <v>380.09052892369937</v>
      </c>
      <c r="AM55" s="62">
        <f t="shared" si="5"/>
        <v>673.42386225703262</v>
      </c>
      <c r="AN55" s="62">
        <f ca="1">AVERAGE(OFFSET($AM$3,0,0,'Données projet'!$E$10+1,1))-AVERAGE(OFFSET($H$3,0,0,'Données projet'!$E$10+1,1))</f>
        <v>201.92726874818067</v>
      </c>
      <c r="AO55" s="62">
        <f t="shared" si="36"/>
        <v>197.16147791248727</v>
      </c>
      <c r="AP55" s="16">
        <f>IF(ISNA(VLOOKUP(A55,'Données projet'!$A$61:$I$81,3,0)),0,VLOOKUP(A55,'Données projet'!$A$61:$I$81,3,0))</f>
        <v>5</v>
      </c>
      <c r="AQ55" s="16">
        <f>IF(ISNA(VLOOKUP(A55,'Données projet'!$A$61:$I$81,4,0)),0,VLOOKUP(A55,'Données projet'!$A$61:$I$81,4,0))</f>
        <v>74.45</v>
      </c>
      <c r="AR55" s="17">
        <f>IF(ISNA(VLOOKUP(A55,'Données projet'!$A$61:$I$81,5,0)),0%,VLOOKUP(A55,'Données projet'!$A$61:$I$81,5,0)*VLOOKUP('Données projet'!$B$10,Paramètres!$A$1:$I$89,7,0))</f>
        <v>0.22000000000000003</v>
      </c>
      <c r="AS55" s="17">
        <f>IF(ISNA(VLOOKUP(A55,'Données projet'!$A$61:$I$81,6,0)),0%,VLOOKUP(A55,'Données projet'!$A$61:$I$81,6,0)*VLOOKUP('Données projet'!$B$10,Paramètres!$A$1:$I$89,7,0))</f>
        <v>0.13200000000000001</v>
      </c>
      <c r="AT55" s="17">
        <f>IF(ISNA(VLOOKUP(A55,'Données projet'!$A$61:$I$81,7,0)),0%,VLOOKUP(A55,'Données projet'!$A$61:$I$81,7,0))</f>
        <v>0.36</v>
      </c>
      <c r="AU55" s="23">
        <f>EXP(-LN(2)/35)*AU54+(1-EXP(-LN(2)/35))/(LN(2)/35)*AQ55*AR55*VLOOKUP('Données projet'!$B$10,Paramètres!$A$1:$I$89,3,0)*0.475*44/12</f>
        <v>15.147142237228024</v>
      </c>
      <c r="AV55" s="23">
        <f>EXP(-LN(2)/25)*AV54+(1-EXP(-LN(2)/25))/(LN(2)/25)*Calculateur!AQ55*Calculateur!AS55*VLOOKUP('Données projet'!$B$10,Paramètres!$A$1:$I$89,3,0)*0.475*44/12</f>
        <v>14.760267961117304</v>
      </c>
      <c r="AW55" s="23">
        <f>EXP(-LN(2)/2)*AW54+(1-EXP(-LN(2)/2))/(LN(2)/2)*AQ55*AT55*VLOOKUP('Données projet'!$B$10,Paramètres!$A$1:$I$89,3,0)*0.475*44/12</f>
        <v>14.516807029679025</v>
      </c>
      <c r="AX55" s="23">
        <f t="shared" si="6"/>
        <v>44.424217228024354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98</v>
      </c>
      <c r="BB55" s="13">
        <f>VLOOKUP(A55,'Données projet'!$A$87:$I$107,9,0)</f>
        <v>1.8846153846153846</v>
      </c>
      <c r="BC55" s="13">
        <f t="array" ref="BC55">INDEX(BB:BB,MIN(IF(ISNUMBER(BB55:BB251),ROW(BB55:BB251),"")))</f>
        <v>1.8846153846153846</v>
      </c>
      <c r="BD55" s="13">
        <f>IF('Données projet'!$A$88&gt;35,BD54+BC55-BL54,IF(A55&lt;'Données projet'!$A$88,$BA$205^A55,IF(A55='Données projet'!$A$88,'Données projet'!$B$88,BD54+BC55-BL54)))</f>
        <v>98.000000000000071</v>
      </c>
      <c r="BE55" s="14">
        <f>BD55*VLOOKUP('Données projet'!$B$11,Paramètres!$A$1:$I$89,3,0)*VLOOKUP('Données projet'!$B$11,Paramètres!$A$1:$I$89,5,0)</f>
        <v>99.372000000000071</v>
      </c>
      <c r="BF55" s="14">
        <f t="shared" si="37"/>
        <v>26.812330397327738</v>
      </c>
      <c r="BG55" s="22">
        <f t="shared" si="7"/>
        <v>219.77104210867927</v>
      </c>
      <c r="BH55" s="62">
        <f t="shared" si="8"/>
        <v>513.10437544201261</v>
      </c>
      <c r="BI55" s="62">
        <f ca="1">AVERAGE(OFFSET($BH$3,0,0,'Données projet'!$E$11+1,1))-AVERAGE(OFFSET($H$3,0,0,'Données projet'!$E$11+1,1))</f>
        <v>234.66244049825644</v>
      </c>
      <c r="BJ55" s="62">
        <f t="shared" si="38"/>
        <v>87.037318032671465</v>
      </c>
      <c r="BK55" s="16">
        <f>IF(ISNA(VLOOKUP(A55,'Données projet'!$A$87:$I$107,3,0)),0,VLOOKUP(A55,'Données projet'!$A$87:$I$107,3,0))</f>
        <v>1</v>
      </c>
      <c r="BL55" s="16">
        <f>IF(ISNA(VLOOKUP(A55,'Données projet'!$A$87:$I$107,4,0)),0,VLOOKUP(A55,'Données projet'!$A$87:$I$107,4,0))</f>
        <v>29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7.75</v>
      </c>
      <c r="N56" s="14">
        <f>IF('Données projet'!$A$36&gt;35,N55+M56-V55,IF(A56&lt;'Données projet'!$A$36,$K$205^A56,IF(A56='Données projet'!$A$36,'Données projet'!$B$36,N55+M56-V55)))</f>
        <v>377.25000000000017</v>
      </c>
      <c r="O56" s="14">
        <f>N56*VLOOKUP('Données projet'!$B$9,Paramètres!$A$1:$I$89,3,0)*VLOOKUP('Données projet'!$B$9,Paramètres!$A$1:$I$89,5,0)</f>
        <v>225.5955000000001</v>
      </c>
      <c r="P56" s="14">
        <f t="shared" si="33"/>
        <v>55.329256583029498</v>
      </c>
      <c r="Q56" s="22">
        <f t="shared" si="53"/>
        <v>489.27728438210988</v>
      </c>
      <c r="R56" s="62">
        <f t="shared" si="0"/>
        <v>782.61061771544314</v>
      </c>
      <c r="S56" s="62">
        <f ca="1">AVERAGE(OFFSET($R$3,0,0,'Données projet'!$E$9+1,1))-AVERAGE(OFFSET($H$3,0,0,'Données projet'!$E$9+1,1))</f>
        <v>217.62295992724461</v>
      </c>
      <c r="T56" s="62">
        <f t="shared" si="34"/>
        <v>198.62788037979772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37.951433060236788</v>
      </c>
      <c r="AA56" s="23">
        <f>EXP(-LN(2)/25)*AA55+(1-EXP(-LN(2)/25))/(LN(2)/25)*Calculateur!V56*Calculateur!X56*VLOOKUP('Données projet'!$B$9,Paramètres!$A$1:$I$89,3,0)*0.475*44/12</f>
        <v>6.8816762188355201</v>
      </c>
      <c r="AB56" s="23">
        <f>EXP(-LN(2)/2)*AB55+(1-EXP(-LN(2)/2))/(LN(2)/2)*V56*Y56*VLOOKUP('Données projet'!$B$9,Paramètres!$A$1:$I$89,3,0)*0.475*44/12</f>
        <v>0.28328073291363737</v>
      </c>
      <c r="AC56" s="24">
        <f t="shared" si="3"/>
        <v>45.116390011985949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13.499999999999993</v>
      </c>
      <c r="AI56" s="14">
        <f>IF('Données projet'!$A$62&gt;35,AI55+AH56-AQ55,IF(A56&lt;'Données projet'!$A$62,$AF$205^A56,IF(A56='Données projet'!$A$62,'Données projet'!$B$62,AI55+AH56-AQ55)))</f>
        <v>311.28000000000014</v>
      </c>
      <c r="AJ56" s="14">
        <f>AI56*VLOOKUP('Données projet'!$B$10,Paramètres!$A$1:$I$89,3,0)*VLOOKUP('Données projet'!$B$10,Paramètres!$A$1:$I$89,5,0)</f>
        <v>145.67904000000007</v>
      </c>
      <c r="AK56" s="14">
        <f t="shared" si="35"/>
        <v>37.594967756759957</v>
      </c>
      <c r="AL56" s="22">
        <f t="shared" si="4"/>
        <v>319.20223017635703</v>
      </c>
      <c r="AM56" s="62">
        <f t="shared" si="5"/>
        <v>612.53556350969029</v>
      </c>
      <c r="AN56" s="62">
        <f ca="1">AVERAGE(OFFSET($AM$3,0,0,'Données projet'!$E$10+1,1))-AVERAGE(OFFSET($H$3,0,0,'Données projet'!$E$10+1,1))</f>
        <v>201.92726874818067</v>
      </c>
      <c r="AO56" s="62">
        <f t="shared" si="36"/>
        <v>197.16147791248727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14.850116016800488</v>
      </c>
      <c r="AV56" s="23">
        <f>EXP(-LN(2)/25)*AV55+(1-EXP(-LN(2)/25))/(LN(2)/25)*Calculateur!AQ56*Calculateur!AS56*VLOOKUP('Données projet'!$B$10,Paramètres!$A$1:$I$89,3,0)*0.475*44/12</f>
        <v>14.356647657511795</v>
      </c>
      <c r="AW56" s="23">
        <f>EXP(-LN(2)/2)*AW55+(1-EXP(-LN(2)/2))/(LN(2)/2)*AQ56*AT56*VLOOKUP('Données projet'!$B$10,Paramètres!$A$1:$I$89,3,0)*0.475*44/12</f>
        <v>10.264932691862583</v>
      </c>
      <c r="AX56" s="23">
        <f t="shared" si="6"/>
        <v>39.471696366174868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</v>
      </c>
      <c r="BD56" s="13">
        <f>IF('Données projet'!$A$88&gt;35,BD55+BC56-BL55,IF(A56&lt;'Données projet'!$A$88,$BA$205^A56,IF(A56='Données projet'!$A$88,'Données projet'!$B$88,BD55+BC56-BL55)))</f>
        <v>75.000000000000071</v>
      </c>
      <c r="BE56" s="14">
        <f>BD56*VLOOKUP('Données projet'!$B$11,Paramètres!$A$1:$I$89,3,0)*VLOOKUP('Données projet'!$B$11,Paramètres!$A$1:$I$89,5,0)</f>
        <v>76.050000000000082</v>
      </c>
      <c r="BF56" s="14">
        <f t="shared" si="37"/>
        <v>21.168560890749291</v>
      </c>
      <c r="BG56" s="22">
        <f t="shared" si="7"/>
        <v>169.32232688472183</v>
      </c>
      <c r="BH56" s="62">
        <f t="shared" si="8"/>
        <v>462.65566021805512</v>
      </c>
      <c r="BI56" s="62">
        <f ca="1">AVERAGE(OFFSET($BH$3,0,0,'Données projet'!$E$11+1,1))-AVERAGE(OFFSET($H$3,0,0,'Données projet'!$E$11+1,1))</f>
        <v>234.66244049825644</v>
      </c>
      <c r="BJ56" s="62">
        <f t="shared" si="38"/>
        <v>87.037318032671465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385</v>
      </c>
      <c r="L57" s="13">
        <f>VLOOKUP(A57,'Données projet'!$A$35:$I$55,9,0)</f>
        <v>7.75</v>
      </c>
      <c r="M57" s="13">
        <f t="array" ref="M57">INDEX(L:L,MIN(IF(ISNUMBER(L57:L253),ROW(L57:L253),"")))</f>
        <v>7.75</v>
      </c>
      <c r="N57" s="14">
        <f>IF('Données projet'!$A$36&gt;35,N56+M57-V56,IF(A57&lt;'Données projet'!$A$36,$K$205^A57,IF(A57='Données projet'!$A$36,'Données projet'!$B$36,N56+M57-V56)))</f>
        <v>385.00000000000017</v>
      </c>
      <c r="O57" s="14">
        <f>N57*VLOOKUP('Données projet'!$B$9,Paramètres!$A$1:$I$89,3,0)*VLOOKUP('Données projet'!$B$9,Paramètres!$A$1:$I$89,5,0)</f>
        <v>230.2300000000001</v>
      </c>
      <c r="P57" s="14">
        <f t="shared" si="33"/>
        <v>56.3324100152523</v>
      </c>
      <c r="Q57" s="22">
        <f t="shared" si="53"/>
        <v>499.09619744323123</v>
      </c>
      <c r="R57" s="62">
        <f t="shared" si="0"/>
        <v>792.42953077656455</v>
      </c>
      <c r="S57" s="62">
        <f ca="1">AVERAGE(OFFSET($R$3,0,0,'Données projet'!$E$9+1,1))-AVERAGE(OFFSET($H$3,0,0,'Données projet'!$E$9+1,1))</f>
        <v>217.62295992724461</v>
      </c>
      <c r="T57" s="62">
        <f t="shared" si="34"/>
        <v>198.62788037979772</v>
      </c>
      <c r="U57" s="16">
        <f>IF(ISNA(VLOOKUP(A57,'Données projet'!$A$35:$I$55,3,0)),0,VLOOKUP(A57,'Données projet'!$A$35:$I$55,3,0))</f>
        <v>9</v>
      </c>
      <c r="V57" s="16">
        <f>IF(ISNA(VLOOKUP(A57,'Données projet'!$A$35:$I$55,4,0)),0,VLOOKUP(A57,'Données projet'!$A$35:$I$55,4,0))</f>
        <v>17</v>
      </c>
      <c r="W57" s="17">
        <f>IF(ISNA(VLOOKUP(A57,'Données projet'!$A$35:$I$55,5,0)),0%,VLOOKUP(A57,'Données projet'!$A$35:$I$55,5,0)*VLOOKUP('Données projet'!$B$9,Paramètres!$A$1:$I$89,7,0))</f>
        <v>0.315</v>
      </c>
      <c r="X57" s="17">
        <f>IF(ISNA(VLOOKUP(A57,'Données projet'!$A$35:$I$55,6,0)),0%,VLOOKUP(A57,'Données projet'!$A$35:$I$55,6,0)*VLOOKUP('Données projet'!$B$9,Paramètres!$A$1:$I$89,7,0))</f>
        <v>5.3999999999999999E-2</v>
      </c>
      <c r="Y57" s="17">
        <f>IF(ISNA(VLOOKUP(A57,'Données projet'!$A$35:$I$55,7,0)),0%,VLOOKUP(A57,'Données projet'!$A$35:$I$55,7,0))</f>
        <v>0.18</v>
      </c>
      <c r="Z57" s="23">
        <f>EXP(-LN(2)/35)*Z56+(1-EXP(-LN(2)/35))/(LN(2)/35)*V57*W57*VLOOKUP('Données projet'!$B$9,Paramètres!$A$1:$I$89,3,0)*0.475*44/12</f>
        <v>41.455272696023513</v>
      </c>
      <c r="AA57" s="23">
        <f>EXP(-LN(2)/25)*AA56+(1-EXP(-LN(2)/25))/(LN(2)/25)*Calculateur!V57*Calculateur!X57*VLOOKUP('Données projet'!$B$9,Paramètres!$A$1:$I$89,3,0)*0.475*44/12</f>
        <v>7.4188652073333401</v>
      </c>
      <c r="AB57" s="23">
        <f>EXP(-LN(2)/2)*AB56+(1-EXP(-LN(2)/2))/(LN(2)/2)*V57*Y57*VLOOKUP('Données projet'!$B$9,Paramètres!$A$1:$I$89,3,0)*0.475*44/12</f>
        <v>2.2721589638204569</v>
      </c>
      <c r="AC57" s="24">
        <f t="shared" si="3"/>
        <v>51.146296867177313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13.499999999999993</v>
      </c>
      <c r="AI57" s="14">
        <f>IF('Données projet'!$A$62&gt;35,AI56+AH57-AQ56,IF(A57&lt;'Données projet'!$A$62,$AF$205^A57,IF(A57='Données projet'!$A$62,'Données projet'!$B$62,AI56+AH57-AQ56)))</f>
        <v>324.78000000000014</v>
      </c>
      <c r="AJ57" s="14">
        <f>AI57*VLOOKUP('Données projet'!$B$10,Paramètres!$A$1:$I$89,3,0)*VLOOKUP('Données projet'!$B$10,Paramètres!$A$1:$I$89,5,0)</f>
        <v>151.99704000000006</v>
      </c>
      <c r="AK57" s="14">
        <f t="shared" si="35"/>
        <v>39.03207020267962</v>
      </c>
      <c r="AL57" s="22">
        <f t="shared" si="4"/>
        <v>332.70903360300042</v>
      </c>
      <c r="AM57" s="62">
        <f t="shared" si="5"/>
        <v>626.04236693633379</v>
      </c>
      <c r="AN57" s="62">
        <f ca="1">AVERAGE(OFFSET($AM$3,0,0,'Données projet'!$E$10+1,1))-AVERAGE(OFFSET($H$3,0,0,'Données projet'!$E$10+1,1))</f>
        <v>201.92726874818067</v>
      </c>
      <c r="AO57" s="62">
        <f t="shared" si="36"/>
        <v>197.16147791248727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14.55891429938743</v>
      </c>
      <c r="AV57" s="23">
        <f>EXP(-LN(2)/25)*AV56+(1-EXP(-LN(2)/25))/(LN(2)/25)*Calculateur!AQ57*Calculateur!AS57*VLOOKUP('Données projet'!$B$10,Paramètres!$A$1:$I$89,3,0)*0.475*44/12</f>
        <v>13.964064372333848</v>
      </c>
      <c r="AW57" s="23">
        <f>EXP(-LN(2)/2)*AW56+(1-EXP(-LN(2)/2))/(LN(2)/2)*AQ57*AT57*VLOOKUP('Données projet'!$B$10,Paramètres!$A$1:$I$89,3,0)*0.475*44/12</f>
        <v>7.2584035148395145</v>
      </c>
      <c r="AX57" s="23">
        <f t="shared" si="6"/>
        <v>35.781382186560791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</v>
      </c>
      <c r="BD57" s="13">
        <f>IF('Données projet'!$A$88&gt;35,BD56+BC57-BL56,IF(A57&lt;'Données projet'!$A$88,$BA$205^A57,IF(A57='Données projet'!$A$88,'Données projet'!$B$88,BD56+BC57-BL56)))</f>
        <v>81.000000000000071</v>
      </c>
      <c r="BE57" s="14">
        <f>BD57*VLOOKUP('Données projet'!$B$11,Paramètres!$A$1:$I$89,3,0)*VLOOKUP('Données projet'!$B$11,Paramètres!$A$1:$I$89,5,0)</f>
        <v>82.134000000000071</v>
      </c>
      <c r="BF57" s="14">
        <f t="shared" si="37"/>
        <v>22.658156105651759</v>
      </c>
      <c r="BG57" s="22">
        <f t="shared" si="7"/>
        <v>182.51300521734356</v>
      </c>
      <c r="BH57" s="62">
        <f t="shared" si="8"/>
        <v>475.84633855067688</v>
      </c>
      <c r="BI57" s="62">
        <f ca="1">AVERAGE(OFFSET($BH$3,0,0,'Données projet'!$E$11+1,1))-AVERAGE(OFFSET($H$3,0,0,'Données projet'!$E$11+1,1))</f>
        <v>234.66244049825644</v>
      </c>
      <c r="BJ57" s="62">
        <f t="shared" si="38"/>
        <v>87.037318032671465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4.25</v>
      </c>
      <c r="N58" s="14">
        <f>IF('Données projet'!$A$36&gt;35,N57+M58-V57,IF(A58&lt;'Données projet'!$A$36,$K$205^A58,IF(A58='Données projet'!$A$36,'Données projet'!$B$36,N57+M58-V57)))</f>
        <v>372.25000000000017</v>
      </c>
      <c r="O58" s="14">
        <f>N58*VLOOKUP('Données projet'!$B$9,Paramètres!$A$1:$I$89,3,0)*VLOOKUP('Données projet'!$B$9,Paramètres!$A$1:$I$89,5,0)</f>
        <v>222.60550000000015</v>
      </c>
      <c r="P58" s="14">
        <f t="shared" si="33"/>
        <v>54.680789651636978</v>
      </c>
      <c r="Q58" s="22">
        <f t="shared" si="53"/>
        <v>482.94028780993466</v>
      </c>
      <c r="R58" s="62">
        <f t="shared" si="0"/>
        <v>776.27362114326797</v>
      </c>
      <c r="S58" s="62">
        <f ca="1">AVERAGE(OFFSET($R$3,0,0,'Données projet'!$E$9+1,1))-AVERAGE(OFFSET($H$3,0,0,'Données projet'!$E$9+1,1))</f>
        <v>217.62295992724461</v>
      </c>
      <c r="T58" s="62">
        <f t="shared" si="34"/>
        <v>198.62788037979772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40.642360083674127</v>
      </c>
      <c r="AA58" s="23">
        <f>EXP(-LN(2)/25)*AA57+(1-EXP(-LN(2)/25))/(LN(2)/25)*Calculateur!V58*Calculateur!X58*VLOOKUP('Données projet'!$B$9,Paramètres!$A$1:$I$89,3,0)*0.475*44/12</f>
        <v>7.2159959480976443</v>
      </c>
      <c r="AB58" s="23">
        <f>EXP(-LN(2)/2)*AB57+(1-EXP(-LN(2)/2))/(LN(2)/2)*V58*Y58*VLOOKUP('Données projet'!$B$9,Paramètres!$A$1:$I$89,3,0)*0.475*44/12</f>
        <v>1.6066590112512444</v>
      </c>
      <c r="AC58" s="24">
        <f t="shared" si="3"/>
        <v>49.465015043023016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13.499999999999993</v>
      </c>
      <c r="AI58" s="14">
        <f>IF('Données projet'!$A$62&gt;35,AI57+AH58-AQ57,IF(A58&lt;'Données projet'!$A$62,$AF$205^A58,IF(A58='Données projet'!$A$62,'Données projet'!$B$62,AI57+AH58-AQ57)))</f>
        <v>338.28000000000014</v>
      </c>
      <c r="AJ58" s="14">
        <f>AI58*VLOOKUP('Données projet'!$B$10,Paramètres!$A$1:$I$89,3,0)*VLOOKUP('Données projet'!$B$10,Paramètres!$A$1:$I$89,5,0)</f>
        <v>158.31504000000007</v>
      </c>
      <c r="AK58" s="14">
        <f t="shared" si="35"/>
        <v>40.462234124775541</v>
      </c>
      <c r="AL58" s="22">
        <f t="shared" si="4"/>
        <v>346.20375243398416</v>
      </c>
      <c r="AM58" s="62">
        <f t="shared" si="5"/>
        <v>639.53708576731742</v>
      </c>
      <c r="AN58" s="62">
        <f ca="1">AVERAGE(OFFSET($AM$3,0,0,'Données projet'!$E$10+1,1))-AVERAGE(OFFSET($H$3,0,0,'Données projet'!$E$10+1,1))</f>
        <v>201.92726874818067</v>
      </c>
      <c r="AO58" s="62">
        <f t="shared" si="36"/>
        <v>197.16147791248727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14.273422870037333</v>
      </c>
      <c r="AV58" s="23">
        <f>EXP(-LN(2)/25)*AV57+(1-EXP(-LN(2)/25))/(LN(2)/25)*Calculateur!AQ58*Calculateur!AS58*VLOOKUP('Données projet'!$B$10,Paramètres!$A$1:$I$89,3,0)*0.475*44/12</f>
        <v>13.582216297734149</v>
      </c>
      <c r="AW58" s="23">
        <f>EXP(-LN(2)/2)*AW57+(1-EXP(-LN(2)/2))/(LN(2)/2)*AQ58*AT58*VLOOKUP('Données projet'!$B$10,Paramètres!$A$1:$I$89,3,0)*0.475*44/12</f>
        <v>5.1324663459312925</v>
      </c>
      <c r="AX58" s="23">
        <f t="shared" si="6"/>
        <v>32.988105513702777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6</v>
      </c>
      <c r="BD58" s="13">
        <f>IF('Données projet'!$A$88&gt;35,BD57+BC58-BL57,IF(A58&lt;'Données projet'!$A$88,$BA$205^A58,IF(A58='Données projet'!$A$88,'Données projet'!$B$88,BD57+BC58-BL57)))</f>
        <v>87.000000000000071</v>
      </c>
      <c r="BE58" s="14">
        <f>BD58*VLOOKUP('Données projet'!$B$11,Paramètres!$A$1:$I$89,3,0)*VLOOKUP('Données projet'!$B$11,Paramètres!$A$1:$I$89,5,0)</f>
        <v>88.218000000000075</v>
      </c>
      <c r="BF58" s="14">
        <f t="shared" si="37"/>
        <v>24.134950560421608</v>
      </c>
      <c r="BG58" s="22">
        <f t="shared" si="7"/>
        <v>195.68138889273439</v>
      </c>
      <c r="BH58" s="62">
        <f t="shared" si="8"/>
        <v>489.0147222260677</v>
      </c>
      <c r="BI58" s="62">
        <f ca="1">AVERAGE(OFFSET($BH$3,0,0,'Données projet'!$E$11+1,1))-AVERAGE(OFFSET($H$3,0,0,'Données projet'!$E$11+1,1))</f>
        <v>234.66244049825644</v>
      </c>
      <c r="BJ58" s="62">
        <f t="shared" si="38"/>
        <v>87.037318032671465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4.25</v>
      </c>
      <c r="N59" s="14">
        <f>IF('Données projet'!$A$36&gt;35,N58+M59-V58,IF(A59&lt;'Données projet'!$A$36,$K$205^A59,IF(A59='Données projet'!$A$36,'Données projet'!$B$36,N58+M59-V58)))</f>
        <v>376.50000000000017</v>
      </c>
      <c r="O59" s="14">
        <f>N59*VLOOKUP('Données projet'!$B$9,Paramètres!$A$1:$I$89,3,0)*VLOOKUP('Données projet'!$B$9,Paramètres!$A$1:$I$89,5,0)</f>
        <v>225.14700000000011</v>
      </c>
      <c r="P59" s="14">
        <f t="shared" si="33"/>
        <v>55.232050634645063</v>
      </c>
      <c r="Q59" s="22">
        <f t="shared" si="53"/>
        <v>488.32684652200697</v>
      </c>
      <c r="R59" s="62">
        <f t="shared" si="0"/>
        <v>781.66017985534029</v>
      </c>
      <c r="S59" s="62">
        <f ca="1">AVERAGE(OFFSET($R$3,0,0,'Données projet'!$E$9+1,1))-AVERAGE(OFFSET($H$3,0,0,'Données projet'!$E$9+1,1))</f>
        <v>217.62295992724461</v>
      </c>
      <c r="T59" s="62">
        <f t="shared" si="34"/>
        <v>198.62788037979772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39.84538819182518</v>
      </c>
      <c r="AA59" s="23">
        <f>EXP(-LN(2)/25)*AA58+(1-EXP(-LN(2)/25))/(LN(2)/25)*Calculateur!V59*Calculateur!X59*VLOOKUP('Données projet'!$B$9,Paramètres!$A$1:$I$89,3,0)*0.475*44/12</f>
        <v>7.0186741594241795</v>
      </c>
      <c r="AB59" s="23">
        <f>EXP(-LN(2)/2)*AB58+(1-EXP(-LN(2)/2))/(LN(2)/2)*V59*Y59*VLOOKUP('Données projet'!$B$9,Paramètres!$A$1:$I$89,3,0)*0.475*44/12</f>
        <v>1.1360794819102287</v>
      </c>
      <c r="AC59" s="24">
        <f t="shared" si="3"/>
        <v>48.000141833159589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13.499999999999993</v>
      </c>
      <c r="AI59" s="14">
        <f>IF('Données projet'!$A$62&gt;35,AI58+AH59-AQ58,IF(A59&lt;'Données projet'!$A$62,$AF$205^A59,IF(A59='Données projet'!$A$62,'Données projet'!$B$62,AI58+AH59-AQ58)))</f>
        <v>351.78000000000014</v>
      </c>
      <c r="AJ59" s="14">
        <f>AI59*VLOOKUP('Données projet'!$B$10,Paramètres!$A$1:$I$89,3,0)*VLOOKUP('Données projet'!$B$10,Paramètres!$A$1:$I$89,5,0)</f>
        <v>164.63304000000005</v>
      </c>
      <c r="AK59" s="14">
        <f t="shared" si="35"/>
        <v>41.885768105350103</v>
      </c>
      <c r="AL59" s="22">
        <f t="shared" si="4"/>
        <v>359.68692411681815</v>
      </c>
      <c r="AM59" s="62">
        <f t="shared" si="5"/>
        <v>653.02025745015146</v>
      </c>
      <c r="AN59" s="62">
        <f ca="1">AVERAGE(OFFSET($AM$3,0,0,'Données projet'!$E$10+1,1))-AVERAGE(OFFSET($H$3,0,0,'Données projet'!$E$10+1,1))</f>
        <v>201.92726874818067</v>
      </c>
      <c r="AO59" s="62">
        <f t="shared" si="36"/>
        <v>197.16147791248727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13.993529753484212</v>
      </c>
      <c r="AV59" s="23">
        <f>EXP(-LN(2)/25)*AV58+(1-EXP(-LN(2)/25))/(LN(2)/25)*Calculateur!AQ59*Calculateur!AS59*VLOOKUP('Données projet'!$B$10,Paramètres!$A$1:$I$89,3,0)*0.475*44/12</f>
        <v>13.210809878814896</v>
      </c>
      <c r="AW59" s="23">
        <f>EXP(-LN(2)/2)*AW58+(1-EXP(-LN(2)/2))/(LN(2)/2)*AQ59*AT59*VLOOKUP('Données projet'!$B$10,Paramètres!$A$1:$I$89,3,0)*0.475*44/12</f>
        <v>3.6292017574197577</v>
      </c>
      <c r="AX59" s="23">
        <f t="shared" si="6"/>
        <v>30.833541389718867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93.000000000000071</v>
      </c>
      <c r="BE59" s="14">
        <f>BD59*VLOOKUP('Données projet'!$B$11,Paramètres!$A$1:$I$89,3,0)*VLOOKUP('Données projet'!$B$11,Paramètres!$A$1:$I$89,5,0)</f>
        <v>94.302000000000078</v>
      </c>
      <c r="BF59" s="14">
        <f t="shared" si="37"/>
        <v>25.599927492506449</v>
      </c>
      <c r="BG59" s="22">
        <f t="shared" si="7"/>
        <v>208.82919038278217</v>
      </c>
      <c r="BH59" s="62">
        <f t="shared" si="8"/>
        <v>502.16252371611552</v>
      </c>
      <c r="BI59" s="62">
        <f ca="1">AVERAGE(OFFSET($BH$3,0,0,'Données projet'!$E$11+1,1))-AVERAGE(OFFSET($H$3,0,0,'Données projet'!$E$11+1,1))</f>
        <v>234.66244049825644</v>
      </c>
      <c r="BJ59" s="62">
        <f t="shared" si="38"/>
        <v>87.037318032671465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4.25</v>
      </c>
      <c r="N60" s="14">
        <f>IF('Données projet'!$A$36&gt;35,N59+M60-V59,IF(A60&lt;'Données projet'!$A$36,$K$205^A60,IF(A60='Données projet'!$A$36,'Données projet'!$B$36,N59+M60-V59)))</f>
        <v>380.75000000000017</v>
      </c>
      <c r="O60" s="14">
        <f>N60*VLOOKUP('Données projet'!$B$9,Paramètres!$A$1:$I$89,3,0)*VLOOKUP('Données projet'!$B$9,Paramètres!$A$1:$I$89,5,0)</f>
        <v>227.68850000000012</v>
      </c>
      <c r="P60" s="14">
        <f t="shared" si="33"/>
        <v>55.782587750865488</v>
      </c>
      <c r="Q60" s="22">
        <f t="shared" si="53"/>
        <v>493.71214449942426</v>
      </c>
      <c r="R60" s="62">
        <f t="shared" si="0"/>
        <v>787.04547783275757</v>
      </c>
      <c r="S60" s="62">
        <f ca="1">AVERAGE(OFFSET($R$3,0,0,'Données projet'!$E$9+1,1))-AVERAGE(OFFSET($H$3,0,0,'Données projet'!$E$9+1,1))</f>
        <v>217.62295992724461</v>
      </c>
      <c r="T60" s="62">
        <f t="shared" si="34"/>
        <v>198.62788037979772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39.064044432670535</v>
      </c>
      <c r="AA60" s="23">
        <f>EXP(-LN(2)/25)*AA59+(1-EXP(-LN(2)/25))/(LN(2)/25)*Calculateur!V60*Calculateur!X60*VLOOKUP('Données projet'!$B$9,Paramètres!$A$1:$I$89,3,0)*0.475*44/12</f>
        <v>6.8267481454386925</v>
      </c>
      <c r="AB60" s="23">
        <f>EXP(-LN(2)/2)*AB59+(1-EXP(-LN(2)/2))/(LN(2)/2)*V60*Y60*VLOOKUP('Données projet'!$B$9,Paramètres!$A$1:$I$89,3,0)*0.475*44/12</f>
        <v>0.80332950562562244</v>
      </c>
      <c r="AC60" s="24">
        <f t="shared" si="3"/>
        <v>46.694122083734847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13.499999999999993</v>
      </c>
      <c r="AI60" s="14">
        <f>IF('Données projet'!$A$62&gt;35,AI59+AH60-AQ59,IF(A60&lt;'Données projet'!$A$62,$AF$205^A60,IF(A60='Données projet'!$A$62,'Données projet'!$B$62,AI59+AH60-AQ59)))</f>
        <v>365.28000000000014</v>
      </c>
      <c r="AJ60" s="14">
        <f>AI60*VLOOKUP('Données projet'!$B$10,Paramètres!$A$1:$I$89,3,0)*VLOOKUP('Données projet'!$B$10,Paramètres!$A$1:$I$89,5,0)</f>
        <v>170.95104000000009</v>
      </c>
      <c r="AK60" s="14">
        <f t="shared" si="35"/>
        <v>43.302955700917607</v>
      </c>
      <c r="AL60" s="22">
        <f t="shared" si="4"/>
        <v>373.15904251243165</v>
      </c>
      <c r="AM60" s="62">
        <f t="shared" si="5"/>
        <v>666.49237584576497</v>
      </c>
      <c r="AN60" s="62">
        <f ca="1">AVERAGE(OFFSET($AM$3,0,0,'Données projet'!$E$10+1,1))-AVERAGE(OFFSET($H$3,0,0,'Données projet'!$E$10+1,1))</f>
        <v>201.92726874818067</v>
      </c>
      <c r="AO60" s="62">
        <f t="shared" si="36"/>
        <v>197.16147791248727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13.719125170228754</v>
      </c>
      <c r="AV60" s="23">
        <f>EXP(-LN(2)/25)*AV59+(1-EXP(-LN(2)/25))/(LN(2)/25)*Calculateur!AQ60*Calculateur!AS60*VLOOKUP('Données projet'!$B$10,Paramètres!$A$1:$I$89,3,0)*0.475*44/12</f>
        <v>12.849559587952404</v>
      </c>
      <c r="AW60" s="23">
        <f>EXP(-LN(2)/2)*AW59+(1-EXP(-LN(2)/2))/(LN(2)/2)*AQ60*AT60*VLOOKUP('Données projet'!$B$10,Paramètres!$A$1:$I$89,3,0)*0.475*44/12</f>
        <v>2.5662331729656467</v>
      </c>
      <c r="AX60" s="23">
        <f t="shared" si="6"/>
        <v>29.134917931146802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99.000000000000071</v>
      </c>
      <c r="BE60" s="14">
        <f>BD60*VLOOKUP('Données projet'!$B$11,Paramètres!$A$1:$I$89,3,0)*VLOOKUP('Données projet'!$B$11,Paramètres!$A$1:$I$89,5,0)</f>
        <v>100.38600000000008</v>
      </c>
      <c r="BF60" s="14">
        <f t="shared" si="37"/>
        <v>27.05393609634266</v>
      </c>
      <c r="BG60" s="22">
        <f t="shared" si="7"/>
        <v>221.95788870113026</v>
      </c>
      <c r="BH60" s="62">
        <f t="shared" si="8"/>
        <v>515.29122203446354</v>
      </c>
      <c r="BI60" s="62">
        <f ca="1">AVERAGE(OFFSET($BH$3,0,0,'Données projet'!$E$11+1,1))-AVERAGE(OFFSET($H$3,0,0,'Données projet'!$E$11+1,1))</f>
        <v>234.66244049825644</v>
      </c>
      <c r="BJ60" s="62">
        <f t="shared" si="38"/>
        <v>87.037318032671465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4.25</v>
      </c>
      <c r="N61" s="14">
        <f>IF('Données projet'!$A$36&gt;35,N60+M61-V60,IF(A61&lt;'Données projet'!$A$36,$K$205^A61,IF(A61='Données projet'!$A$36,'Données projet'!$B$36,N60+M61-V60)))</f>
        <v>385.00000000000017</v>
      </c>
      <c r="O61" s="14">
        <f>N61*VLOOKUP('Données projet'!$B$9,Paramètres!$A$1:$I$89,3,0)*VLOOKUP('Données projet'!$B$9,Paramètres!$A$1:$I$89,5,0)</f>
        <v>230.2300000000001</v>
      </c>
      <c r="P61" s="14">
        <f t="shared" si="33"/>
        <v>56.3324100152523</v>
      </c>
      <c r="Q61" s="22">
        <f t="shared" si="53"/>
        <v>499.09619744323123</v>
      </c>
      <c r="R61" s="62">
        <f t="shared" si="0"/>
        <v>792.42953077656455</v>
      </c>
      <c r="S61" s="62">
        <f ca="1">AVERAGE(OFFSET($R$3,0,0,'Données projet'!$E$9+1,1))-AVERAGE(OFFSET($H$3,0,0,'Données projet'!$E$9+1,1))</f>
        <v>217.62295992724461</v>
      </c>
      <c r="T61" s="62">
        <f t="shared" si="34"/>
        <v>198.62788037979772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38.298022348060279</v>
      </c>
      <c r="AA61" s="23">
        <f>EXP(-LN(2)/25)*AA60+(1-EXP(-LN(2)/25))/(LN(2)/25)*Calculateur!V61*Calculateur!X61*VLOOKUP('Données projet'!$B$9,Paramètres!$A$1:$I$89,3,0)*0.475*44/12</f>
        <v>6.6400703583985896</v>
      </c>
      <c r="AB61" s="23">
        <f>EXP(-LN(2)/2)*AB60+(1-EXP(-LN(2)/2))/(LN(2)/2)*V61*Y61*VLOOKUP('Données projet'!$B$9,Paramètres!$A$1:$I$89,3,0)*0.475*44/12</f>
        <v>0.56803974095511445</v>
      </c>
      <c r="AC61" s="24">
        <f t="shared" si="3"/>
        <v>45.506132447413982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13.499999999999993</v>
      </c>
      <c r="AI61" s="14">
        <f>IF('Données projet'!$A$62&gt;35,AI60+AH61-AQ60,IF(A61&lt;'Données projet'!$A$62,$AF$205^A61,IF(A61='Données projet'!$A$62,'Données projet'!$B$62,AI60+AH61-AQ60)))</f>
        <v>378.78000000000014</v>
      </c>
      <c r="AJ61" s="14">
        <f>AI61*VLOOKUP('Données projet'!$B$10,Paramètres!$A$1:$I$89,3,0)*VLOOKUP('Données projet'!$B$10,Paramètres!$A$1:$I$89,5,0)</f>
        <v>177.26904000000005</v>
      </c>
      <c r="AK61" s="14">
        <f t="shared" si="35"/>
        <v>44.714058321072329</v>
      </c>
      <c r="AL61" s="22">
        <f t="shared" si="4"/>
        <v>386.620562909201</v>
      </c>
      <c r="AM61" s="62">
        <f t="shared" si="5"/>
        <v>679.95389624253426</v>
      </c>
      <c r="AN61" s="62">
        <f ca="1">AVERAGE(OFFSET($AM$3,0,0,'Données projet'!$E$10+1,1))-AVERAGE(OFFSET($H$3,0,0,'Données projet'!$E$10+1,1))</f>
        <v>201.92726874818067</v>
      </c>
      <c r="AO61" s="62">
        <f t="shared" si="36"/>
        <v>197.16147791248727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13.450101493480666</v>
      </c>
      <c r="AV61" s="23">
        <f>EXP(-LN(2)/25)*AV60+(1-EXP(-LN(2)/25))/(LN(2)/25)*Calculateur!AQ61*Calculateur!AS61*VLOOKUP('Données projet'!$B$10,Paramètres!$A$1:$I$89,3,0)*0.475*44/12</f>
        <v>12.498187705290874</v>
      </c>
      <c r="AW61" s="23">
        <f>EXP(-LN(2)/2)*AW60+(1-EXP(-LN(2)/2))/(LN(2)/2)*AQ61*AT61*VLOOKUP('Données projet'!$B$10,Paramètres!$A$1:$I$89,3,0)*0.475*44/12</f>
        <v>1.8146008787098793</v>
      </c>
      <c r="AX61" s="23">
        <f t="shared" si="6"/>
        <v>27.762890077481419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105.00000000000007</v>
      </c>
      <c r="BE61" s="14">
        <f>BD61*VLOOKUP('Données projet'!$B$11,Paramètres!$A$1:$I$89,3,0)*VLOOKUP('Données projet'!$B$11,Paramètres!$A$1:$I$89,5,0)</f>
        <v>106.47000000000007</v>
      </c>
      <c r="BF61" s="14">
        <f t="shared" si="37"/>
        <v>28.49771681771891</v>
      </c>
      <c r="BG61" s="22">
        <f t="shared" si="7"/>
        <v>235.06877345752719</v>
      </c>
      <c r="BH61" s="62">
        <f t="shared" si="8"/>
        <v>528.40210679086044</v>
      </c>
      <c r="BI61" s="62">
        <f ca="1">AVERAGE(OFFSET($BH$3,0,0,'Données projet'!$E$11+1,1))-AVERAGE(OFFSET($H$3,0,0,'Données projet'!$E$11+1,1))</f>
        <v>234.66244049825644</v>
      </c>
      <c r="BJ61" s="62">
        <f t="shared" si="38"/>
        <v>87.037318032671465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4.25</v>
      </c>
      <c r="N62" s="14">
        <f>IF('Données projet'!$A$36&gt;35,N61+M62-V61,IF(A62&lt;'Données projet'!$A$36,$K$205^A62,IF(A62='Données projet'!$A$36,'Données projet'!$B$36,N61+M62-V61)))</f>
        <v>389.25000000000017</v>
      </c>
      <c r="O62" s="14">
        <f>N62*VLOOKUP('Données projet'!$B$9,Paramètres!$A$1:$I$89,3,0)*VLOOKUP('Données projet'!$B$9,Paramètres!$A$1:$I$89,5,0)</f>
        <v>232.77150000000012</v>
      </c>
      <c r="P62" s="14">
        <f t="shared" si="33"/>
        <v>56.881526232267134</v>
      </c>
      <c r="Q62" s="22">
        <f t="shared" si="53"/>
        <v>504.47902068786544</v>
      </c>
      <c r="R62" s="62">
        <f t="shared" si="0"/>
        <v>797.81235402119876</v>
      </c>
      <c r="S62" s="62">
        <f ca="1">AVERAGE(OFFSET($R$3,0,0,'Données projet'!$E$9+1,1))-AVERAGE(OFFSET($H$3,0,0,'Données projet'!$E$9+1,1))</f>
        <v>217.62295992724461</v>
      </c>
      <c r="T62" s="62">
        <f t="shared" si="34"/>
        <v>198.62788037979772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37.547021489301891</v>
      </c>
      <c r="AA62" s="23">
        <f>EXP(-LN(2)/25)*AA61+(1-EXP(-LN(2)/25))/(LN(2)/25)*Calculateur!V62*Calculateur!X62*VLOOKUP('Données projet'!$B$9,Paramètres!$A$1:$I$89,3,0)*0.475*44/12</f>
        <v>6.4584972852620561</v>
      </c>
      <c r="AB62" s="23">
        <f>EXP(-LN(2)/2)*AB61+(1-EXP(-LN(2)/2))/(LN(2)/2)*V62*Y62*VLOOKUP('Données projet'!$B$9,Paramètres!$A$1:$I$89,3,0)*0.475*44/12</f>
        <v>0.40166475281281128</v>
      </c>
      <c r="AC62" s="24">
        <f t="shared" si="3"/>
        <v>44.407183527376759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13.499999999999993</v>
      </c>
      <c r="AI62" s="14">
        <f>IF('Données projet'!$A$62&gt;35,AI61+AH62-AQ61,IF(A62&lt;'Données projet'!$A$62,$AF$205^A62,IF(A62='Données projet'!$A$62,'Données projet'!$B$62,AI61+AH62-AQ61)))</f>
        <v>392.28000000000014</v>
      </c>
      <c r="AJ62" s="14">
        <f>AI62*VLOOKUP('Données projet'!$B$10,Paramètres!$A$1:$I$89,3,0)*VLOOKUP('Données projet'!$B$10,Paramètres!$A$1:$I$89,5,0)</f>
        <v>183.58704000000009</v>
      </c>
      <c r="AK62" s="14">
        <f t="shared" si="35"/>
        <v>46.119317685403885</v>
      </c>
      <c r="AL62" s="22">
        <f t="shared" si="4"/>
        <v>400.07190630207856</v>
      </c>
      <c r="AM62" s="62">
        <f t="shared" si="5"/>
        <v>693.40523963541182</v>
      </c>
      <c r="AN62" s="62">
        <f ca="1">AVERAGE(OFFSET($AM$3,0,0,'Données projet'!$E$10+1,1))-AVERAGE(OFFSET($H$3,0,0,'Données projet'!$E$10+1,1))</f>
        <v>201.92726874818067</v>
      </c>
      <c r="AO62" s="62">
        <f t="shared" si="36"/>
        <v>197.16147791248727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13.186353206945368</v>
      </c>
      <c r="AV62" s="23">
        <f>EXP(-LN(2)/25)*AV61+(1-EXP(-LN(2)/25))/(LN(2)/25)*Calculateur!AQ62*Calculateur!AS62*VLOOKUP('Données projet'!$B$10,Paramètres!$A$1:$I$89,3,0)*0.475*44/12</f>
        <v>12.156424105238569</v>
      </c>
      <c r="AW62" s="23">
        <f>EXP(-LN(2)/2)*AW61+(1-EXP(-LN(2)/2))/(LN(2)/2)*AQ62*AT62*VLOOKUP('Données projet'!$B$10,Paramètres!$A$1:$I$89,3,0)*0.475*44/12</f>
        <v>1.2831165864828236</v>
      </c>
      <c r="AX62" s="23">
        <f t="shared" si="6"/>
        <v>26.62589389866676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111.00000000000007</v>
      </c>
      <c r="BE62" s="14">
        <f>BD62*VLOOKUP('Données projet'!$B$11,Paramètres!$A$1:$I$89,3,0)*VLOOKUP('Données projet'!$B$11,Paramètres!$A$1:$I$89,5,0)</f>
        <v>112.55400000000007</v>
      </c>
      <c r="BF62" s="14">
        <f t="shared" si="37"/>
        <v>29.93192070032319</v>
      </c>
      <c r="BG62" s="22">
        <f t="shared" si="7"/>
        <v>248.16297855306303</v>
      </c>
      <c r="BH62" s="62">
        <f t="shared" si="8"/>
        <v>541.49631188639637</v>
      </c>
      <c r="BI62" s="62">
        <f ca="1">AVERAGE(OFFSET($BH$3,0,0,'Données projet'!$E$11+1,1))-AVERAGE(OFFSET($H$3,0,0,'Données projet'!$E$11+1,1))</f>
        <v>234.66244049825644</v>
      </c>
      <c r="BJ62" s="62">
        <f t="shared" si="38"/>
        <v>87.037318032671465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4.25</v>
      </c>
      <c r="N63" s="14">
        <f>IF('Données projet'!$A$36&gt;35,N62+M63-V62,IF(A63&lt;'Données projet'!$A$36,$K$205^A63,IF(A63='Données projet'!$A$36,'Données projet'!$B$36,N62+M63-V62)))</f>
        <v>393.50000000000017</v>
      </c>
      <c r="O63" s="14">
        <f>N63*VLOOKUP('Données projet'!$B$9,Paramètres!$A$1:$I$89,3,0)*VLOOKUP('Données projet'!$B$9,Paramètres!$A$1:$I$89,5,0)</f>
        <v>235.3130000000001</v>
      </c>
      <c r="P63" s="14">
        <f t="shared" si="33"/>
        <v>57.429945003037197</v>
      </c>
      <c r="Q63" s="22">
        <f t="shared" si="53"/>
        <v>509.86062921362321</v>
      </c>
      <c r="R63" s="62">
        <f t="shared" si="0"/>
        <v>803.19396254695653</v>
      </c>
      <c r="S63" s="62">
        <f ca="1">AVERAGE(OFFSET($R$3,0,0,'Données projet'!$E$9+1,1))-AVERAGE(OFFSET($H$3,0,0,'Données projet'!$E$9+1,1))</f>
        <v>217.62295992724461</v>
      </c>
      <c r="T63" s="62">
        <f t="shared" si="34"/>
        <v>198.62788037979772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36.810747299318464</v>
      </c>
      <c r="AA63" s="23">
        <f>EXP(-LN(2)/25)*AA62+(1-EXP(-LN(2)/25))/(LN(2)/25)*Calculateur!V63*Calculateur!X63*VLOOKUP('Données projet'!$B$9,Paramètres!$A$1:$I$89,3,0)*0.475*44/12</f>
        <v>6.2818893373589537</v>
      </c>
      <c r="AB63" s="23">
        <f>EXP(-LN(2)/2)*AB62+(1-EXP(-LN(2)/2))/(LN(2)/2)*V63*Y63*VLOOKUP('Données projet'!$B$9,Paramètres!$A$1:$I$89,3,0)*0.475*44/12</f>
        <v>0.28401987047755728</v>
      </c>
      <c r="AC63" s="24">
        <f t="shared" si="3"/>
        <v>43.376656507154976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405.78</v>
      </c>
      <c r="AG63" s="13">
        <f>VLOOKUP(A63,'Données projet'!$A$61:$I$81,9,0)</f>
        <v>13.499999999999993</v>
      </c>
      <c r="AH63" s="13">
        <f t="array" ref="AH63">INDEX(AG:AG,MIN(IF(ISNUMBER(AG63:AG259),ROW(AG63:AG259),"")))</f>
        <v>13.499999999999993</v>
      </c>
      <c r="AI63" s="14">
        <f>IF('Données projet'!$A$62&gt;35,AI62+AH63-AQ62,IF(A63&lt;'Données projet'!$A$62,$AF$205^A63,IF(A63='Données projet'!$A$62,'Données projet'!$B$62,AI62+AH63-AQ62)))</f>
        <v>405.78000000000014</v>
      </c>
      <c r="AJ63" s="14">
        <f>AI63*VLOOKUP('Données projet'!$B$10,Paramètres!$A$1:$I$89,3,0)*VLOOKUP('Données projet'!$B$10,Paramètres!$A$1:$I$89,5,0)</f>
        <v>189.90504000000007</v>
      </c>
      <c r="AK63" s="14">
        <f t="shared" si="35"/>
        <v>47.518957932699728</v>
      </c>
      <c r="AL63" s="22">
        <f t="shared" si="4"/>
        <v>413.51346306611873</v>
      </c>
      <c r="AM63" s="62">
        <f t="shared" si="5"/>
        <v>706.84679639945205</v>
      </c>
      <c r="AN63" s="62">
        <f ca="1">AVERAGE(OFFSET($AM$3,0,0,'Données projet'!$E$10+1,1))-AVERAGE(OFFSET($H$3,0,0,'Données projet'!$E$10+1,1))</f>
        <v>201.92726874818067</v>
      </c>
      <c r="AO63" s="62">
        <f t="shared" si="36"/>
        <v>197.16147791248727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405.78</v>
      </c>
      <c r="AR63" s="17">
        <f>IF(ISNA(VLOOKUP(A63,'Données projet'!$A$61:$I$81,5,0)),0%,VLOOKUP(A63,'Données projet'!$A$61:$I$81,5,0)*VLOOKUP('Données projet'!$B$10,Paramètres!$A$1:$I$89,7,0))</f>
        <v>0.22000000000000003</v>
      </c>
      <c r="AS63" s="17">
        <f>IF(ISNA(VLOOKUP(A63,'Données projet'!$A$61:$I$81,6,0)),0%,VLOOKUP(A63,'Données projet'!$A$61:$I$81,6,0)*VLOOKUP('Données projet'!$B$10,Paramètres!$A$1:$I$89,7,0))</f>
        <v>0.13200000000000001</v>
      </c>
      <c r="AT63" s="17">
        <f>IF(ISNA(VLOOKUP(A63,'Données projet'!$A$61:$I$81,7,0)),0%,VLOOKUP(A63,'Données projet'!$A$61:$I$81,7,0))</f>
        <v>0.36</v>
      </c>
      <c r="AU63" s="23">
        <f>EXP(-LN(2)/35)*AU62+(1-EXP(-LN(2)/35))/(LN(2)/35)*AQ63*AR63*VLOOKUP('Données projet'!$B$10,Paramètres!$A$1:$I$89,3,0)*0.475*44/12</f>
        <v>68.350457577459764</v>
      </c>
      <c r="AV63" s="23">
        <f>EXP(-LN(2)/25)*AV62+(1-EXP(-LN(2)/25))/(LN(2)/25)*Calculateur!AQ63*Calculateur!AS63*VLOOKUP('Données projet'!$B$10,Paramètres!$A$1:$I$89,3,0)*0.475*44/12</f>
        <v>44.946682350214211</v>
      </c>
      <c r="AW63" s="23">
        <f>EXP(-LN(2)/2)*AW62+(1-EXP(-LN(2)/2))/(LN(2)/2)*AQ63*AT63*VLOOKUP('Données projet'!$B$10,Paramètres!$A$1:$I$89,3,0)*0.475*44/12</f>
        <v>78.313283549734891</v>
      </c>
      <c r="AX63" s="23">
        <f t="shared" si="6"/>
        <v>191.61042347740886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117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117.00000000000007</v>
      </c>
      <c r="BE63" s="14">
        <f>BD63*VLOOKUP('Données projet'!$B$11,Paramètres!$A$1:$I$89,3,0)*VLOOKUP('Données projet'!$B$11,Paramètres!$A$1:$I$89,5,0)</f>
        <v>118.63800000000009</v>
      </c>
      <c r="BF63" s="14">
        <f t="shared" si="37"/>
        <v>31.357124429643715</v>
      </c>
      <c r="BG63" s="22">
        <f t="shared" si="7"/>
        <v>261.24150838162961</v>
      </c>
      <c r="BH63" s="62">
        <f t="shared" si="8"/>
        <v>554.57484171496299</v>
      </c>
      <c r="BI63" s="62">
        <f ca="1">AVERAGE(OFFSET($BH$3,0,0,'Données projet'!$E$11+1,1))-AVERAGE(OFFSET($H$3,0,0,'Données projet'!$E$11+1,1))</f>
        <v>234.66244049825644</v>
      </c>
      <c r="BJ63" s="62">
        <f t="shared" si="38"/>
        <v>87.037318032671465</v>
      </c>
      <c r="BK63" s="16">
        <f>IF(ISNA(VLOOKUP(A63,'Données projet'!$A$87:$I$107,3,0)),0,VLOOKUP(A63,'Données projet'!$A$87:$I$107,3,0))</f>
        <v>2</v>
      </c>
      <c r="BL63" s="16">
        <f>IF(ISNA(VLOOKUP(A63,'Données projet'!$A$87:$I$107,4,0)),0,VLOOKUP(A63,'Données projet'!$A$87:$I$107,4,0))</f>
        <v>30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4.25</v>
      </c>
      <c r="N64" s="14">
        <f>IF('Données projet'!$A$36&gt;35,N63+M64-V63,IF(A64&lt;'Données projet'!$A$36,$K$205^A64,IF(A64='Données projet'!$A$36,'Données projet'!$B$36,N63+M64-V63)))</f>
        <v>397.75000000000017</v>
      </c>
      <c r="O64" s="14">
        <f>N64*VLOOKUP('Données projet'!$B$9,Paramètres!$A$1:$I$89,3,0)*VLOOKUP('Données projet'!$B$9,Paramètres!$A$1:$I$89,5,0)</f>
        <v>237.85450000000012</v>
      </c>
      <c r="P64" s="14">
        <f t="shared" si="33"/>
        <v>57.977674732195801</v>
      </c>
      <c r="Q64" s="22">
        <f t="shared" si="53"/>
        <v>515.24103765857456</v>
      </c>
      <c r="R64" s="62">
        <f t="shared" si="0"/>
        <v>808.57437099190793</v>
      </c>
      <c r="S64" s="62">
        <f ca="1">AVERAGE(OFFSET($R$3,0,0,'Données projet'!$E$9+1,1))-AVERAGE(OFFSET($H$3,0,0,'Données projet'!$E$9+1,1))</f>
        <v>217.62295992724461</v>
      </c>
      <c r="T64" s="62">
        <f t="shared" si="34"/>
        <v>198.62788037979772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36.088910997117701</v>
      </c>
      <c r="AA64" s="23">
        <f>EXP(-LN(2)/25)*AA63+(1-EXP(-LN(2)/25))/(LN(2)/25)*Calculateur!V64*Calculateur!X64*VLOOKUP('Données projet'!$B$9,Paramètres!$A$1:$I$89,3,0)*0.475*44/12</f>
        <v>6.1101107430786703</v>
      </c>
      <c r="AB64" s="23">
        <f>EXP(-LN(2)/2)*AB63+(1-EXP(-LN(2)/2))/(LN(2)/2)*V64*Y64*VLOOKUP('Données projet'!$B$9,Paramètres!$A$1:$I$89,3,0)*0.475*44/12</f>
        <v>0.20083237640640567</v>
      </c>
      <c r="AC64" s="24">
        <f t="shared" si="3"/>
        <v>42.399854116602775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43.905000000000001</v>
      </c>
      <c r="AI64" s="14">
        <f>IF('Données projet'!$A$62&gt;35,AI63+AH64-AQ63,IF(A64&lt;'Données projet'!$A$62,$AF$205^A64,IF(A64='Données projet'!$A$62,'Données projet'!$B$62,AI63+AH64-AQ63)))</f>
        <v>43.9050000000002</v>
      </c>
      <c r="AJ64" s="14">
        <f>AI64*VLOOKUP('Données projet'!$B$10,Paramètres!$A$1:$I$89,3,0)*VLOOKUP('Données projet'!$B$10,Paramètres!$A$1:$I$89,5,0)</f>
        <v>20.547540000000094</v>
      </c>
      <c r="AK64" s="14">
        <f t="shared" si="35"/>
        <v>6.6604972709345294</v>
      </c>
      <c r="AL64" s="22">
        <f t="shared" si="4"/>
        <v>47.387331580211132</v>
      </c>
      <c r="AM64" s="62">
        <f t="shared" si="5"/>
        <v>340.72066491354445</v>
      </c>
      <c r="AN64" s="62">
        <f ca="1">AVERAGE(OFFSET($AM$3,0,0,'Données projet'!$E$10+1,1))-AVERAGE(OFFSET($H$3,0,0,'Données projet'!$E$10+1,1))</f>
        <v>201.92726874818067</v>
      </c>
      <c r="AO64" s="62">
        <f t="shared" si="36"/>
        <v>197.16147791248727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67.010146794028387</v>
      </c>
      <c r="AV64" s="23">
        <f>EXP(-LN(2)/25)*AV63+(1-EXP(-LN(2)/25))/(LN(2)/25)*Calculateur!AQ64*Calculateur!AS64*VLOOKUP('Données projet'!$B$10,Paramètres!$A$1:$I$89,3,0)*0.475*44/12</f>
        <v>43.717612957704304</v>
      </c>
      <c r="AW64" s="23">
        <f>EXP(-LN(2)/2)*AW63+(1-EXP(-LN(2)/2))/(LN(2)/2)*AQ64*AT64*VLOOKUP('Données projet'!$B$10,Paramètres!$A$1:$I$89,3,0)*0.475*44/12</f>
        <v>55.375853855002447</v>
      </c>
      <c r="AX64" s="23">
        <f t="shared" si="6"/>
        <v>166.10361360673514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93.000000000000071</v>
      </c>
      <c r="BE64" s="14">
        <f>BD64*VLOOKUP('Données projet'!$B$11,Paramètres!$A$1:$I$89,3,0)*VLOOKUP('Données projet'!$B$11,Paramètres!$A$1:$I$89,5,0)</f>
        <v>94.302000000000078</v>
      </c>
      <c r="BF64" s="14">
        <f t="shared" si="37"/>
        <v>25.599927492506449</v>
      </c>
      <c r="BG64" s="22">
        <f t="shared" si="7"/>
        <v>208.82919038278217</v>
      </c>
      <c r="BH64" s="62">
        <f t="shared" si="8"/>
        <v>502.16252371611552</v>
      </c>
      <c r="BI64" s="62">
        <f ca="1">AVERAGE(OFFSET($BH$3,0,0,'Données projet'!$E$11+1,1))-AVERAGE(OFFSET($H$3,0,0,'Données projet'!$E$11+1,1))</f>
        <v>234.66244049825644</v>
      </c>
      <c r="BJ64" s="62">
        <f t="shared" si="38"/>
        <v>87.037318032671465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402</v>
      </c>
      <c r="L65" s="13">
        <f>VLOOKUP(A65,'Données projet'!$A$35:$I$55,9,0)</f>
        <v>4.25</v>
      </c>
      <c r="M65" s="13">
        <f t="array" ref="M65">INDEX(L:L,MIN(IF(ISNUMBER(L65:L261),ROW(L65:L261),"")))</f>
        <v>4.25</v>
      </c>
      <c r="N65" s="14">
        <f>IF('Données projet'!$A$36&gt;35,N64+M65-V64,IF(A65&lt;'Données projet'!$A$36,$K$205^A65,IF(A65='Données projet'!$A$36,'Données projet'!$B$36,N64+M65-V64)))</f>
        <v>402.00000000000017</v>
      </c>
      <c r="O65" s="14">
        <f>N65*VLOOKUP('Données projet'!$B$9,Paramètres!$A$1:$I$89,3,0)*VLOOKUP('Données projet'!$B$9,Paramètres!$A$1:$I$89,5,0)</f>
        <v>240.3960000000001</v>
      </c>
      <c r="P65" s="14">
        <f t="shared" si="33"/>
        <v>58.524723634421655</v>
      </c>
      <c r="Q65" s="22">
        <f t="shared" si="53"/>
        <v>520.62026032995107</v>
      </c>
      <c r="R65" s="62">
        <f t="shared" si="0"/>
        <v>813.95359366328444</v>
      </c>
      <c r="S65" s="62">
        <f ca="1">AVERAGE(OFFSET($R$3,0,0,'Données projet'!$E$9+1,1))-AVERAGE(OFFSET($H$3,0,0,'Données projet'!$E$9+1,1))</f>
        <v>217.62295992724461</v>
      </c>
      <c r="T65" s="62">
        <f t="shared" si="34"/>
        <v>198.62788037979772</v>
      </c>
      <c r="U65" s="16">
        <f>IF(ISNA(VLOOKUP(A65,'Données projet'!$A$35:$I$55,3,0)),0,VLOOKUP(A65,'Données projet'!$A$35:$I$55,3,0))</f>
        <v>10</v>
      </c>
      <c r="V65" s="16">
        <f>IF(ISNA(VLOOKUP(A65,'Données projet'!$A$35:$I$55,4,0)),0,VLOOKUP(A65,'Données projet'!$A$35:$I$55,4,0))</f>
        <v>7</v>
      </c>
      <c r="W65" s="17">
        <f>IF(ISNA(VLOOKUP(A65,'Données projet'!$A$35:$I$55,5,0)),0%,VLOOKUP(A65,'Données projet'!$A$35:$I$55,5,0)*VLOOKUP('Données projet'!$B$9,Paramètres!$A$1:$I$89,7,0))</f>
        <v>0.315</v>
      </c>
      <c r="X65" s="17">
        <f>IF(ISNA(VLOOKUP(A65,'Données projet'!$A$35:$I$55,6,0)),0%,VLOOKUP(A65,'Données projet'!$A$35:$I$55,6,0)*VLOOKUP('Données projet'!$B$9,Paramètres!$A$1:$I$89,7,0))</f>
        <v>5.3999999999999999E-2</v>
      </c>
      <c r="Y65" s="17">
        <f>IF(ISNA(VLOOKUP(A65,'Données projet'!$A$35:$I$55,7,0)),0%,VLOOKUP(A65,'Données projet'!$A$35:$I$55,7,0))</f>
        <v>0.18</v>
      </c>
      <c r="Z65" s="23">
        <f>EXP(-LN(2)/35)*Z64+(1-EXP(-LN(2)/35))/(LN(2)/35)*V65*W65*VLOOKUP('Données projet'!$B$9,Paramètres!$A$1:$I$89,3,0)*0.475*44/12</f>
        <v>37.130424089824444</v>
      </c>
      <c r="AA65" s="23">
        <f>EXP(-LN(2)/25)*AA64+(1-EXP(-LN(2)/25))/(LN(2)/25)*Calculateur!V65*Calculateur!X65*VLOOKUP('Données projet'!$B$9,Paramètres!$A$1:$I$89,3,0)*0.475*44/12</f>
        <v>6.2417107085603369</v>
      </c>
      <c r="AB65" s="23">
        <f>EXP(-LN(2)/2)*AB64+(1-EXP(-LN(2)/2))/(LN(2)/2)*V65*Y65*VLOOKUP('Données projet'!$B$9,Paramètres!$A$1:$I$89,3,0)*0.475*44/12</f>
        <v>0.99512432677902019</v>
      </c>
      <c r="AC65" s="24">
        <f t="shared" si="3"/>
        <v>44.367259125163798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43.905000000000001</v>
      </c>
      <c r="AI65" s="14">
        <f>IF('Données projet'!$A$62&gt;35,AI64+AH65-AQ64,IF(A65&lt;'Données projet'!$A$62,$AF$205^A65,IF(A65='Données projet'!$A$62,'Données projet'!$B$62,AI64+AH65-AQ64)))</f>
        <v>87.810000000000201</v>
      </c>
      <c r="AJ65" s="14">
        <f>AI65*VLOOKUP('Données projet'!$B$10,Paramètres!$A$1:$I$89,3,0)*VLOOKUP('Données projet'!$B$10,Paramètres!$A$1:$I$89,5,0)</f>
        <v>41.095080000000095</v>
      </c>
      <c r="AK65" s="14">
        <f t="shared" si="35"/>
        <v>12.288440156767507</v>
      </c>
      <c r="AL65" s="22">
        <f t="shared" si="4"/>
        <v>92.976297606370238</v>
      </c>
      <c r="AM65" s="62">
        <f t="shared" si="5"/>
        <v>386.30963093970354</v>
      </c>
      <c r="AN65" s="62">
        <f ca="1">AVERAGE(OFFSET($AM$3,0,0,'Données projet'!$E$10+1,1))-AVERAGE(OFFSET($H$3,0,0,'Données projet'!$E$10+1,1))</f>
        <v>201.92726874818067</v>
      </c>
      <c r="AO65" s="62">
        <f t="shared" si="36"/>
        <v>197.16147791248727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65.696118687551248</v>
      </c>
      <c r="AV65" s="23">
        <f>EXP(-LN(2)/25)*AV64+(1-EXP(-LN(2)/25))/(LN(2)/25)*Calculateur!AQ65*Calculateur!AS65*VLOOKUP('Données projet'!$B$10,Paramètres!$A$1:$I$89,3,0)*0.475*44/12</f>
        <v>42.522152532366533</v>
      </c>
      <c r="AW65" s="23">
        <f>EXP(-LN(2)/2)*AW64+(1-EXP(-LN(2)/2))/(LN(2)/2)*AQ65*AT65*VLOOKUP('Données projet'!$B$10,Paramètres!$A$1:$I$89,3,0)*0.475*44/12</f>
        <v>39.156641774867452</v>
      </c>
      <c r="AX65" s="23">
        <f t="shared" si="6"/>
        <v>147.37491299478523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99.000000000000071</v>
      </c>
      <c r="BE65" s="14">
        <f>BD65*VLOOKUP('Données projet'!$B$11,Paramètres!$A$1:$I$89,3,0)*VLOOKUP('Données projet'!$B$11,Paramètres!$A$1:$I$89,5,0)</f>
        <v>100.38600000000008</v>
      </c>
      <c r="BF65" s="14">
        <f t="shared" si="37"/>
        <v>27.05393609634266</v>
      </c>
      <c r="BG65" s="22">
        <f t="shared" si="7"/>
        <v>221.95788870113026</v>
      </c>
      <c r="BH65" s="62">
        <f t="shared" si="8"/>
        <v>515.29122203446354</v>
      </c>
      <c r="BI65" s="62">
        <f ca="1">AVERAGE(OFFSET($BH$3,0,0,'Données projet'!$E$11+1,1))-AVERAGE(OFFSET($H$3,0,0,'Données projet'!$E$11+1,1))</f>
        <v>234.66244049825644</v>
      </c>
      <c r="BJ65" s="62">
        <f t="shared" si="38"/>
        <v>87.037318032671465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395.00000000000017</v>
      </c>
      <c r="O66" s="14">
        <f>N66*VLOOKUP('Données projet'!$B$9,Paramètres!$A$1:$I$89,3,0)*VLOOKUP('Données projet'!$B$9,Paramètres!$A$1:$I$89,5,0)</f>
        <v>236.21000000000009</v>
      </c>
      <c r="P66" s="14">
        <f t="shared" si="33"/>
        <v>57.62333963053878</v>
      </c>
      <c r="Q66" s="22">
        <f t="shared" si="53"/>
        <v>511.75973318985524</v>
      </c>
      <c r="R66" s="62">
        <f t="shared" si="0"/>
        <v>805.09306652318855</v>
      </c>
      <c r="S66" s="62">
        <f ca="1">AVERAGE(OFFSET($R$3,0,0,'Données projet'!$E$9+1,1))-AVERAGE(OFFSET($H$3,0,0,'Données projet'!$E$9+1,1))</f>
        <v>217.62295992724461</v>
      </c>
      <c r="T66" s="62">
        <f t="shared" si="34"/>
        <v>198.62788037979772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36.402319120745446</v>
      </c>
      <c r="AA66" s="23">
        <f>EXP(-LN(2)/25)*AA65+(1-EXP(-LN(2)/25))/(LN(2)/25)*Calculateur!V66*Calculateur!X66*VLOOKUP('Données projet'!$B$9,Paramètres!$A$1:$I$89,3,0)*0.475*44/12</f>
        <v>6.0710308009974536</v>
      </c>
      <c r="AB66" s="23">
        <f>EXP(-LN(2)/2)*AB65+(1-EXP(-LN(2)/2))/(LN(2)/2)*V66*Y66*VLOOKUP('Données projet'!$B$9,Paramètres!$A$1:$I$89,3,0)*0.475*44/12</f>
        <v>0.70365915958914305</v>
      </c>
      <c r="AC66" s="24">
        <f t="shared" si="3"/>
        <v>43.177009081332045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43.905000000000001</v>
      </c>
      <c r="AI66" s="14">
        <f>IF('Données projet'!$A$62&gt;35,AI65+AH66-AQ65,IF(A66&lt;'Données projet'!$A$62,$AF$205^A66,IF(A66='Données projet'!$A$62,'Données projet'!$B$62,AI65+AH66-AQ65)))</f>
        <v>131.7150000000002</v>
      </c>
      <c r="AJ66" s="14">
        <f>AI66*VLOOKUP('Données projet'!$B$10,Paramètres!$A$1:$I$89,3,0)*VLOOKUP('Données projet'!$B$10,Paramètres!$A$1:$I$89,5,0)</f>
        <v>61.642620000000093</v>
      </c>
      <c r="AK66" s="14">
        <f t="shared" si="35"/>
        <v>17.582919807200494</v>
      </c>
      <c r="AL66" s="22">
        <f t="shared" si="4"/>
        <v>137.98448183087436</v>
      </c>
      <c r="AM66" s="62">
        <f t="shared" si="5"/>
        <v>431.31781516420767</v>
      </c>
      <c r="AN66" s="62">
        <f ca="1">AVERAGE(OFFSET($AM$3,0,0,'Données projet'!$E$10+1,1))-AVERAGE(OFFSET($H$3,0,0,'Données projet'!$E$10+1,1))</f>
        <v>201.92726874818067</v>
      </c>
      <c r="AO66" s="62">
        <f t="shared" si="36"/>
        <v>197.16147791248727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64.407857870764119</v>
      </c>
      <c r="AV66" s="23">
        <f>EXP(-LN(2)/25)*AV65+(1-EXP(-LN(2)/25))/(LN(2)/25)*Calculateur!AQ66*Calculateur!AS66*VLOOKUP('Données projet'!$B$10,Paramètres!$A$1:$I$89,3,0)*0.475*44/12</f>
        <v>41.359382035226155</v>
      </c>
      <c r="AW66" s="23">
        <f>EXP(-LN(2)/2)*AW65+(1-EXP(-LN(2)/2))/(LN(2)/2)*AQ66*AT66*VLOOKUP('Données projet'!$B$10,Paramètres!$A$1:$I$89,3,0)*0.475*44/12</f>
        <v>27.687926927501227</v>
      </c>
      <c r="AX66" s="23">
        <f t="shared" si="6"/>
        <v>133.45516683349149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105.00000000000007</v>
      </c>
      <c r="BE66" s="14">
        <f>BD66*VLOOKUP('Données projet'!$B$11,Paramètres!$A$1:$I$89,3,0)*VLOOKUP('Données projet'!$B$11,Paramètres!$A$1:$I$89,5,0)</f>
        <v>106.47000000000007</v>
      </c>
      <c r="BF66" s="14">
        <f t="shared" si="37"/>
        <v>28.49771681771891</v>
      </c>
      <c r="BG66" s="22">
        <f t="shared" si="7"/>
        <v>235.06877345752719</v>
      </c>
      <c r="BH66" s="62">
        <f t="shared" si="8"/>
        <v>528.40210679086044</v>
      </c>
      <c r="BI66" s="62">
        <f ca="1">AVERAGE(OFFSET($BH$3,0,0,'Données projet'!$E$11+1,1))-AVERAGE(OFFSET($H$3,0,0,'Données projet'!$E$11+1,1))</f>
        <v>234.66244049825644</v>
      </c>
      <c r="BJ66" s="62">
        <f t="shared" si="38"/>
        <v>87.037318032671465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395.00000000000017</v>
      </c>
      <c r="O67" s="14">
        <f>N67*VLOOKUP('Données projet'!$B$9,Paramètres!$A$1:$I$89,3,0)*VLOOKUP('Données projet'!$B$9,Paramètres!$A$1:$I$89,5,0)</f>
        <v>236.21000000000009</v>
      </c>
      <c r="P67" s="14">
        <f t="shared" si="33"/>
        <v>57.62333963053878</v>
      </c>
      <c r="Q67" s="22">
        <f t="shared" ref="Q67:Q98" si="54">(O67+P67)*0.475*44/12</f>
        <v>511.75973318985524</v>
      </c>
      <c r="R67" s="62">
        <f t="shared" ref="R67:R130" si="55">Q67+(I67+J67)*44/12</f>
        <v>805.09306652318855</v>
      </c>
      <c r="S67" s="62">
        <f ca="1">AVERAGE(OFFSET($R$3,0,0,'Données projet'!$E$9+1,1))-AVERAGE(OFFSET($H$3,0,0,'Données projet'!$E$9+1,1))</f>
        <v>217.62295992724461</v>
      </c>
      <c r="T67" s="62">
        <f t="shared" si="34"/>
        <v>198.62788037979772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35.688491846009903</v>
      </c>
      <c r="AA67" s="23">
        <f>EXP(-LN(2)/25)*AA66+(1-EXP(-LN(2)/25))/(LN(2)/25)*Calculateur!V67*Calculateur!X67*VLOOKUP('Données projet'!$B$9,Paramètres!$A$1:$I$89,3,0)*0.475*44/12</f>
        <v>5.9050181444825443</v>
      </c>
      <c r="AB67" s="23">
        <f>EXP(-LN(2)/2)*AB66+(1-EXP(-LN(2)/2))/(LN(2)/2)*V67*Y67*VLOOKUP('Données projet'!$B$9,Paramètres!$A$1:$I$89,3,0)*0.475*44/12</f>
        <v>0.49756216338951015</v>
      </c>
      <c r="AC67" s="24">
        <f t="shared" si="3"/>
        <v>42.09107215388196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43.905000000000001</v>
      </c>
      <c r="AI67" s="14">
        <f>IF('Données projet'!$A$62&gt;35,AI66+AH67-AQ66,IF(A67&lt;'Données projet'!$A$62,$AF$205^A67,IF(A67='Données projet'!$A$62,'Données projet'!$B$62,AI66+AH67-AQ66)))</f>
        <v>175.6200000000002</v>
      </c>
      <c r="AJ67" s="14">
        <f>AI67*VLOOKUP('Données projet'!$B$10,Paramètres!$A$1:$I$89,3,0)*VLOOKUP('Données projet'!$B$10,Paramètres!$A$1:$I$89,5,0)</f>
        <v>82.190160000000091</v>
      </c>
      <c r="AK67" s="14">
        <f t="shared" si="35"/>
        <v>22.671844960499321</v>
      </c>
      <c r="AL67" s="22">
        <f t="shared" si="4"/>
        <v>182.63465863953647</v>
      </c>
      <c r="AM67" s="62">
        <f t="shared" si="5"/>
        <v>475.96799197286975</v>
      </c>
      <c r="AN67" s="62">
        <f ca="1">AVERAGE(OFFSET($AM$3,0,0,'Données projet'!$E$10+1,1))-AVERAGE(OFFSET($H$3,0,0,'Données projet'!$E$10+1,1))</f>
        <v>201.92726874818067</v>
      </c>
      <c r="AO67" s="62">
        <f t="shared" si="36"/>
        <v>197.16147791248727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63.144859062832673</v>
      </c>
      <c r="AV67" s="23">
        <f>EXP(-LN(2)/25)*AV66+(1-EXP(-LN(2)/25))/(LN(2)/25)*Calculateur!AQ67*Calculateur!AS67*VLOOKUP('Données projet'!$B$10,Paramètres!$A$1:$I$89,3,0)*0.475*44/12</f>
        <v>40.228407558477521</v>
      </c>
      <c r="AW67" s="23">
        <f>EXP(-LN(2)/2)*AW66+(1-EXP(-LN(2)/2))/(LN(2)/2)*AQ67*AT67*VLOOKUP('Données projet'!$B$10,Paramètres!$A$1:$I$89,3,0)*0.475*44/12</f>
        <v>19.57832088743373</v>
      </c>
      <c r="AX67" s="23">
        <f t="shared" si="6"/>
        <v>122.95158750874393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111.00000000000007</v>
      </c>
      <c r="BE67" s="14">
        <f>BD67*VLOOKUP('Données projet'!$B$11,Paramètres!$A$1:$I$89,3,0)*VLOOKUP('Données projet'!$B$11,Paramètres!$A$1:$I$89,5,0)</f>
        <v>112.55400000000007</v>
      </c>
      <c r="BF67" s="14">
        <f t="shared" si="37"/>
        <v>29.93192070032319</v>
      </c>
      <c r="BG67" s="22">
        <f t="shared" si="7"/>
        <v>248.16297855306303</v>
      </c>
      <c r="BH67" s="62">
        <f t="shared" si="8"/>
        <v>541.49631188639637</v>
      </c>
      <c r="BI67" s="62">
        <f ca="1">AVERAGE(OFFSET($BH$3,0,0,'Données projet'!$E$11+1,1))-AVERAGE(OFFSET($H$3,0,0,'Données projet'!$E$11+1,1))</f>
        <v>234.66244049825644</v>
      </c>
      <c r="BJ67" s="62">
        <f t="shared" si="38"/>
        <v>87.037318032671465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395.00000000000017</v>
      </c>
      <c r="O68" s="14">
        <f>N68*VLOOKUP('Données projet'!$B$9,Paramètres!$A$1:$I$89,3,0)*VLOOKUP('Données projet'!$B$9,Paramètres!$A$1:$I$89,5,0)</f>
        <v>236.21000000000009</v>
      </c>
      <c r="P68" s="14">
        <f t="shared" si="33"/>
        <v>57.62333963053878</v>
      </c>
      <c r="Q68" s="22">
        <f t="shared" si="54"/>
        <v>511.75973318985524</v>
      </c>
      <c r="R68" s="62">
        <f t="shared" si="55"/>
        <v>805.09306652318855</v>
      </c>
      <c r="S68" s="62">
        <f ca="1">AVERAGE(OFFSET($R$3,0,0,'Données projet'!$E$9+1,1))-AVERAGE(OFFSET($H$3,0,0,'Données projet'!$E$9+1,1))</f>
        <v>217.62295992724461</v>
      </c>
      <c r="T68" s="62">
        <f t="shared" si="34"/>
        <v>198.62788037979772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34.988662288740279</v>
      </c>
      <c r="AA68" s="23">
        <f>EXP(-LN(2)/25)*AA67+(1-EXP(-LN(2)/25))/(LN(2)/25)*Calculateur!V68*Calculateur!X68*VLOOKUP('Données projet'!$B$9,Paramètres!$A$1:$I$89,3,0)*0.475*44/12</f>
        <v>5.7435451127902608</v>
      </c>
      <c r="AB68" s="23">
        <f>EXP(-LN(2)/2)*AB67+(1-EXP(-LN(2)/2))/(LN(2)/2)*V68*Y68*VLOOKUP('Données projet'!$B$9,Paramètres!$A$1:$I$89,3,0)*0.475*44/12</f>
        <v>0.35182957979457158</v>
      </c>
      <c r="AC68" s="24">
        <f t="shared" ref="AC68:AC131" si="57">SUM(Z68:AB68)</f>
        <v>41.084036981325106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43.905000000000001</v>
      </c>
      <c r="AI68" s="14">
        <f>IF('Données projet'!$A$62&gt;35,AI67+AH68-AQ67,IF(A68&lt;'Données projet'!$A$62,$AF$205^A68,IF(A68='Données projet'!$A$62,'Données projet'!$B$62,AI67+AH68-AQ67)))</f>
        <v>219.5250000000002</v>
      </c>
      <c r="AJ68" s="14">
        <f>AI68*VLOOKUP('Données projet'!$B$10,Paramètres!$A$1:$I$89,3,0)*VLOOKUP('Données projet'!$B$10,Paramètres!$A$1:$I$89,5,0)</f>
        <v>102.73770000000009</v>
      </c>
      <c r="AK68" s="14">
        <f t="shared" si="35"/>
        <v>27.613188049971768</v>
      </c>
      <c r="AL68" s="22">
        <f t="shared" ref="AL68:AL131" si="58">(AJ68+AK68)*0.475*44/12</f>
        <v>227.02779668703428</v>
      </c>
      <c r="AM68" s="62">
        <f t="shared" ref="AM68:AM131" si="59">AL68+(AD68+AE68)*44/12</f>
        <v>520.36113002036757</v>
      </c>
      <c r="AN68" s="62">
        <f ca="1">AVERAGE(OFFSET($AM$3,0,0,'Données projet'!$E$10+1,1))-AVERAGE(OFFSET($H$3,0,0,'Données projet'!$E$10+1,1))</f>
        <v>201.92726874818067</v>
      </c>
      <c r="AO68" s="62">
        <f t="shared" si="36"/>
        <v>197.16147791248727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61.906626891171555</v>
      </c>
      <c r="AV68" s="23">
        <f>EXP(-LN(2)/25)*AV67+(1-EXP(-LN(2)/25))/(LN(2)/25)*Calculateur!AQ68*Calculateur!AS68*VLOOKUP('Données projet'!$B$10,Paramètres!$A$1:$I$89,3,0)*0.475*44/12</f>
        <v>39.128359638270943</v>
      </c>
      <c r="AW68" s="23">
        <f>EXP(-LN(2)/2)*AW67+(1-EXP(-LN(2)/2))/(LN(2)/2)*AQ68*AT68*VLOOKUP('Données projet'!$B$10,Paramètres!$A$1:$I$89,3,0)*0.475*44/12</f>
        <v>13.843963463750617</v>
      </c>
      <c r="AX68" s="23">
        <f t="shared" ref="AX68:AX131" si="60">SUM(AU68:AW68)</f>
        <v>114.87894999319312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117.00000000000007</v>
      </c>
      <c r="BE68" s="14">
        <f>BD68*VLOOKUP('Données projet'!$B$11,Paramètres!$A$1:$I$89,3,0)*VLOOKUP('Données projet'!$B$11,Paramètres!$A$1:$I$89,5,0)</f>
        <v>118.63800000000009</v>
      </c>
      <c r="BF68" s="14">
        <f t="shared" si="37"/>
        <v>31.357124429643715</v>
      </c>
      <c r="BG68" s="22">
        <f t="shared" ref="BG68:BG131" si="61">(BE68+BF68)*0.475*44/12</f>
        <v>261.24150838162961</v>
      </c>
      <c r="BH68" s="62">
        <f t="shared" ref="BH68:BH131" si="62">BG68+(AY68+AZ68)*44/12</f>
        <v>554.57484171496299</v>
      </c>
      <c r="BI68" s="62">
        <f ca="1">AVERAGE(OFFSET($BH$3,0,0,'Données projet'!$E$11+1,1))-AVERAGE(OFFSET($H$3,0,0,'Données projet'!$E$11+1,1))</f>
        <v>234.66244049825644</v>
      </c>
      <c r="BJ68" s="62">
        <f t="shared" si="38"/>
        <v>87.037318032671465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395.00000000000017</v>
      </c>
      <c r="O69" s="14">
        <f>N69*VLOOKUP('Données projet'!$B$9,Paramètres!$A$1:$I$89,3,0)*VLOOKUP('Données projet'!$B$9,Paramètres!$A$1:$I$89,5,0)</f>
        <v>236.21000000000009</v>
      </c>
      <c r="P69" s="14">
        <f t="shared" ref="P69:P132" si="87">EXP(-1.0587+0.8836*LN(O69)+0.284)</f>
        <v>57.62333963053878</v>
      </c>
      <c r="Q69" s="22">
        <f t="shared" si="54"/>
        <v>511.75973318985524</v>
      </c>
      <c r="R69" s="62">
        <f t="shared" si="55"/>
        <v>805.09306652318855</v>
      </c>
      <c r="S69" s="62">
        <f ca="1">AVERAGE(OFFSET($R$3,0,0,'Données projet'!$E$9+1,1))-AVERAGE(OFFSET($H$3,0,0,'Données projet'!$E$9+1,1))</f>
        <v>217.62295992724461</v>
      </c>
      <c r="T69" s="62">
        <f t="shared" ref="T69:T132" si="88">$T$3</f>
        <v>198.62788037979772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34.302555962234834</v>
      </c>
      <c r="AA69" s="23">
        <f>EXP(-LN(2)/25)*AA68+(1-EXP(-LN(2)/25))/(LN(2)/25)*Calculateur!V69*Calculateur!X69*VLOOKUP('Données projet'!$B$9,Paramètres!$A$1:$I$89,3,0)*0.475*44/12</f>
        <v>5.5864875696411005</v>
      </c>
      <c r="AB69" s="23">
        <f>EXP(-LN(2)/2)*AB68+(1-EXP(-LN(2)/2))/(LN(2)/2)*V69*Y69*VLOOKUP('Données projet'!$B$9,Paramètres!$A$1:$I$89,3,0)*0.475*44/12</f>
        <v>0.2487810816947551</v>
      </c>
      <c r="AC69" s="24">
        <f t="shared" si="57"/>
        <v>40.137824613570686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43.905000000000001</v>
      </c>
      <c r="AI69" s="14">
        <f>IF('Données projet'!$A$62&gt;35,AI68+AH69-AQ68,IF(A69&lt;'Données projet'!$A$62,$AF$205^A69,IF(A69='Données projet'!$A$62,'Données projet'!$B$62,AI68+AH69-AQ68)))</f>
        <v>263.43000000000018</v>
      </c>
      <c r="AJ69" s="14">
        <f>AI69*VLOOKUP('Données projet'!$B$10,Paramètres!$A$1:$I$89,3,0)*VLOOKUP('Données projet'!$B$10,Paramètres!$A$1:$I$89,5,0)</f>
        <v>123.28524000000007</v>
      </c>
      <c r="AK69" s="14">
        <f t="shared" ref="AK69:AK132" si="89">EXP(-1.0587+0.8836*LN(AJ69)+0.284)</f>
        <v>32.440018971993275</v>
      </c>
      <c r="AL69" s="22">
        <f t="shared" si="58"/>
        <v>271.22149270955509</v>
      </c>
      <c r="AM69" s="62">
        <f t="shared" si="59"/>
        <v>564.55482604288841</v>
      </c>
      <c r="AN69" s="62">
        <f ca="1">AVERAGE(OFFSET($AM$3,0,0,'Données projet'!$E$10+1,1))-AVERAGE(OFFSET($H$3,0,0,'Données projet'!$E$10+1,1))</f>
        <v>201.92726874818067</v>
      </c>
      <c r="AO69" s="62">
        <f t="shared" ref="AO69:AO132" si="90">$AO$3</f>
        <v>197.16147791248727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60.69267569714966</v>
      </c>
      <c r="AV69" s="23">
        <f>EXP(-LN(2)/25)*AV68+(1-EXP(-LN(2)/25))/(LN(2)/25)*Calculateur!AQ69*Calculateur!AS69*VLOOKUP('Données projet'!$B$10,Paramètres!$A$1:$I$89,3,0)*0.475*44/12</f>
        <v>38.058392586291419</v>
      </c>
      <c r="AW69" s="23">
        <f>EXP(-LN(2)/2)*AW68+(1-EXP(-LN(2)/2))/(LN(2)/2)*AQ69*AT69*VLOOKUP('Données projet'!$B$10,Paramètres!$A$1:$I$89,3,0)*0.475*44/12</f>
        <v>9.7891604437168667</v>
      </c>
      <c r="AX69" s="23">
        <f t="shared" si="60"/>
        <v>108.54022872715794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</v>
      </c>
      <c r="BD69" s="13">
        <f>IF('Données projet'!$A$88&gt;35,BD68+BC69-BL68,IF(A69&lt;'Données projet'!$A$88,$BA$205^A69,IF(A69='Données projet'!$A$88,'Données projet'!$B$88,BD68+BC69-BL68)))</f>
        <v>123.00000000000007</v>
      </c>
      <c r="BE69" s="14">
        <f>BD69*VLOOKUP('Données projet'!$B$11,Paramètres!$A$1:$I$89,3,0)*VLOOKUP('Données projet'!$B$11,Paramètres!$A$1:$I$89,5,0)</f>
        <v>124.72200000000008</v>
      </c>
      <c r="BF69" s="14">
        <f t="shared" ref="BF69:BF132" si="91">EXP(-1.0587+0.8836*LN(BE69)+0.284)</f>
        <v>32.773842203086019</v>
      </c>
      <c r="BG69" s="22">
        <f t="shared" si="61"/>
        <v>274.30525850370827</v>
      </c>
      <c r="BH69" s="62">
        <f t="shared" si="62"/>
        <v>567.63859183704153</v>
      </c>
      <c r="BI69" s="62">
        <f ca="1">AVERAGE(OFFSET($BH$3,0,0,'Données projet'!$E$11+1,1))-AVERAGE(OFFSET($H$3,0,0,'Données projet'!$E$11+1,1))</f>
        <v>234.66244049825644</v>
      </c>
      <c r="BJ69" s="62">
        <f t="shared" ref="BJ69:BJ132" si="92">$BJ$3</f>
        <v>87.037318032671465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395.00000000000017</v>
      </c>
      <c r="O70" s="14">
        <f>N70*VLOOKUP('Données projet'!$B$9,Paramètres!$A$1:$I$89,3,0)*VLOOKUP('Données projet'!$B$9,Paramètres!$A$1:$I$89,5,0)</f>
        <v>236.21000000000009</v>
      </c>
      <c r="P70" s="14">
        <f t="shared" si="87"/>
        <v>57.62333963053878</v>
      </c>
      <c r="Q70" s="22">
        <f t="shared" si="54"/>
        <v>511.75973318985524</v>
      </c>
      <c r="R70" s="62">
        <f t="shared" si="55"/>
        <v>805.09306652318855</v>
      </c>
      <c r="S70" s="62">
        <f ca="1">AVERAGE(OFFSET($R$3,0,0,'Données projet'!$E$9+1,1))-AVERAGE(OFFSET($H$3,0,0,'Données projet'!$E$9+1,1))</f>
        <v>217.62295992724461</v>
      </c>
      <c r="T70" s="62">
        <f t="shared" si="88"/>
        <v>198.62788037979772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33.629903762308622</v>
      </c>
      <c r="AA70" s="23">
        <f>EXP(-LN(2)/25)*AA69+(1-EXP(-LN(2)/25))/(LN(2)/25)*Calculateur!V70*Calculateur!X70*VLOOKUP('Données projet'!$B$9,Paramètres!$A$1:$I$89,3,0)*0.475*44/12</f>
        <v>5.4337247732686516</v>
      </c>
      <c r="AB70" s="23">
        <f>EXP(-LN(2)/2)*AB69+(1-EXP(-LN(2)/2))/(LN(2)/2)*V70*Y70*VLOOKUP('Données projet'!$B$9,Paramètres!$A$1:$I$89,3,0)*0.475*44/12</f>
        <v>0.17591478989728582</v>
      </c>
      <c r="AC70" s="24">
        <f t="shared" si="57"/>
        <v>39.239543325474557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43.905000000000001</v>
      </c>
      <c r="AI70" s="14">
        <f>IF('Données projet'!$A$62&gt;35,AI69+AH70-AQ69,IF(A70&lt;'Données projet'!$A$62,$AF$205^A70,IF(A70='Données projet'!$A$62,'Données projet'!$B$62,AI69+AH70-AQ69)))</f>
        <v>307.33500000000015</v>
      </c>
      <c r="AJ70" s="14">
        <f>AI70*VLOOKUP('Données projet'!$B$10,Paramètres!$A$1:$I$89,3,0)*VLOOKUP('Données projet'!$B$10,Paramètres!$A$1:$I$89,5,0)</f>
        <v>143.83278000000007</v>
      </c>
      <c r="AK70" s="14">
        <f t="shared" si="89"/>
        <v>37.173656610090958</v>
      </c>
      <c r="AL70" s="22">
        <f t="shared" si="58"/>
        <v>315.25287709590856</v>
      </c>
      <c r="AM70" s="62">
        <f t="shared" si="59"/>
        <v>608.58621042924187</v>
      </c>
      <c r="AN70" s="62">
        <f ca="1">AVERAGE(OFFSET($AM$3,0,0,'Données projet'!$E$10+1,1))-AVERAGE(OFFSET($H$3,0,0,'Données projet'!$E$10+1,1))</f>
        <v>201.92726874818067</v>
      </c>
      <c r="AO70" s="62">
        <f t="shared" si="90"/>
        <v>197.16147791248727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59.502529345605417</v>
      </c>
      <c r="AV70" s="23">
        <f>EXP(-LN(2)/25)*AV69+(1-EXP(-LN(2)/25))/(LN(2)/25)*Calculateur!AQ70*Calculateur!AS70*VLOOKUP('Données projet'!$B$10,Paramètres!$A$1:$I$89,3,0)*0.475*44/12</f>
        <v>37.017683839615394</v>
      </c>
      <c r="AW70" s="23">
        <f>EXP(-LN(2)/2)*AW69+(1-EXP(-LN(2)/2))/(LN(2)/2)*AQ70*AT70*VLOOKUP('Données projet'!$B$10,Paramètres!$A$1:$I$89,3,0)*0.475*44/12</f>
        <v>6.9219817318753094</v>
      </c>
      <c r="AX70" s="23">
        <f t="shared" si="60"/>
        <v>103.44219491709612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</v>
      </c>
      <c r="BD70" s="13">
        <f>IF('Données projet'!$A$88&gt;35,BD69+BC70-BL69,IF(A70&lt;'Données projet'!$A$88,$BA$205^A70,IF(A70='Données projet'!$A$88,'Données projet'!$B$88,BD69+BC70-BL69)))</f>
        <v>129.00000000000006</v>
      </c>
      <c r="BE70" s="14">
        <f>BD70*VLOOKUP('Données projet'!$B$11,Paramètres!$A$1:$I$89,3,0)*VLOOKUP('Données projet'!$B$11,Paramètres!$A$1:$I$89,5,0)</f>
        <v>130.80600000000007</v>
      </c>
      <c r="BF70" s="14">
        <f t="shared" si="91"/>
        <v>34.182535218254564</v>
      </c>
      <c r="BG70" s="22">
        <f t="shared" si="61"/>
        <v>287.35503217179348</v>
      </c>
      <c r="BH70" s="62">
        <f t="shared" si="62"/>
        <v>580.68836550512674</v>
      </c>
      <c r="BI70" s="62">
        <f ca="1">AVERAGE(OFFSET($BH$3,0,0,'Données projet'!$E$11+1,1))-AVERAGE(OFFSET($H$3,0,0,'Données projet'!$E$11+1,1))</f>
        <v>234.66244049825644</v>
      </c>
      <c r="BJ70" s="62">
        <f t="shared" si="92"/>
        <v>87.037318032671465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395.00000000000017</v>
      </c>
      <c r="O71" s="14">
        <f>N71*VLOOKUP('Données projet'!$B$9,Paramètres!$A$1:$I$89,3,0)*VLOOKUP('Données projet'!$B$9,Paramètres!$A$1:$I$89,5,0)</f>
        <v>236.21000000000009</v>
      </c>
      <c r="P71" s="14">
        <f t="shared" si="87"/>
        <v>57.62333963053878</v>
      </c>
      <c r="Q71" s="22">
        <f t="shared" si="54"/>
        <v>511.75973318985524</v>
      </c>
      <c r="R71" s="62">
        <f t="shared" si="55"/>
        <v>805.09306652318855</v>
      </c>
      <c r="S71" s="62">
        <f ca="1">AVERAGE(OFFSET($R$3,0,0,'Données projet'!$E$9+1,1))-AVERAGE(OFFSET($H$3,0,0,'Données projet'!$E$9+1,1))</f>
        <v>217.62295992724461</v>
      </c>
      <c r="T71" s="62">
        <f t="shared" si="88"/>
        <v>198.62788037979772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32.970441861745634</v>
      </c>
      <c r="AA71" s="23">
        <f>EXP(-LN(2)/25)*AA70+(1-EXP(-LN(2)/25))/(LN(2)/25)*Calculateur!V71*Calculateur!X71*VLOOKUP('Données projet'!$B$9,Paramètres!$A$1:$I$89,3,0)*0.475*44/12</f>
        <v>5.285139283596453</v>
      </c>
      <c r="AB71" s="23">
        <f>EXP(-LN(2)/2)*AB70+(1-EXP(-LN(2)/2))/(LN(2)/2)*V71*Y71*VLOOKUP('Données projet'!$B$9,Paramètres!$A$1:$I$89,3,0)*0.475*44/12</f>
        <v>0.12439054084737758</v>
      </c>
      <c r="AC71" s="24">
        <f t="shared" si="57"/>
        <v>38.379971686189464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43.905000000000001</v>
      </c>
      <c r="AI71" s="14">
        <f>IF('Données projet'!$A$62&gt;35,AI70+AH71-AQ70,IF(A71&lt;'Données projet'!$A$62,$AF$205^A71,IF(A71='Données projet'!$A$62,'Données projet'!$B$62,AI70+AH71-AQ70)))</f>
        <v>351.24000000000012</v>
      </c>
      <c r="AJ71" s="14">
        <f>AI71*VLOOKUP('Données projet'!$B$10,Paramètres!$A$1:$I$89,3,0)*VLOOKUP('Données projet'!$B$10,Paramètres!$A$1:$I$89,5,0)</f>
        <v>164.38032000000007</v>
      </c>
      <c r="AK71" s="14">
        <f t="shared" si="89"/>
        <v>41.82895040831044</v>
      </c>
      <c r="AL71" s="22">
        <f t="shared" si="58"/>
        <v>359.14781262780747</v>
      </c>
      <c r="AM71" s="62">
        <f t="shared" si="59"/>
        <v>652.48114596114078</v>
      </c>
      <c r="AN71" s="62">
        <f ca="1">AVERAGE(OFFSET($AM$3,0,0,'Données projet'!$E$10+1,1))-AVERAGE(OFFSET($H$3,0,0,'Données projet'!$E$10+1,1))</f>
        <v>201.92726874818067</v>
      </c>
      <c r="AO71" s="62">
        <f t="shared" si="90"/>
        <v>197.16147791248727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58.335721038097361</v>
      </c>
      <c r="AV71" s="23">
        <f>EXP(-LN(2)/25)*AV70+(1-EXP(-LN(2)/25))/(LN(2)/25)*Calculateur!AQ71*Calculateur!AS71*VLOOKUP('Données projet'!$B$10,Paramètres!$A$1:$I$89,3,0)*0.475*44/12</f>
        <v>36.005433328345724</v>
      </c>
      <c r="AW71" s="23">
        <f>EXP(-LN(2)/2)*AW70+(1-EXP(-LN(2)/2))/(LN(2)/2)*AQ71*AT71*VLOOKUP('Données projet'!$B$10,Paramètres!$A$1:$I$89,3,0)*0.475*44/12</f>
        <v>4.8945802218584342</v>
      </c>
      <c r="AX71" s="23">
        <f t="shared" si="60"/>
        <v>99.235734588301511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>
        <f>VLOOKUP(A71,'Données projet'!$A$87:$I$107,2,0)</f>
        <v>135</v>
      </c>
      <c r="BB71" s="13">
        <f>VLOOKUP(A71,'Données projet'!$A$87:$I$107,9,0)</f>
        <v>6</v>
      </c>
      <c r="BC71" s="13">
        <f t="array" ref="BC71">INDEX(BB:BB,MIN(IF(ISNUMBER(BB71:BB267),ROW(BB71:BB267),"")))</f>
        <v>6</v>
      </c>
      <c r="BD71" s="13">
        <f>IF('Données projet'!$A$88&gt;35,BD70+BC71-BL70,IF(A71&lt;'Données projet'!$A$88,$BA$205^A71,IF(A71='Données projet'!$A$88,'Données projet'!$B$88,BD70+BC71-BL70)))</f>
        <v>135.00000000000006</v>
      </c>
      <c r="BE71" s="14">
        <f>BD71*VLOOKUP('Données projet'!$B$11,Paramètres!$A$1:$I$89,3,0)*VLOOKUP('Données projet'!$B$11,Paramètres!$A$1:$I$89,5,0)</f>
        <v>136.89000000000007</v>
      </c>
      <c r="BF71" s="14">
        <f t="shared" si="91"/>
        <v>35.583619346017748</v>
      </c>
      <c r="BG71" s="22">
        <f t="shared" si="61"/>
        <v>300.39155369431438</v>
      </c>
      <c r="BH71" s="62">
        <f t="shared" si="62"/>
        <v>593.7248870276477</v>
      </c>
      <c r="BI71" s="62">
        <f ca="1">AVERAGE(OFFSET($BH$3,0,0,'Données projet'!$E$11+1,1))-AVERAGE(OFFSET($H$3,0,0,'Données projet'!$E$11+1,1))</f>
        <v>234.66244049825644</v>
      </c>
      <c r="BJ71" s="62">
        <f t="shared" si="92"/>
        <v>87.037318032671465</v>
      </c>
      <c r="BK71" s="16">
        <f>IF(ISNA(VLOOKUP(A71,'Données projet'!$A$87:$I$107,3,0)),0,VLOOKUP(A71,'Données projet'!$A$87:$I$107,3,0))</f>
        <v>3</v>
      </c>
      <c r="BL71" s="16">
        <f>IF(ISNA(VLOOKUP(A71,'Données projet'!$A$87:$I$107,4,0)),0,VLOOKUP(A71,'Données projet'!$A$87:$I$107,4,0))</f>
        <v>31</v>
      </c>
      <c r="BM71" s="17">
        <f>IF(ISNA(VLOOKUP(A71,'Données projet'!$A$87:$I$107,5,0)),0%,VLOOKUP(A71,'Données projet'!$A$87:$I$107,5,0)*VLOOKUP('Données projet'!$B$11,Paramètres!$A$1:$I$89,7,0))</f>
        <v>0.215</v>
      </c>
      <c r="BN71" s="17">
        <f>IF(ISNA(VLOOKUP(A71,'Données projet'!$A$87:$I$107,6,0)),0%,VLOOKUP(A71,'Données projet'!$A$87:$I$107,6,0)*VLOOKUP('Données projet'!$B$11,Paramètres!$A$1:$I$89,7,0))</f>
        <v>4.3000000000000003E-2</v>
      </c>
      <c r="BO71" s="17">
        <f>IF(ISNA(VLOOKUP(A71,'Données projet'!$A$87:$I$107,7,0)),0%,VLOOKUP(A71,'Données projet'!$A$87:$I$107,7,0))</f>
        <v>0.15</v>
      </c>
      <c r="BP71" s="23">
        <f>EXP(-LN(2)/35)*BP70+(1-EXP(-LN(2)/35))/(LN(2)/35)*BL71*BM71*VLOOKUP('Données projet'!$B$11,Paramètres!$A$1:$I$89,3,0)*0.475*44/12</f>
        <v>7.4711115207013314</v>
      </c>
      <c r="BQ71" s="23">
        <f>EXP(-LN(2)/25)*BQ70+(1-EXP(-LN(2)/25))/(LN(2)/25)*Calculateur!BL71*Calculateur!BN71*VLOOKUP('Données projet'!$B$11,Paramètres!$A$1:$I$89,3,0)*0.475*44/12</f>
        <v>1.4883389815855326</v>
      </c>
      <c r="BR71" s="23">
        <f>EXP(-LN(2)/2)*BR70+(1-EXP(-LN(2)/2))/(LN(2)/2)*BL71*BO71*VLOOKUP('Données projet'!$B$11,Paramètres!$A$1:$I$89,3,0)*0.475*44/12</f>
        <v>4.4488237550558658</v>
      </c>
      <c r="BS71" s="24">
        <f t="shared" si="63"/>
        <v>13.408274257342729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395.00000000000017</v>
      </c>
      <c r="O72" s="14">
        <f>N72*VLOOKUP('Données projet'!$B$9,Paramètres!$A$1:$I$89,3,0)*VLOOKUP('Données projet'!$B$9,Paramètres!$A$1:$I$89,5,0)</f>
        <v>236.21000000000009</v>
      </c>
      <c r="P72" s="14">
        <f t="shared" si="87"/>
        <v>57.62333963053878</v>
      </c>
      <c r="Q72" s="22">
        <f t="shared" si="54"/>
        <v>511.75973318985524</v>
      </c>
      <c r="R72" s="62">
        <f t="shared" si="55"/>
        <v>805.09306652318855</v>
      </c>
      <c r="S72" s="62">
        <f ca="1">AVERAGE(OFFSET($R$3,0,0,'Données projet'!$E$9+1,1))-AVERAGE(OFFSET($H$3,0,0,'Données projet'!$E$9+1,1))</f>
        <v>217.62295992724461</v>
      </c>
      <c r="T72" s="62">
        <f t="shared" si="88"/>
        <v>198.62788037979772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32.323911606820644</v>
      </c>
      <c r="AA72" s="23">
        <f>EXP(-LN(2)/25)*AA71+(1-EXP(-LN(2)/25))/(LN(2)/25)*Calculateur!V72*Calculateur!X72*VLOOKUP('Données projet'!$B$9,Paramètres!$A$1:$I$89,3,0)*0.475*44/12</f>
        <v>5.140616871953112</v>
      </c>
      <c r="AB72" s="23">
        <f>EXP(-LN(2)/2)*AB71+(1-EXP(-LN(2)/2))/(LN(2)/2)*V72*Y72*VLOOKUP('Données projet'!$B$9,Paramètres!$A$1:$I$89,3,0)*0.475*44/12</f>
        <v>8.7957394948642922E-2</v>
      </c>
      <c r="AC72" s="24">
        <f t="shared" si="57"/>
        <v>37.552485873722404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43.905000000000001</v>
      </c>
      <c r="AI72" s="14">
        <f>IF('Données projet'!$A$62&gt;35,AI71+AH72-AQ71,IF(A72&lt;'Données projet'!$A$62,$AF$205^A72,IF(A72='Données projet'!$A$62,'Données projet'!$B$62,AI71+AH72-AQ71)))</f>
        <v>395.1450000000001</v>
      </c>
      <c r="AJ72" s="14">
        <f>AI72*VLOOKUP('Données projet'!$B$10,Paramètres!$A$1:$I$89,3,0)*VLOOKUP('Données projet'!$B$10,Paramètres!$A$1:$I$89,5,0)</f>
        <v>184.92786000000004</v>
      </c>
      <c r="AK72" s="14">
        <f t="shared" si="89"/>
        <v>46.416814896925231</v>
      </c>
      <c r="AL72" s="22">
        <f t="shared" si="58"/>
        <v>402.92530877881148</v>
      </c>
      <c r="AM72" s="62">
        <f t="shared" si="59"/>
        <v>696.2586421121448</v>
      </c>
      <c r="AN72" s="62">
        <f ca="1">AVERAGE(OFFSET($AM$3,0,0,'Données projet'!$E$10+1,1))-AVERAGE(OFFSET($H$3,0,0,'Données projet'!$E$10+1,1))</f>
        <v>201.92726874818067</v>
      </c>
      <c r="AO72" s="62">
        <f t="shared" si="90"/>
        <v>197.16147791248727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57.191793129816745</v>
      </c>
      <c r="AV72" s="23">
        <f>EXP(-LN(2)/25)*AV71+(1-EXP(-LN(2)/25))/(LN(2)/25)*Calculateur!AQ72*Calculateur!AS72*VLOOKUP('Données projet'!$B$10,Paramètres!$A$1:$I$89,3,0)*0.475*44/12</f>
        <v>35.020862860538664</v>
      </c>
      <c r="AW72" s="23">
        <f>EXP(-LN(2)/2)*AW71+(1-EXP(-LN(2)/2))/(LN(2)/2)*AQ72*AT72*VLOOKUP('Données projet'!$B$10,Paramètres!$A$1:$I$89,3,0)*0.475*44/12</f>
        <v>3.4609908659376551</v>
      </c>
      <c r="AX72" s="23">
        <f t="shared" si="60"/>
        <v>95.673646856293075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5.8</v>
      </c>
      <c r="BD72" s="13">
        <f>IF('Données projet'!$A$88&gt;35,BD71+BC72-BL71,IF(A72&lt;'Données projet'!$A$88,$BA$205^A72,IF(A72='Données projet'!$A$88,'Données projet'!$B$88,BD71+BC72-BL71)))</f>
        <v>109.80000000000007</v>
      </c>
      <c r="BE72" s="14">
        <f>BD72*VLOOKUP('Données projet'!$B$11,Paramètres!$A$1:$I$89,3,0)*VLOOKUP('Données projet'!$B$11,Paramètres!$A$1:$I$89,5,0)</f>
        <v>111.33720000000008</v>
      </c>
      <c r="BF72" s="14">
        <f t="shared" si="91"/>
        <v>29.645817422905342</v>
      </c>
      <c r="BG72" s="22">
        <f t="shared" si="61"/>
        <v>245.54542201156025</v>
      </c>
      <c r="BH72" s="62">
        <f t="shared" si="62"/>
        <v>538.87875534489353</v>
      </c>
      <c r="BI72" s="62">
        <f ca="1">AVERAGE(OFFSET($BH$3,0,0,'Données projet'!$E$11+1,1))-AVERAGE(OFFSET($H$3,0,0,'Données projet'!$E$11+1,1))</f>
        <v>234.66244049825644</v>
      </c>
      <c r="BJ72" s="62">
        <f t="shared" si="92"/>
        <v>87.037318032671465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7.324607580708447</v>
      </c>
      <c r="BQ72" s="23">
        <f>EXP(-LN(2)/25)*BQ71+(1-EXP(-LN(2)/25))/(LN(2)/25)*Calculateur!BL72*Calculateur!BN72*VLOOKUP('Données projet'!$B$11,Paramètres!$A$1:$I$89,3,0)*0.475*44/12</f>
        <v>1.4476402738657308</v>
      </c>
      <c r="BR72" s="23">
        <f>EXP(-LN(2)/2)*BR71+(1-EXP(-LN(2)/2))/(LN(2)/2)*BL72*BO72*VLOOKUP('Données projet'!$B$11,Paramètres!$A$1:$I$89,3,0)*0.475*44/12</f>
        <v>3.145793445503803</v>
      </c>
      <c r="BS72" s="24">
        <f t="shared" si="63"/>
        <v>11.918041300077981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395.00000000000017</v>
      </c>
      <c r="O73" s="14">
        <f>N73*VLOOKUP('Données projet'!$B$9,Paramètres!$A$1:$I$89,3,0)*VLOOKUP('Données projet'!$B$9,Paramètres!$A$1:$I$89,5,0)</f>
        <v>236.21000000000009</v>
      </c>
      <c r="P73" s="14">
        <f t="shared" si="87"/>
        <v>57.62333963053878</v>
      </c>
      <c r="Q73" s="22">
        <f t="shared" si="54"/>
        <v>511.75973318985524</v>
      </c>
      <c r="R73" s="62">
        <f t="shared" si="55"/>
        <v>805.09306652318855</v>
      </c>
      <c r="S73" s="62">
        <f ca="1">AVERAGE(OFFSET($R$3,0,0,'Données projet'!$E$9+1,1))-AVERAGE(OFFSET($H$3,0,0,'Données projet'!$E$9+1,1))</f>
        <v>217.62295992724461</v>
      </c>
      <c r="T73" s="62">
        <f t="shared" si="88"/>
        <v>198.62788037979772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31.690059415850214</v>
      </c>
      <c r="AA73" s="23">
        <f>EXP(-LN(2)/25)*AA72+(1-EXP(-LN(2)/25))/(LN(2)/25)*Calculateur!V73*Calculateur!X73*VLOOKUP('Données projet'!$B$9,Paramètres!$A$1:$I$89,3,0)*0.475*44/12</f>
        <v>5.0000464332562622</v>
      </c>
      <c r="AB73" s="23">
        <f>EXP(-LN(2)/2)*AB72+(1-EXP(-LN(2)/2))/(LN(2)/2)*V73*Y73*VLOOKUP('Données projet'!$B$9,Paramètres!$A$1:$I$89,3,0)*0.475*44/12</f>
        <v>6.2195270423688796E-2</v>
      </c>
      <c r="AC73" s="24">
        <f t="shared" si="57"/>
        <v>36.752301119530159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439.05</v>
      </c>
      <c r="AG73" s="13">
        <f>VLOOKUP(A73,'Données projet'!$A$61:$I$81,9,0)</f>
        <v>43.905000000000001</v>
      </c>
      <c r="AH73" s="13">
        <f t="array" ref="AH73">INDEX(AG:AG,MIN(IF(ISNUMBER(AG73:AG269),ROW(AG73:AG269),"")))</f>
        <v>43.905000000000001</v>
      </c>
      <c r="AI73" s="14">
        <f>IF('Données projet'!$A$62&gt;35,AI72+AH73-AQ72,IF(A73&lt;'Données projet'!$A$62,$AF$205^A73,IF(A73='Données projet'!$A$62,'Données projet'!$B$62,AI72+AH73-AQ72)))</f>
        <v>439.05000000000007</v>
      </c>
      <c r="AJ73" s="14">
        <f>AI73*VLOOKUP('Données projet'!$B$10,Paramètres!$A$1:$I$89,3,0)*VLOOKUP('Données projet'!$B$10,Paramètres!$A$1:$I$89,5,0)</f>
        <v>205.47540000000004</v>
      </c>
      <c r="AK73" s="14">
        <f t="shared" si="89"/>
        <v>50.94559686562804</v>
      </c>
      <c r="AL73" s="22">
        <f t="shared" si="58"/>
        <v>446.59990287430219</v>
      </c>
      <c r="AM73" s="62">
        <f t="shared" si="59"/>
        <v>739.93323620763545</v>
      </c>
      <c r="AN73" s="62">
        <f ca="1">AVERAGE(OFFSET($AM$3,0,0,'Données projet'!$E$10+1,1))-AVERAGE(OFFSET($H$3,0,0,'Données projet'!$E$10+1,1))</f>
        <v>201.92726874818067</v>
      </c>
      <c r="AO73" s="62">
        <f t="shared" si="90"/>
        <v>197.16147791248727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131.71</v>
      </c>
      <c r="AR73" s="17">
        <f>IF(ISNA(VLOOKUP(A73,'Données projet'!$A$61:$I$81,5,0)),0%,VLOOKUP(A73,'Données projet'!$A$61:$I$81,5,0)*VLOOKUP('Données projet'!$B$10,Paramètres!$A$1:$I$89,7,0))</f>
        <v>0.22000000000000003</v>
      </c>
      <c r="AS73" s="17">
        <f>IF(ISNA(VLOOKUP(A73,'Données projet'!$A$61:$I$81,6,0)),0%,VLOOKUP(A73,'Données projet'!$A$61:$I$81,6,0)*VLOOKUP('Données projet'!$B$10,Paramètres!$A$1:$I$89,7,0))</f>
        <v>0.13200000000000001</v>
      </c>
      <c r="AT73" s="17">
        <f>IF(ISNA(VLOOKUP(A73,'Données projet'!$A$61:$I$81,7,0)),0%,VLOOKUP(A73,'Données projet'!$A$61:$I$81,7,0))</f>
        <v>0.36</v>
      </c>
      <c r="AU73" s="23">
        <f>EXP(-LN(2)/35)*AU72+(1-EXP(-LN(2)/35))/(LN(2)/35)*AQ73*AR73*VLOOKUP('Données projet'!$B$10,Paramètres!$A$1:$I$89,3,0)*0.475*44/12</f>
        <v>74.059653933785356</v>
      </c>
      <c r="AV73" s="23">
        <f>EXP(-LN(2)/25)*AV72+(1-EXP(-LN(2)/25))/(LN(2)/25)*Calculateur!AQ73*Calculateur!AS73*VLOOKUP('Données projet'!$B$10,Paramètres!$A$1:$I$89,3,0)*0.475*44/12</f>
        <v>44.814331142410765</v>
      </c>
      <c r="AW73" s="23">
        <f>EXP(-LN(2)/2)*AW72+(1-EXP(-LN(2)/2))/(LN(2)/2)*AQ73*AT73*VLOOKUP('Données projet'!$B$10,Paramètres!$A$1:$I$89,3,0)*0.475*44/12</f>
        <v>27.572091814976094</v>
      </c>
      <c r="AX73" s="23">
        <f t="shared" si="60"/>
        <v>146.44607689117223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5.8</v>
      </c>
      <c r="BD73" s="13">
        <f>IF('Données projet'!$A$88&gt;35,BD72+BC73-BL72,IF(A73&lt;'Données projet'!$A$88,$BA$205^A73,IF(A73='Données projet'!$A$88,'Données projet'!$B$88,BD72+BC73-BL72)))</f>
        <v>115.60000000000007</v>
      </c>
      <c r="BE73" s="14">
        <f>BD73*VLOOKUP('Données projet'!$B$11,Paramètres!$A$1:$I$89,3,0)*VLOOKUP('Données projet'!$B$11,Paramètres!$A$1:$I$89,5,0)</f>
        <v>117.21840000000007</v>
      </c>
      <c r="BF73" s="14">
        <f t="shared" si="91"/>
        <v>31.02535389950221</v>
      </c>
      <c r="BG73" s="22">
        <f t="shared" si="61"/>
        <v>258.19120470829978</v>
      </c>
      <c r="BH73" s="62">
        <f t="shared" si="62"/>
        <v>551.52453804163315</v>
      </c>
      <c r="BI73" s="62">
        <f ca="1">AVERAGE(OFFSET($BH$3,0,0,'Données projet'!$E$11+1,1))-AVERAGE(OFFSET($H$3,0,0,'Données projet'!$E$11+1,1))</f>
        <v>234.66244049825644</v>
      </c>
      <c r="BJ73" s="62">
        <f t="shared" si="92"/>
        <v>87.037318032671465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7.1809764936202427</v>
      </c>
      <c r="BQ73" s="23">
        <f>EXP(-LN(2)/25)*BQ72+(1-EXP(-LN(2)/25))/(LN(2)/25)*Calculateur!BL73*Calculateur!BN73*VLOOKUP('Données projet'!$B$11,Paramètres!$A$1:$I$89,3,0)*0.475*44/12</f>
        <v>1.4080544744487791</v>
      </c>
      <c r="BR73" s="23">
        <f>EXP(-LN(2)/2)*BR72+(1-EXP(-LN(2)/2))/(LN(2)/2)*BL73*BO73*VLOOKUP('Données projet'!$B$11,Paramètres!$A$1:$I$89,3,0)*0.475*44/12</f>
        <v>2.2244118775279333</v>
      </c>
      <c r="BS73" s="24">
        <f t="shared" si="63"/>
        <v>10.813442845596954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395.00000000000017</v>
      </c>
      <c r="O74" s="14">
        <f>N74*VLOOKUP('Données projet'!$B$9,Paramètres!$A$1:$I$89,3,0)*VLOOKUP('Données projet'!$B$9,Paramètres!$A$1:$I$89,5,0)</f>
        <v>236.21000000000009</v>
      </c>
      <c r="P74" s="14">
        <f t="shared" si="87"/>
        <v>57.62333963053878</v>
      </c>
      <c r="Q74" s="22">
        <f t="shared" si="54"/>
        <v>511.75973318985524</v>
      </c>
      <c r="R74" s="62">
        <f t="shared" si="55"/>
        <v>805.09306652318855</v>
      </c>
      <c r="S74" s="62">
        <f ca="1">AVERAGE(OFFSET($R$3,0,0,'Données projet'!$E$9+1,1))-AVERAGE(OFFSET($H$3,0,0,'Données projet'!$E$9+1,1))</f>
        <v>217.62295992724461</v>
      </c>
      <c r="T74" s="62">
        <f t="shared" si="88"/>
        <v>198.62788037979772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31.068636679733054</v>
      </c>
      <c r="AA74" s="23">
        <f>EXP(-LN(2)/25)*AA73+(1-EXP(-LN(2)/25))/(LN(2)/25)*Calculateur!V74*Calculateur!X74*VLOOKUP('Données projet'!$B$9,Paramètres!$A$1:$I$89,3,0)*0.475*44/12</f>
        <v>4.8633199005978556</v>
      </c>
      <c r="AB74" s="23">
        <f>EXP(-LN(2)/2)*AB73+(1-EXP(-LN(2)/2))/(LN(2)/2)*V74*Y74*VLOOKUP('Données projet'!$B$9,Paramètres!$A$1:$I$89,3,0)*0.475*44/12</f>
        <v>4.3978697474321468E-2</v>
      </c>
      <c r="AC74" s="24">
        <f t="shared" si="57"/>
        <v>35.975935277805235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16.998999999999995</v>
      </c>
      <c r="AI74" s="14">
        <f>IF('Données projet'!$A$62&gt;35,AI73+AH74-AQ73,IF(A74&lt;'Données projet'!$A$62,$AF$205^A74,IF(A74='Données projet'!$A$62,'Données projet'!$B$62,AI73+AH74-AQ73)))</f>
        <v>324.33900000000006</v>
      </c>
      <c r="AJ74" s="14">
        <f>AI74*VLOOKUP('Données projet'!$B$10,Paramètres!$A$1:$I$89,3,0)*VLOOKUP('Données projet'!$B$10,Paramètres!$A$1:$I$89,5,0)</f>
        <v>151.79065200000002</v>
      </c>
      <c r="AK74" s="14">
        <f t="shared" si="89"/>
        <v>38.985236236051115</v>
      </c>
      <c r="AL74" s="22">
        <f t="shared" si="58"/>
        <v>332.26800534445573</v>
      </c>
      <c r="AM74" s="62">
        <f t="shared" si="59"/>
        <v>625.60133867778904</v>
      </c>
      <c r="AN74" s="62">
        <f ca="1">AVERAGE(OFFSET($AM$3,0,0,'Données projet'!$E$10+1,1))-AVERAGE(OFFSET($H$3,0,0,'Données projet'!$E$10+1,1))</f>
        <v>201.92726874818067</v>
      </c>
      <c r="AO74" s="62">
        <f t="shared" si="90"/>
        <v>197.16147791248727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72.607389292072369</v>
      </c>
      <c r="AV74" s="23">
        <f>EXP(-LN(2)/25)*AV73+(1-EXP(-LN(2)/25))/(LN(2)/25)*Calculateur!AQ74*Calculateur!AS74*VLOOKUP('Données projet'!$B$10,Paramètres!$A$1:$I$89,3,0)*0.475*44/12</f>
        <v>43.588880900638294</v>
      </c>
      <c r="AW74" s="23">
        <f>EXP(-LN(2)/2)*AW73+(1-EXP(-LN(2)/2))/(LN(2)/2)*AQ74*AT74*VLOOKUP('Données projet'!$B$10,Paramètres!$A$1:$I$89,3,0)*0.475*44/12</f>
        <v>19.496413093867702</v>
      </c>
      <c r="AX74" s="23">
        <f t="shared" si="60"/>
        <v>135.69268328657836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5.8</v>
      </c>
      <c r="BD74" s="13">
        <f>IF('Données projet'!$A$88&gt;35,BD73+BC74-BL73,IF(A74&lt;'Données projet'!$A$88,$BA$205^A74,IF(A74='Données projet'!$A$88,'Données projet'!$B$88,BD73+BC74-BL73)))</f>
        <v>121.40000000000006</v>
      </c>
      <c r="BE74" s="14">
        <f>BD74*VLOOKUP('Données projet'!$B$11,Paramètres!$A$1:$I$89,3,0)*VLOOKUP('Données projet'!$B$11,Paramètres!$A$1:$I$89,5,0)</f>
        <v>123.09960000000007</v>
      </c>
      <c r="BF74" s="14">
        <f t="shared" si="91"/>
        <v>32.396853612606897</v>
      </c>
      <c r="BG74" s="22">
        <f t="shared" si="61"/>
        <v>270.8229900419571</v>
      </c>
      <c r="BH74" s="62">
        <f t="shared" si="62"/>
        <v>564.15632337529041</v>
      </c>
      <c r="BI74" s="62">
        <f ca="1">AVERAGE(OFFSET($BH$3,0,0,'Données projet'!$E$11+1,1))-AVERAGE(OFFSET($H$3,0,0,'Données projet'!$E$11+1,1))</f>
        <v>234.66244049825644</v>
      </c>
      <c r="BJ74" s="62">
        <f t="shared" si="92"/>
        <v>87.037318032671465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7.0401619245435256</v>
      </c>
      <c r="BQ74" s="23">
        <f>EXP(-LN(2)/25)*BQ73+(1-EXP(-LN(2)/25))/(LN(2)/25)*Calculateur!BL74*Calculateur!BN74*VLOOKUP('Données projet'!$B$11,Paramètres!$A$1:$I$89,3,0)*0.475*44/12</f>
        <v>1.3695511507986105</v>
      </c>
      <c r="BR74" s="23">
        <f>EXP(-LN(2)/2)*BR73+(1-EXP(-LN(2)/2))/(LN(2)/2)*BL74*BO74*VLOOKUP('Données projet'!$B$11,Paramètres!$A$1:$I$89,3,0)*0.475*44/12</f>
        <v>1.5728967227519017</v>
      </c>
      <c r="BS74" s="24">
        <f t="shared" si="63"/>
        <v>9.9826097980940371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395.00000000000017</v>
      </c>
      <c r="O75" s="14">
        <f>N75*VLOOKUP('Données projet'!$B$9,Paramètres!$A$1:$I$89,3,0)*VLOOKUP('Données projet'!$B$9,Paramètres!$A$1:$I$89,5,0)</f>
        <v>236.21000000000009</v>
      </c>
      <c r="P75" s="14">
        <f t="shared" si="87"/>
        <v>57.62333963053878</v>
      </c>
      <c r="Q75" s="22">
        <f t="shared" si="54"/>
        <v>511.75973318985524</v>
      </c>
      <c r="R75" s="62">
        <f t="shared" si="55"/>
        <v>805.09306652318855</v>
      </c>
      <c r="S75" s="62">
        <f ca="1">AVERAGE(OFFSET($R$3,0,0,'Données projet'!$E$9+1,1))-AVERAGE(OFFSET($H$3,0,0,'Données projet'!$E$9+1,1))</f>
        <v>217.62295992724461</v>
      </c>
      <c r="T75" s="62">
        <f t="shared" si="88"/>
        <v>198.62788037979772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30.459399664440706</v>
      </c>
      <c r="AA75" s="23">
        <f>EXP(-LN(2)/25)*AA74+(1-EXP(-LN(2)/25))/(LN(2)/25)*Calculateur!V75*Calculateur!X75*VLOOKUP('Données projet'!$B$9,Paramètres!$A$1:$I$89,3,0)*0.475*44/12</f>
        <v>4.7303321621651291</v>
      </c>
      <c r="AB75" s="23">
        <f>EXP(-LN(2)/2)*AB74+(1-EXP(-LN(2)/2))/(LN(2)/2)*V75*Y75*VLOOKUP('Données projet'!$B$9,Paramètres!$A$1:$I$89,3,0)*0.475*44/12</f>
        <v>3.1097635211844402E-2</v>
      </c>
      <c r="AC75" s="24">
        <f t="shared" si="57"/>
        <v>35.220829461817679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16.998999999999995</v>
      </c>
      <c r="AI75" s="14">
        <f>IF('Données projet'!$A$62&gt;35,AI74+AH75-AQ74,IF(A75&lt;'Données projet'!$A$62,$AF$205^A75,IF(A75='Données projet'!$A$62,'Données projet'!$B$62,AI74+AH75-AQ74)))</f>
        <v>341.33800000000008</v>
      </c>
      <c r="AJ75" s="14">
        <f>AI75*VLOOKUP('Données projet'!$B$10,Paramètres!$A$1:$I$89,3,0)*VLOOKUP('Données projet'!$B$10,Paramètres!$A$1:$I$89,5,0)</f>
        <v>159.74618400000003</v>
      </c>
      <c r="AK75" s="14">
        <f t="shared" si="89"/>
        <v>40.785261210749901</v>
      </c>
      <c r="AL75" s="22">
        <f t="shared" si="58"/>
        <v>349.25893374205612</v>
      </c>
      <c r="AM75" s="62">
        <f t="shared" si="59"/>
        <v>642.59226707538937</v>
      </c>
      <c r="AN75" s="62">
        <f ca="1">AVERAGE(OFFSET($AM$3,0,0,'Données projet'!$E$10+1,1))-AVERAGE(OFFSET($H$3,0,0,'Données projet'!$E$10+1,1))</f>
        <v>201.92726874818067</v>
      </c>
      <c r="AO75" s="62">
        <f t="shared" si="90"/>
        <v>197.16147791248727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71.183602674189402</v>
      </c>
      <c r="AV75" s="23">
        <f>EXP(-LN(2)/25)*AV74+(1-EXP(-LN(2)/25))/(LN(2)/25)*Calculateur!AQ75*Calculateur!AS75*VLOOKUP('Données projet'!$B$10,Paramètres!$A$1:$I$89,3,0)*0.475*44/12</f>
        <v>42.396940660170721</v>
      </c>
      <c r="AW75" s="23">
        <f>EXP(-LN(2)/2)*AW74+(1-EXP(-LN(2)/2))/(LN(2)/2)*AQ75*AT75*VLOOKUP('Données projet'!$B$10,Paramètres!$A$1:$I$89,3,0)*0.475*44/12</f>
        <v>13.786045907488051</v>
      </c>
      <c r="AX75" s="23">
        <f t="shared" si="60"/>
        <v>127.36658924184817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5.8</v>
      </c>
      <c r="BD75" s="13">
        <f>IF('Données projet'!$A$88&gt;35,BD74+BC75-BL74,IF(A75&lt;'Données projet'!$A$88,$BA$205^A75,IF(A75='Données projet'!$A$88,'Données projet'!$B$88,BD74+BC75-BL74)))</f>
        <v>127.20000000000006</v>
      </c>
      <c r="BE75" s="14">
        <f>BD75*VLOOKUP('Données projet'!$B$11,Paramètres!$A$1:$I$89,3,0)*VLOOKUP('Données projet'!$B$11,Paramètres!$A$1:$I$89,5,0)</f>
        <v>128.98080000000007</v>
      </c>
      <c r="BF75" s="14">
        <f t="shared" si="91"/>
        <v>33.760744362869438</v>
      </c>
      <c r="BG75" s="22">
        <f t="shared" si="61"/>
        <v>283.44152309866439</v>
      </c>
      <c r="BH75" s="62">
        <f t="shared" si="62"/>
        <v>576.7748564319977</v>
      </c>
      <c r="BI75" s="62">
        <f ca="1">AVERAGE(OFFSET($BH$3,0,0,'Données projet'!$E$11+1,1))-AVERAGE(OFFSET($H$3,0,0,'Données projet'!$E$11+1,1))</f>
        <v>234.66244049825644</v>
      </c>
      <c r="BJ75" s="62">
        <f t="shared" si="92"/>
        <v>87.037318032671465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6.9021086432779963</v>
      </c>
      <c r="BQ75" s="23">
        <f>EXP(-LN(2)/25)*BQ74+(1-EXP(-LN(2)/25))/(LN(2)/25)*Calculateur!BL75*Calculateur!BN75*VLOOKUP('Données projet'!$B$11,Paramètres!$A$1:$I$89,3,0)*0.475*44/12</f>
        <v>1.3321007025584575</v>
      </c>
      <c r="BR75" s="23">
        <f>EXP(-LN(2)/2)*BR74+(1-EXP(-LN(2)/2))/(LN(2)/2)*BL75*BO75*VLOOKUP('Données projet'!$B$11,Paramètres!$A$1:$I$89,3,0)*0.475*44/12</f>
        <v>1.1122059387639667</v>
      </c>
      <c r="BS75" s="24">
        <f t="shared" si="63"/>
        <v>9.3464152846004218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395.00000000000017</v>
      </c>
      <c r="O76" s="14">
        <f>N76*VLOOKUP('Données projet'!$B$9,Paramètres!$A$1:$I$89,3,0)*VLOOKUP('Données projet'!$B$9,Paramètres!$A$1:$I$89,5,0)</f>
        <v>236.21000000000009</v>
      </c>
      <c r="P76" s="14">
        <f t="shared" si="87"/>
        <v>57.62333963053878</v>
      </c>
      <c r="Q76" s="22">
        <f t="shared" si="54"/>
        <v>511.75973318985524</v>
      </c>
      <c r="R76" s="62">
        <f t="shared" si="55"/>
        <v>805.09306652318855</v>
      </c>
      <c r="S76" s="62">
        <f ca="1">AVERAGE(OFFSET($R$3,0,0,'Données projet'!$E$9+1,1))-AVERAGE(OFFSET($H$3,0,0,'Données projet'!$E$9+1,1))</f>
        <v>217.62295992724461</v>
      </c>
      <c r="T76" s="62">
        <f t="shared" si="88"/>
        <v>198.62788037979772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29.862109415420356</v>
      </c>
      <c r="AA76" s="23">
        <f>EXP(-LN(2)/25)*AA75+(1-EXP(-LN(2)/25))/(LN(2)/25)*Calculateur!V76*Calculateur!X76*VLOOKUP('Données projet'!$B$9,Paramètres!$A$1:$I$89,3,0)*0.475*44/12</f>
        <v>4.6009809804333663</v>
      </c>
      <c r="AB76" s="23">
        <f>EXP(-LN(2)/2)*AB75+(1-EXP(-LN(2)/2))/(LN(2)/2)*V76*Y76*VLOOKUP('Données projet'!$B$9,Paramètres!$A$1:$I$89,3,0)*0.475*44/12</f>
        <v>2.1989348737160738E-2</v>
      </c>
      <c r="AC76" s="24">
        <f t="shared" si="57"/>
        <v>34.485079744590884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16.998999999999995</v>
      </c>
      <c r="AI76" s="14">
        <f>IF('Données projet'!$A$62&gt;35,AI75+AH76-AQ75,IF(A76&lt;'Données projet'!$A$62,$AF$205^A76,IF(A76='Données projet'!$A$62,'Données projet'!$B$62,AI75+AH76-AQ75)))</f>
        <v>358.3370000000001</v>
      </c>
      <c r="AJ76" s="14">
        <f>AI76*VLOOKUP('Données projet'!$B$10,Paramètres!$A$1:$I$89,3,0)*VLOOKUP('Données projet'!$B$10,Paramètres!$A$1:$I$89,5,0)</f>
        <v>167.70171600000003</v>
      </c>
      <c r="AK76" s="14">
        <f t="shared" si="89"/>
        <v>42.574877361646379</v>
      </c>
      <c r="AL76" s="22">
        <f t="shared" si="58"/>
        <v>366.23173343820076</v>
      </c>
      <c r="AM76" s="62">
        <f t="shared" si="59"/>
        <v>659.56506677153402</v>
      </c>
      <c r="AN76" s="62">
        <f ca="1">AVERAGE(OFFSET($AM$3,0,0,'Données projet'!$E$10+1,1))-AVERAGE(OFFSET($H$3,0,0,'Données projet'!$E$10+1,1))</f>
        <v>201.92726874818067</v>
      </c>
      <c r="AO76" s="62">
        <f t="shared" si="90"/>
        <v>197.16147791248727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69.78773564345903</v>
      </c>
      <c r="AV76" s="23">
        <f>EXP(-LN(2)/25)*AV75+(1-EXP(-LN(2)/25))/(LN(2)/25)*Calculateur!AQ76*Calculateur!AS76*VLOOKUP('Données projet'!$B$10,Paramètres!$A$1:$I$89,3,0)*0.475*44/12</f>
        <v>41.237594088260145</v>
      </c>
      <c r="AW76" s="23">
        <f>EXP(-LN(2)/2)*AW75+(1-EXP(-LN(2)/2))/(LN(2)/2)*AQ76*AT76*VLOOKUP('Données projet'!$B$10,Paramètres!$A$1:$I$89,3,0)*0.475*44/12</f>
        <v>9.7482065469338526</v>
      </c>
      <c r="AX76" s="23">
        <f t="shared" si="60"/>
        <v>120.77353627865304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5.8</v>
      </c>
      <c r="BD76" s="13">
        <f>IF('Données projet'!$A$88&gt;35,BD75+BC76-BL75,IF(A76&lt;'Données projet'!$A$88,$BA$205^A76,IF(A76='Données projet'!$A$88,'Données projet'!$B$88,BD75+BC76-BL75)))</f>
        <v>133.00000000000006</v>
      </c>
      <c r="BE76" s="14">
        <f>BD76*VLOOKUP('Données projet'!$B$11,Paramètres!$A$1:$I$89,3,0)*VLOOKUP('Données projet'!$B$11,Paramètres!$A$1:$I$89,5,0)</f>
        <v>134.86200000000008</v>
      </c>
      <c r="BF76" s="14">
        <f t="shared" si="91"/>
        <v>35.11741273245844</v>
      </c>
      <c r="BG76" s="22">
        <f t="shared" si="61"/>
        <v>296.04747717569853</v>
      </c>
      <c r="BH76" s="62">
        <f t="shared" si="62"/>
        <v>589.38081050903179</v>
      </c>
      <c r="BI76" s="62">
        <f ca="1">AVERAGE(OFFSET($BH$3,0,0,'Données projet'!$E$11+1,1))-AVERAGE(OFFSET($H$3,0,0,'Données projet'!$E$11+1,1))</f>
        <v>234.66244049825644</v>
      </c>
      <c r="BJ76" s="62">
        <f t="shared" si="92"/>
        <v>87.037318032671465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6.7667625026538971</v>
      </c>
      <c r="BQ76" s="23">
        <f>EXP(-LN(2)/25)*BQ75+(1-EXP(-LN(2)/25))/(LN(2)/25)*Calculateur!BL76*Calculateur!BN76*VLOOKUP('Données projet'!$B$11,Paramètres!$A$1:$I$89,3,0)*0.475*44/12</f>
        <v>1.295674338794865</v>
      </c>
      <c r="BR76" s="23">
        <f>EXP(-LN(2)/2)*BR75+(1-EXP(-LN(2)/2))/(LN(2)/2)*BL76*BO76*VLOOKUP('Données projet'!$B$11,Paramètres!$A$1:$I$89,3,0)*0.475*44/12</f>
        <v>0.78644836137595087</v>
      </c>
      <c r="BS76" s="24">
        <f t="shared" si="63"/>
        <v>8.8488852028247127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395.00000000000017</v>
      </c>
      <c r="O77" s="14">
        <f>N77*VLOOKUP('Données projet'!$B$9,Paramètres!$A$1:$I$89,3,0)*VLOOKUP('Données projet'!$B$9,Paramètres!$A$1:$I$89,5,0)</f>
        <v>236.21000000000009</v>
      </c>
      <c r="P77" s="14">
        <f t="shared" si="87"/>
        <v>57.62333963053878</v>
      </c>
      <c r="Q77" s="22">
        <f t="shared" si="54"/>
        <v>511.75973318985524</v>
      </c>
      <c r="R77" s="62">
        <f t="shared" si="55"/>
        <v>805.09306652318855</v>
      </c>
      <c r="S77" s="62">
        <f ca="1">AVERAGE(OFFSET($R$3,0,0,'Données projet'!$E$9+1,1))-AVERAGE(OFFSET($H$3,0,0,'Données projet'!$E$9+1,1))</f>
        <v>217.62295992724461</v>
      </c>
      <c r="T77" s="62">
        <f t="shared" si="88"/>
        <v>198.62788037979772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29.276531663872216</v>
      </c>
      <c r="AA77" s="23">
        <f>EXP(-LN(2)/25)*AA76+(1-EXP(-LN(2)/25))/(LN(2)/25)*Calculateur!V77*Calculateur!X77*VLOOKUP('Données projet'!$B$9,Paramètres!$A$1:$I$89,3,0)*0.475*44/12</f>
        <v>4.4751669135683416</v>
      </c>
      <c r="AB77" s="23">
        <f>EXP(-LN(2)/2)*AB76+(1-EXP(-LN(2)/2))/(LN(2)/2)*V77*Y77*VLOOKUP('Données projet'!$B$9,Paramètres!$A$1:$I$89,3,0)*0.475*44/12</f>
        <v>1.5548817605922204E-2</v>
      </c>
      <c r="AC77" s="24">
        <f t="shared" si="57"/>
        <v>33.767247395046482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16.998999999999995</v>
      </c>
      <c r="AI77" s="14">
        <f>IF('Données projet'!$A$62&gt;35,AI76+AH77-AQ76,IF(A77&lt;'Données projet'!$A$62,$AF$205^A77,IF(A77='Données projet'!$A$62,'Données projet'!$B$62,AI76+AH77-AQ76)))</f>
        <v>375.33600000000013</v>
      </c>
      <c r="AJ77" s="14">
        <f>AI77*VLOOKUP('Données projet'!$B$10,Paramètres!$A$1:$I$89,3,0)*VLOOKUP('Données projet'!$B$10,Paramètres!$A$1:$I$89,5,0)</f>
        <v>175.65724800000007</v>
      </c>
      <c r="AK77" s="14">
        <f t="shared" si="89"/>
        <v>44.354634847490104</v>
      </c>
      <c r="AL77" s="22">
        <f t="shared" si="58"/>
        <v>383.18736262604534</v>
      </c>
      <c r="AM77" s="62">
        <f t="shared" si="59"/>
        <v>676.5206959593786</v>
      </c>
      <c r="AN77" s="62">
        <f ca="1">AVERAGE(OFFSET($AM$3,0,0,'Données projet'!$E$10+1,1))-AVERAGE(OFFSET($H$3,0,0,'Données projet'!$E$10+1,1))</f>
        <v>201.92726874818067</v>
      </c>
      <c r="AO77" s="62">
        <f t="shared" si="90"/>
        <v>197.16147791248727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68.41924071380646</v>
      </c>
      <c r="AV77" s="23">
        <f>EXP(-LN(2)/25)*AV76+(1-EXP(-LN(2)/25))/(LN(2)/25)*Calculateur!AQ77*Calculateur!AS77*VLOOKUP('Données projet'!$B$10,Paramètres!$A$1:$I$89,3,0)*0.475*44/12</f>
        <v>40.109949909325849</v>
      </c>
      <c r="AW77" s="23">
        <f>EXP(-LN(2)/2)*AW76+(1-EXP(-LN(2)/2))/(LN(2)/2)*AQ77*AT77*VLOOKUP('Données projet'!$B$10,Paramètres!$A$1:$I$89,3,0)*0.475*44/12</f>
        <v>6.8930229537440262</v>
      </c>
      <c r="AX77" s="23">
        <f t="shared" si="60"/>
        <v>115.42221357687633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5.8</v>
      </c>
      <c r="BD77" s="13">
        <f>IF('Données projet'!$A$88&gt;35,BD76+BC77-BL76,IF(A77&lt;'Données projet'!$A$88,$BA$205^A77,IF(A77='Données projet'!$A$88,'Données projet'!$B$88,BD76+BC77-BL76)))</f>
        <v>138.80000000000007</v>
      </c>
      <c r="BE77" s="14">
        <f>BD77*VLOOKUP('Données projet'!$B$11,Paramètres!$A$1:$I$89,3,0)*VLOOKUP('Données projet'!$B$11,Paramètres!$A$1:$I$89,5,0)</f>
        <v>140.74320000000006</v>
      </c>
      <c r="BF77" s="14">
        <f t="shared" si="91"/>
        <v>36.467209679964981</v>
      </c>
      <c r="BG77" s="22">
        <f t="shared" si="61"/>
        <v>308.64146352593906</v>
      </c>
      <c r="BH77" s="62">
        <f t="shared" si="62"/>
        <v>601.97479685927237</v>
      </c>
      <c r="BI77" s="62">
        <f ca="1">AVERAGE(OFFSET($BH$3,0,0,'Données projet'!$E$11+1,1))-AVERAGE(OFFSET($H$3,0,0,'Données projet'!$E$11+1,1))</f>
        <v>234.66244049825644</v>
      </c>
      <c r="BJ77" s="62">
        <f t="shared" si="92"/>
        <v>87.037318032671465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6.634070417294442</v>
      </c>
      <c r="BQ77" s="23">
        <f>EXP(-LN(2)/25)*BQ76+(1-EXP(-LN(2)/25))/(LN(2)/25)*Calculateur!BL77*Calculateur!BN77*VLOOKUP('Données projet'!$B$11,Paramètres!$A$1:$I$89,3,0)*0.475*44/12</f>
        <v>1.2602440558639674</v>
      </c>
      <c r="BR77" s="23">
        <f>EXP(-LN(2)/2)*BR76+(1-EXP(-LN(2)/2))/(LN(2)/2)*BL77*BO77*VLOOKUP('Données projet'!$B$11,Paramètres!$A$1:$I$89,3,0)*0.475*44/12</f>
        <v>0.55610296938198334</v>
      </c>
      <c r="BS77" s="24">
        <f t="shared" si="63"/>
        <v>8.4504174425403935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395.00000000000017</v>
      </c>
      <c r="O78" s="14">
        <f>N78*VLOOKUP('Données projet'!$B$9,Paramètres!$A$1:$I$89,3,0)*VLOOKUP('Données projet'!$B$9,Paramètres!$A$1:$I$89,5,0)</f>
        <v>236.21000000000009</v>
      </c>
      <c r="P78" s="14">
        <f t="shared" si="87"/>
        <v>57.62333963053878</v>
      </c>
      <c r="Q78" s="22">
        <f t="shared" si="54"/>
        <v>511.75973318985524</v>
      </c>
      <c r="R78" s="62">
        <f t="shared" si="55"/>
        <v>805.09306652318855</v>
      </c>
      <c r="S78" s="62">
        <f ca="1">AVERAGE(OFFSET($R$3,0,0,'Données projet'!$E$9+1,1))-AVERAGE(OFFSET($H$3,0,0,'Données projet'!$E$9+1,1))</f>
        <v>217.62295992724461</v>
      </c>
      <c r="T78" s="62">
        <f t="shared" si="88"/>
        <v>198.62788037979772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28.702436734864772</v>
      </c>
      <c r="AA78" s="23">
        <f>EXP(-LN(2)/25)*AA77+(1-EXP(-LN(2)/25))/(LN(2)/25)*Calculateur!V78*Calculateur!X78*VLOOKUP('Données projet'!$B$9,Paramètres!$A$1:$I$89,3,0)*0.475*44/12</f>
        <v>4.3527932389780153</v>
      </c>
      <c r="AB78" s="23">
        <f>EXP(-LN(2)/2)*AB77+(1-EXP(-LN(2)/2))/(LN(2)/2)*V78*Y78*VLOOKUP('Données projet'!$B$9,Paramètres!$A$1:$I$89,3,0)*0.475*44/12</f>
        <v>1.0994674368580371E-2</v>
      </c>
      <c r="AC78" s="24">
        <f t="shared" si="57"/>
        <v>33.066224648211367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16.998999999999995</v>
      </c>
      <c r="AI78" s="14">
        <f>IF('Données projet'!$A$62&gt;35,AI77+AH78-AQ77,IF(A78&lt;'Données projet'!$A$62,$AF$205^A78,IF(A78='Données projet'!$A$62,'Données projet'!$B$62,AI77+AH78-AQ77)))</f>
        <v>392.33500000000015</v>
      </c>
      <c r="AJ78" s="14">
        <f>AI78*VLOOKUP('Données projet'!$B$10,Paramètres!$A$1:$I$89,3,0)*VLOOKUP('Données projet'!$B$10,Paramètres!$A$1:$I$89,5,0)</f>
        <v>183.61278000000007</v>
      </c>
      <c r="AK78" s="14">
        <f t="shared" si="89"/>
        <v>46.125031176565294</v>
      </c>
      <c r="AL78" s="22">
        <f t="shared" si="58"/>
        <v>400.12668779918459</v>
      </c>
      <c r="AM78" s="62">
        <f t="shared" si="59"/>
        <v>693.46002113251791</v>
      </c>
      <c r="AN78" s="62">
        <f ca="1">AVERAGE(OFFSET($AM$3,0,0,'Données projet'!$E$10+1,1))-AVERAGE(OFFSET($H$3,0,0,'Données projet'!$E$10+1,1))</f>
        <v>201.92726874818067</v>
      </c>
      <c r="AO78" s="62">
        <f t="shared" si="90"/>
        <v>197.16147791248727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67.0775811350249</v>
      </c>
      <c r="AV78" s="23">
        <f>EXP(-LN(2)/25)*AV77+(1-EXP(-LN(2)/25))/(LN(2)/25)*Calculateur!AQ78*Calculateur!AS78*VLOOKUP('Données projet'!$B$10,Paramètres!$A$1:$I$89,3,0)*0.475*44/12</f>
        <v>39.013141219764741</v>
      </c>
      <c r="AW78" s="23">
        <f>EXP(-LN(2)/2)*AW77+(1-EXP(-LN(2)/2))/(LN(2)/2)*AQ78*AT78*VLOOKUP('Données projet'!$B$10,Paramètres!$A$1:$I$89,3,0)*0.475*44/12</f>
        <v>4.8741032734669272</v>
      </c>
      <c r="AX78" s="23">
        <f t="shared" si="60"/>
        <v>110.96482562825658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5.8</v>
      </c>
      <c r="BD78" s="13">
        <f>IF('Données projet'!$A$88&gt;35,BD77+BC78-BL77,IF(A78&lt;'Données projet'!$A$88,$BA$205^A78,IF(A78='Données projet'!$A$88,'Données projet'!$B$88,BD77+BC78-BL77)))</f>
        <v>144.60000000000008</v>
      </c>
      <c r="BE78" s="14">
        <f>BD78*VLOOKUP('Données projet'!$B$11,Paramètres!$A$1:$I$89,3,0)*VLOOKUP('Données projet'!$B$11,Paramètres!$A$1:$I$89,5,0)</f>
        <v>146.62440000000009</v>
      </c>
      <c r="BF78" s="14">
        <f t="shared" si="91"/>
        <v>37.810455173781442</v>
      </c>
      <c r="BG78" s="22">
        <f t="shared" si="61"/>
        <v>321.22403942766948</v>
      </c>
      <c r="BH78" s="62">
        <f t="shared" si="62"/>
        <v>614.55737276100285</v>
      </c>
      <c r="BI78" s="62">
        <f ca="1">AVERAGE(OFFSET($BH$3,0,0,'Données projet'!$E$11+1,1))-AVERAGE(OFFSET($H$3,0,0,'Données projet'!$E$11+1,1))</f>
        <v>234.66244049825644</v>
      </c>
      <c r="BJ78" s="62">
        <f t="shared" si="92"/>
        <v>87.037318032671465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6.5039803427947058</v>
      </c>
      <c r="BQ78" s="23">
        <f>EXP(-LN(2)/25)*BQ77+(1-EXP(-LN(2)/25))/(LN(2)/25)*Calculateur!BL78*Calculateur!BN78*VLOOKUP('Données projet'!$B$11,Paramètres!$A$1:$I$89,3,0)*0.475*44/12</f>
        <v>1.2257826158830125</v>
      </c>
      <c r="BR78" s="23">
        <f>EXP(-LN(2)/2)*BR77+(1-EXP(-LN(2)/2))/(LN(2)/2)*BL78*BO78*VLOOKUP('Données projet'!$B$11,Paramètres!$A$1:$I$89,3,0)*0.475*44/12</f>
        <v>0.39322418068797543</v>
      </c>
      <c r="BS78" s="24">
        <f t="shared" si="63"/>
        <v>8.1229871393656943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395.00000000000017</v>
      </c>
      <c r="O79" s="14">
        <f>N79*VLOOKUP('Données projet'!$B$9,Paramètres!$A$1:$I$89,3,0)*VLOOKUP('Données projet'!$B$9,Paramètres!$A$1:$I$89,5,0)</f>
        <v>236.21000000000009</v>
      </c>
      <c r="P79" s="14">
        <f t="shared" si="87"/>
        <v>57.62333963053878</v>
      </c>
      <c r="Q79" s="22">
        <f t="shared" si="54"/>
        <v>511.75973318985524</v>
      </c>
      <c r="R79" s="62">
        <f t="shared" si="55"/>
        <v>805.09306652318855</v>
      </c>
      <c r="S79" s="62">
        <f ca="1">AVERAGE(OFFSET($R$3,0,0,'Données projet'!$E$9+1,1))-AVERAGE(OFFSET($H$3,0,0,'Données projet'!$E$9+1,1))</f>
        <v>217.62295992724461</v>
      </c>
      <c r="T79" s="62">
        <f t="shared" si="88"/>
        <v>198.62788037979772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28.139599457251833</v>
      </c>
      <c r="AA79" s="23">
        <f>EXP(-LN(2)/25)*AA78+(1-EXP(-LN(2)/25))/(LN(2)/25)*Calculateur!V79*Calculateur!X79*VLOOKUP('Données projet'!$B$9,Paramètres!$A$1:$I$89,3,0)*0.475*44/12</f>
        <v>4.2337658789547135</v>
      </c>
      <c r="AB79" s="23">
        <f>EXP(-LN(2)/2)*AB78+(1-EXP(-LN(2)/2))/(LN(2)/2)*V79*Y79*VLOOKUP('Données projet'!$B$9,Paramètres!$A$1:$I$89,3,0)*0.475*44/12</f>
        <v>7.774408802961103E-3</v>
      </c>
      <c r="AC79" s="24">
        <f t="shared" si="57"/>
        <v>32.381139745009506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16.998999999999995</v>
      </c>
      <c r="AI79" s="14">
        <f>IF('Données projet'!$A$62&gt;35,AI78+AH79-AQ78,IF(A79&lt;'Données projet'!$A$62,$AF$205^A79,IF(A79='Données projet'!$A$62,'Données projet'!$B$62,AI78+AH79-AQ78)))</f>
        <v>409.33400000000017</v>
      </c>
      <c r="AJ79" s="14">
        <f>AI79*VLOOKUP('Données projet'!$B$10,Paramètres!$A$1:$I$89,3,0)*VLOOKUP('Données projet'!$B$10,Paramètres!$A$1:$I$89,5,0)</f>
        <v>191.56831200000008</v>
      </c>
      <c r="AK79" s="14">
        <f t="shared" si="89"/>
        <v>47.886518307245758</v>
      </c>
      <c r="AL79" s="22">
        <f t="shared" si="58"/>
        <v>417.05049611845311</v>
      </c>
      <c r="AM79" s="62">
        <f t="shared" si="59"/>
        <v>710.38382945178637</v>
      </c>
      <c r="AN79" s="62">
        <f ca="1">AVERAGE(OFFSET($AM$3,0,0,'Données projet'!$E$10+1,1))-AVERAGE(OFFSET($H$3,0,0,'Données projet'!$E$10+1,1))</f>
        <v>201.92726874818067</v>
      </c>
      <c r="AO79" s="62">
        <f t="shared" si="90"/>
        <v>197.16147791248727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65.762230682251698</v>
      </c>
      <c r="AV79" s="23">
        <f>EXP(-LN(2)/25)*AV78+(1-EXP(-LN(2)/25))/(LN(2)/25)*Calculateur!AQ79*Calculateur!AS79*VLOOKUP('Données projet'!$B$10,Paramètres!$A$1:$I$89,3,0)*0.475*44/12</f>
        <v>37.946324821498344</v>
      </c>
      <c r="AW79" s="23">
        <f>EXP(-LN(2)/2)*AW78+(1-EXP(-LN(2)/2))/(LN(2)/2)*AQ79*AT79*VLOOKUP('Données projet'!$B$10,Paramètres!$A$1:$I$89,3,0)*0.475*44/12</f>
        <v>3.4465114768720135</v>
      </c>
      <c r="AX79" s="23">
        <f t="shared" si="60"/>
        <v>107.15506698062205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5.8</v>
      </c>
      <c r="BD79" s="13">
        <f>IF('Données projet'!$A$88&gt;35,BD78+BC79-BL78,IF(A79&lt;'Données projet'!$A$88,$BA$205^A79,IF(A79='Données projet'!$A$88,'Données projet'!$B$88,BD78+BC79-BL78)))</f>
        <v>150.40000000000009</v>
      </c>
      <c r="BE79" s="14">
        <f>BD79*VLOOKUP('Données projet'!$B$11,Paramètres!$A$1:$I$89,3,0)*VLOOKUP('Données projet'!$B$11,Paramètres!$A$1:$I$89,5,0)</f>
        <v>152.5056000000001</v>
      </c>
      <c r="BF79" s="14">
        <f t="shared" si="91"/>
        <v>39.147442061162252</v>
      </c>
      <c r="BG79" s="22">
        <f t="shared" si="61"/>
        <v>333.79571492319104</v>
      </c>
      <c r="BH79" s="62">
        <f t="shared" si="62"/>
        <v>627.12904825652436</v>
      </c>
      <c r="BI79" s="62">
        <f ca="1">AVERAGE(OFFSET($BH$3,0,0,'Données projet'!$E$11+1,1))-AVERAGE(OFFSET($H$3,0,0,'Données projet'!$E$11+1,1))</f>
        <v>234.66244049825644</v>
      </c>
      <c r="BJ79" s="62">
        <f t="shared" si="92"/>
        <v>87.037318032671465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6.3764412553087988</v>
      </c>
      <c r="BQ79" s="23">
        <f>EXP(-LN(2)/25)*BQ78+(1-EXP(-LN(2)/25))/(LN(2)/25)*Calculateur!BL79*Calculateur!BN79*VLOOKUP('Données projet'!$B$11,Paramètres!$A$1:$I$89,3,0)*0.475*44/12</f>
        <v>1.1922635257905854</v>
      </c>
      <c r="BR79" s="23">
        <f>EXP(-LN(2)/2)*BR78+(1-EXP(-LN(2)/2))/(LN(2)/2)*BL79*BO79*VLOOKUP('Données projet'!$B$11,Paramètres!$A$1:$I$89,3,0)*0.475*44/12</f>
        <v>0.27805148469099167</v>
      </c>
      <c r="BS79" s="24">
        <f t="shared" si="63"/>
        <v>7.8467562657903764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395.00000000000017</v>
      </c>
      <c r="O80" s="14">
        <f>N80*VLOOKUP('Données projet'!$B$9,Paramètres!$A$1:$I$89,3,0)*VLOOKUP('Données projet'!$B$9,Paramètres!$A$1:$I$89,5,0)</f>
        <v>236.21000000000009</v>
      </c>
      <c r="P80" s="14">
        <f t="shared" si="87"/>
        <v>57.62333963053878</v>
      </c>
      <c r="Q80" s="22">
        <f t="shared" si="54"/>
        <v>511.75973318985524</v>
      </c>
      <c r="R80" s="62">
        <f t="shared" si="55"/>
        <v>805.09306652318855</v>
      </c>
      <c r="S80" s="62">
        <f ca="1">AVERAGE(OFFSET($R$3,0,0,'Données projet'!$E$9+1,1))-AVERAGE(OFFSET($H$3,0,0,'Données projet'!$E$9+1,1))</f>
        <v>217.62295992724461</v>
      </c>
      <c r="T80" s="62">
        <f t="shared" si="88"/>
        <v>198.62788037979772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27.587799075356042</v>
      </c>
      <c r="AA80" s="23">
        <f>EXP(-LN(2)/25)*AA79+(1-EXP(-LN(2)/25))/(LN(2)/25)*Calculateur!V80*Calculateur!X80*VLOOKUP('Données projet'!$B$9,Paramètres!$A$1:$I$89,3,0)*0.475*44/12</f>
        <v>4.117993328350626</v>
      </c>
      <c r="AB80" s="23">
        <f>EXP(-LN(2)/2)*AB79+(1-EXP(-LN(2)/2))/(LN(2)/2)*V80*Y80*VLOOKUP('Données projet'!$B$9,Paramètres!$A$1:$I$89,3,0)*0.475*44/12</f>
        <v>5.4973371842901861E-3</v>
      </c>
      <c r="AC80" s="24">
        <f t="shared" si="57"/>
        <v>31.711289740890958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16.998999999999995</v>
      </c>
      <c r="AI80" s="14">
        <f>IF('Données projet'!$A$62&gt;35,AI79+AH80-AQ79,IF(A80&lt;'Données projet'!$A$62,$AF$205^A80,IF(A80='Données projet'!$A$62,'Données projet'!$B$62,AI79+AH80-AQ79)))</f>
        <v>426.3330000000002</v>
      </c>
      <c r="AJ80" s="14">
        <f>AI80*VLOOKUP('Données projet'!$B$10,Paramètres!$A$1:$I$89,3,0)*VLOOKUP('Données projet'!$B$10,Paramètres!$A$1:$I$89,5,0)</f>
        <v>199.52384400000008</v>
      </c>
      <c r="AK80" s="14">
        <f t="shared" si="89"/>
        <v>49.639508535816688</v>
      </c>
      <c r="AL80" s="22">
        <f t="shared" si="58"/>
        <v>433.95950566654756</v>
      </c>
      <c r="AM80" s="62">
        <f t="shared" si="59"/>
        <v>727.29283899988081</v>
      </c>
      <c r="AN80" s="62">
        <f ca="1">AVERAGE(OFFSET($AM$3,0,0,'Données projet'!$E$10+1,1))-AVERAGE(OFFSET($H$3,0,0,'Données projet'!$E$10+1,1))</f>
        <v>201.92726874818067</v>
      </c>
      <c r="AO80" s="62">
        <f t="shared" si="90"/>
        <v>197.16147791248727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64.472673449572824</v>
      </c>
      <c r="AV80" s="23">
        <f>EXP(-LN(2)/25)*AV79+(1-EXP(-LN(2)/25))/(LN(2)/25)*Calculateur!AQ80*Calculateur!AS80*VLOOKUP('Données projet'!$B$10,Paramètres!$A$1:$I$89,3,0)*0.475*44/12</f>
        <v>36.908680573743979</v>
      </c>
      <c r="AW80" s="23">
        <f>EXP(-LN(2)/2)*AW79+(1-EXP(-LN(2)/2))/(LN(2)/2)*AQ80*AT80*VLOOKUP('Données projet'!$B$10,Paramètres!$A$1:$I$89,3,0)*0.475*44/12</f>
        <v>2.4370516367334636</v>
      </c>
      <c r="AX80" s="23">
        <f t="shared" si="60"/>
        <v>103.81840566005026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5.8</v>
      </c>
      <c r="BD80" s="13">
        <f>IF('Données projet'!$A$88&gt;35,BD79+BC80-BL79,IF(A80&lt;'Données projet'!$A$88,$BA$205^A80,IF(A80='Données projet'!$A$88,'Données projet'!$B$88,BD79+BC80-BL79)))</f>
        <v>156.2000000000001</v>
      </c>
      <c r="BE80" s="14">
        <f>BD80*VLOOKUP('Données projet'!$B$11,Paramètres!$A$1:$I$89,3,0)*VLOOKUP('Données projet'!$B$11,Paramètres!$A$1:$I$89,5,0)</f>
        <v>158.38680000000011</v>
      </c>
      <c r="BF80" s="14">
        <f t="shared" si="91"/>
        <v>40.478439323673456</v>
      </c>
      <c r="BG80" s="22">
        <f t="shared" si="61"/>
        <v>346.35695848873144</v>
      </c>
      <c r="BH80" s="62">
        <f t="shared" si="62"/>
        <v>639.69029182206475</v>
      </c>
      <c r="BI80" s="62">
        <f ca="1">AVERAGE(OFFSET($BH$3,0,0,'Données projet'!$E$11+1,1))-AVERAGE(OFFSET($H$3,0,0,'Données projet'!$E$11+1,1))</f>
        <v>234.66244049825644</v>
      </c>
      <c r="BJ80" s="62">
        <f t="shared" si="92"/>
        <v>87.037318032671465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6.2514031315373275</v>
      </c>
      <c r="BQ80" s="23">
        <f>EXP(-LN(2)/25)*BQ79+(1-EXP(-LN(2)/25))/(LN(2)/25)*Calculateur!BL80*Calculateur!BN80*VLOOKUP('Données projet'!$B$11,Paramètres!$A$1:$I$89,3,0)*0.475*44/12</f>
        <v>1.1596610169794279</v>
      </c>
      <c r="BR80" s="23">
        <f>EXP(-LN(2)/2)*BR79+(1-EXP(-LN(2)/2))/(LN(2)/2)*BL80*BO80*VLOOKUP('Données projet'!$B$11,Paramètres!$A$1:$I$89,3,0)*0.475*44/12</f>
        <v>0.19661209034398772</v>
      </c>
      <c r="BS80" s="24">
        <f t="shared" si="63"/>
        <v>7.6076762388607433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395.00000000000017</v>
      </c>
      <c r="O81" s="14">
        <f>N81*VLOOKUP('Données projet'!$B$9,Paramètres!$A$1:$I$89,3,0)*VLOOKUP('Données projet'!$B$9,Paramètres!$A$1:$I$89,5,0)</f>
        <v>236.21000000000009</v>
      </c>
      <c r="P81" s="14">
        <f t="shared" si="87"/>
        <v>57.62333963053878</v>
      </c>
      <c r="Q81" s="22">
        <f t="shared" si="54"/>
        <v>511.75973318985524</v>
      </c>
      <c r="R81" s="62">
        <f t="shared" si="55"/>
        <v>805.09306652318855</v>
      </c>
      <c r="S81" s="62">
        <f ca="1">AVERAGE(OFFSET($R$3,0,0,'Données projet'!$E$9+1,1))-AVERAGE(OFFSET($H$3,0,0,'Données projet'!$E$9+1,1))</f>
        <v>217.62295992724461</v>
      </c>
      <c r="T81" s="62">
        <f t="shared" si="88"/>
        <v>198.62788037979772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27.046819162384228</v>
      </c>
      <c r="AA81" s="23">
        <f>EXP(-LN(2)/25)*AA80+(1-EXP(-LN(2)/25))/(LN(2)/25)*Calculateur!V81*Calculateur!X81*VLOOKUP('Données projet'!$B$9,Paramètres!$A$1:$I$89,3,0)*0.475*44/12</f>
        <v>4.0053865842310206</v>
      </c>
      <c r="AB81" s="23">
        <f>EXP(-LN(2)/2)*AB80+(1-EXP(-LN(2)/2))/(LN(2)/2)*V81*Y81*VLOOKUP('Données projet'!$B$9,Paramètres!$A$1:$I$89,3,0)*0.475*44/12</f>
        <v>3.8872044014805524E-3</v>
      </c>
      <c r="AC81" s="24">
        <f t="shared" si="57"/>
        <v>31.05609295101673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16.998999999999995</v>
      </c>
      <c r="AI81" s="14">
        <f>IF('Données projet'!$A$62&gt;35,AI80+AH81-AQ80,IF(A81&lt;'Données projet'!$A$62,$AF$205^A81,IF(A81='Données projet'!$A$62,'Données projet'!$B$62,AI80+AH81-AQ80)))</f>
        <v>443.33200000000022</v>
      </c>
      <c r="AJ81" s="14">
        <f>AI81*VLOOKUP('Données projet'!$B$10,Paramètres!$A$1:$I$89,3,0)*VLOOKUP('Données projet'!$B$10,Paramètres!$A$1:$I$89,5,0)</f>
        <v>207.47937600000009</v>
      </c>
      <c r="AK81" s="14">
        <f t="shared" si="89"/>
        <v>51.38437941881476</v>
      </c>
      <c r="AL81" s="22">
        <f t="shared" si="58"/>
        <v>450.8543740211025</v>
      </c>
      <c r="AM81" s="62">
        <f t="shared" si="59"/>
        <v>744.18770735443582</v>
      </c>
      <c r="AN81" s="62">
        <f ca="1">AVERAGE(OFFSET($AM$3,0,0,'Données projet'!$E$10+1,1))-AVERAGE(OFFSET($H$3,0,0,'Données projet'!$E$10+1,1))</f>
        <v>201.92726874818067</v>
      </c>
      <c r="AO81" s="62">
        <f t="shared" si="90"/>
        <v>197.16147791248727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63.208403647674537</v>
      </c>
      <c r="AV81" s="23">
        <f>EXP(-LN(2)/25)*AV80+(1-EXP(-LN(2)/25))/(LN(2)/25)*Calculateur!AQ81*Calculateur!AS81*VLOOKUP('Données projet'!$B$10,Paramètres!$A$1:$I$89,3,0)*0.475*44/12</f>
        <v>35.899410762511792</v>
      </c>
      <c r="AW81" s="23">
        <f>EXP(-LN(2)/2)*AW80+(1-EXP(-LN(2)/2))/(LN(2)/2)*AQ81*AT81*VLOOKUP('Données projet'!$B$10,Paramètres!$A$1:$I$89,3,0)*0.475*44/12</f>
        <v>1.7232557384360068</v>
      </c>
      <c r="AX81" s="23">
        <f t="shared" si="60"/>
        <v>100.83107014862235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162</v>
      </c>
      <c r="BB81" s="13">
        <f>VLOOKUP(A81,'Données projet'!$A$87:$I$107,9,0)</f>
        <v>5.8</v>
      </c>
      <c r="BC81" s="13">
        <f t="array" ref="BC81">INDEX(BB:BB,MIN(IF(ISNUMBER(BB81:BB277),ROW(BB81:BB277),"")))</f>
        <v>5.8</v>
      </c>
      <c r="BD81" s="13">
        <f>IF('Données projet'!$A$88&gt;35,BD80+BC81-BL80,IF(A81&lt;'Données projet'!$A$88,$BA$205^A81,IF(A81='Données projet'!$A$88,'Données projet'!$B$88,BD80+BC81-BL80)))</f>
        <v>162.00000000000011</v>
      </c>
      <c r="BE81" s="14">
        <f>BD81*VLOOKUP('Données projet'!$B$11,Paramètres!$A$1:$I$89,3,0)*VLOOKUP('Données projet'!$B$11,Paramètres!$A$1:$I$89,5,0)</f>
        <v>164.26800000000014</v>
      </c>
      <c r="BF81" s="14">
        <f t="shared" si="91"/>
        <v>41.803694835525661</v>
      </c>
      <c r="BG81" s="22">
        <f t="shared" si="61"/>
        <v>358.90820183854083</v>
      </c>
      <c r="BH81" s="62">
        <f t="shared" si="62"/>
        <v>652.24153517187415</v>
      </c>
      <c r="BI81" s="62">
        <f ca="1">AVERAGE(OFFSET($BH$3,0,0,'Données projet'!$E$11+1,1))-AVERAGE(OFFSET($H$3,0,0,'Données projet'!$E$11+1,1))</f>
        <v>234.66244049825644</v>
      </c>
      <c r="BJ81" s="62">
        <f t="shared" si="92"/>
        <v>87.037318032671465</v>
      </c>
      <c r="BK81" s="16">
        <f>IF(ISNA(VLOOKUP(A81,'Données projet'!$A$87:$I$107,3,0)),0,VLOOKUP(A81,'Données projet'!$A$87:$I$107,3,0))</f>
        <v>4</v>
      </c>
      <c r="BL81" s="16">
        <f>IF(ISNA(VLOOKUP(A81,'Données projet'!$A$87:$I$107,4,0)),0,VLOOKUP(A81,'Données projet'!$A$87:$I$107,4,0))</f>
        <v>32</v>
      </c>
      <c r="BM81" s="17">
        <f>IF(ISNA(VLOOKUP(A81,'Données projet'!$A$87:$I$107,5,0)),0%,VLOOKUP(A81,'Données projet'!$A$87:$I$107,5,0)*VLOOKUP('Données projet'!$B$11,Paramètres!$A$1:$I$89,7,0))</f>
        <v>0.215</v>
      </c>
      <c r="BN81" s="17">
        <f>IF(ISNA(VLOOKUP(A81,'Données projet'!$A$87:$I$107,6,0)),0%,VLOOKUP(A81,'Données projet'!$A$87:$I$107,6,0)*VLOOKUP('Données projet'!$B$11,Paramètres!$A$1:$I$89,7,0))</f>
        <v>4.3000000000000003E-2</v>
      </c>
      <c r="BO81" s="17">
        <f>IF(ISNA(VLOOKUP(A81,'Données projet'!$A$87:$I$107,7,0)),0%,VLOOKUP(A81,'Données projet'!$A$87:$I$107,7,0))</f>
        <v>0.15</v>
      </c>
      <c r="BP81" s="23">
        <f>EXP(-LN(2)/35)*BP80+(1-EXP(-LN(2)/35))/(LN(2)/35)*BL81*BM81*VLOOKUP('Données projet'!$B$11,Paramètres!$A$1:$I$89,3,0)*0.475*44/12</f>
        <v>13.8409320472506</v>
      </c>
      <c r="BQ81" s="23">
        <f>EXP(-LN(2)/25)*BQ80+(1-EXP(-LN(2)/25))/(LN(2)/25)*Calculateur!BL81*Calculateur!BN81*VLOOKUP('Données projet'!$B$11,Paramètres!$A$1:$I$89,3,0)*0.475*44/12</f>
        <v>2.6642999419615911</v>
      </c>
      <c r="BR81" s="23">
        <f>EXP(-LN(2)/2)*BR80+(1-EXP(-LN(2)/2))/(LN(2)/2)*BL81*BO81*VLOOKUP('Données projet'!$B$11,Paramètres!$A$1:$I$89,3,0)*0.475*44/12</f>
        <v>4.7313599411128413</v>
      </c>
      <c r="BS81" s="24">
        <f t="shared" si="63"/>
        <v>21.236591930325034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395.00000000000017</v>
      </c>
      <c r="O82" s="14">
        <f>N82*VLOOKUP('Données projet'!$B$9,Paramètres!$A$1:$I$89,3,0)*VLOOKUP('Données projet'!$B$9,Paramètres!$A$1:$I$89,5,0)</f>
        <v>236.21000000000009</v>
      </c>
      <c r="P82" s="14">
        <f t="shared" si="87"/>
        <v>57.62333963053878</v>
      </c>
      <c r="Q82" s="22">
        <f t="shared" si="54"/>
        <v>511.75973318985524</v>
      </c>
      <c r="R82" s="62">
        <f t="shared" si="55"/>
        <v>805.09306652318855</v>
      </c>
      <c r="S82" s="62">
        <f ca="1">AVERAGE(OFFSET($R$3,0,0,'Données projet'!$E$9+1,1))-AVERAGE(OFFSET($H$3,0,0,'Données projet'!$E$9+1,1))</f>
        <v>217.62295992724461</v>
      </c>
      <c r="T82" s="62">
        <f t="shared" si="88"/>
        <v>198.62788037979772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26.516447535540625</v>
      </c>
      <c r="AA82" s="23">
        <f>EXP(-LN(2)/25)*AA81+(1-EXP(-LN(2)/25))/(LN(2)/25)*Calculateur!V82*Calculateur!X82*VLOOKUP('Données projet'!$B$9,Paramètres!$A$1:$I$89,3,0)*0.475*44/12</f>
        <v>3.8958590774510973</v>
      </c>
      <c r="AB82" s="23">
        <f>EXP(-LN(2)/2)*AB81+(1-EXP(-LN(2)/2))/(LN(2)/2)*V82*Y82*VLOOKUP('Données projet'!$B$9,Paramètres!$A$1:$I$89,3,0)*0.475*44/12</f>
        <v>2.7486685921450935E-3</v>
      </c>
      <c r="AC82" s="24">
        <f t="shared" si="57"/>
        <v>30.415055281583864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16.998999999999995</v>
      </c>
      <c r="AI82" s="14">
        <f>IF('Données projet'!$A$62&gt;35,AI81+AH82-AQ81,IF(A82&lt;'Données projet'!$A$62,$AF$205^A82,IF(A82='Données projet'!$A$62,'Données projet'!$B$62,AI81+AH82-AQ81)))</f>
        <v>460.33100000000024</v>
      </c>
      <c r="AJ82" s="14">
        <f>AI82*VLOOKUP('Données projet'!$B$10,Paramètres!$A$1:$I$89,3,0)*VLOOKUP('Données projet'!$B$10,Paramètres!$A$1:$I$89,5,0)</f>
        <v>215.43490800000009</v>
      </c>
      <c r="AK82" s="14">
        <f t="shared" si="89"/>
        <v>53.12147791917036</v>
      </c>
      <c r="AL82" s="22">
        <f t="shared" si="58"/>
        <v>467.73570547588855</v>
      </c>
      <c r="AM82" s="62">
        <f t="shared" si="59"/>
        <v>761.06903880922187</v>
      </c>
      <c r="AN82" s="62">
        <f ca="1">AVERAGE(OFFSET($AM$3,0,0,'Données projet'!$E$10+1,1))-AVERAGE(OFFSET($H$3,0,0,'Données projet'!$E$10+1,1))</f>
        <v>201.92726874818067</v>
      </c>
      <c r="AO82" s="62">
        <f t="shared" si="90"/>
        <v>197.16147791248727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61.96892540546304</v>
      </c>
      <c r="AV82" s="23">
        <f>EXP(-LN(2)/25)*AV81+(1-EXP(-LN(2)/25))/(LN(2)/25)*Calculateur!AQ82*Calculateur!AS82*VLOOKUP('Données projet'!$B$10,Paramètres!$A$1:$I$89,3,0)*0.475*44/12</f>
        <v>34.917739487342942</v>
      </c>
      <c r="AW82" s="23">
        <f>EXP(-LN(2)/2)*AW81+(1-EXP(-LN(2)/2))/(LN(2)/2)*AQ82*AT82*VLOOKUP('Données projet'!$B$10,Paramètres!$A$1:$I$89,3,0)*0.475*44/12</f>
        <v>1.2185258183667318</v>
      </c>
      <c r="AX82" s="23">
        <f t="shared" si="60"/>
        <v>98.10519071117271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5.4</v>
      </c>
      <c r="BD82" s="13">
        <f>IF('Données projet'!$A$88&gt;35,BD81+BC82-BL81,IF(A82&lt;'Données projet'!$A$88,$BA$205^A82,IF(A82='Données projet'!$A$88,'Données projet'!$B$88,BD81+BC82-BL81)))</f>
        <v>135.40000000000012</v>
      </c>
      <c r="BE82" s="14">
        <f>BD82*VLOOKUP('Données projet'!$B$11,Paramètres!$A$1:$I$89,3,0)*VLOOKUP('Données projet'!$B$11,Paramètres!$A$1:$I$89,5,0)</f>
        <v>137.29560000000012</v>
      </c>
      <c r="BF82" s="14">
        <f t="shared" si="91"/>
        <v>35.676763849955627</v>
      </c>
      <c r="BG82" s="22">
        <f t="shared" si="61"/>
        <v>301.26020037200624</v>
      </c>
      <c r="BH82" s="62">
        <f t="shared" si="62"/>
        <v>594.5935337053395</v>
      </c>
      <c r="BI82" s="62">
        <f ca="1">AVERAGE(OFFSET($BH$3,0,0,'Données projet'!$E$11+1,1))-AVERAGE(OFFSET($H$3,0,0,'Données projet'!$E$11+1,1))</f>
        <v>234.66244049825644</v>
      </c>
      <c r="BJ82" s="62">
        <f t="shared" si="92"/>
        <v>87.037318032671465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13.569519811938973</v>
      </c>
      <c r="BQ82" s="23">
        <f>EXP(-LN(2)/25)*BQ81+(1-EXP(-LN(2)/25))/(LN(2)/25)*Calculateur!BL82*Calculateur!BN82*VLOOKUP('Données projet'!$B$11,Paramètres!$A$1:$I$89,3,0)*0.475*44/12</f>
        <v>2.5914445199392069</v>
      </c>
      <c r="BR82" s="23">
        <f>EXP(-LN(2)/2)*BR81+(1-EXP(-LN(2)/2))/(LN(2)/2)*BL82*BO82*VLOOKUP('Données projet'!$B$11,Paramètres!$A$1:$I$89,3,0)*0.475*44/12</f>
        <v>3.3455766985952744</v>
      </c>
      <c r="BS82" s="24">
        <f t="shared" si="63"/>
        <v>19.506541030473453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395.00000000000017</v>
      </c>
      <c r="O83" s="14">
        <f>N83*VLOOKUP('Données projet'!$B$9,Paramètres!$A$1:$I$89,3,0)*VLOOKUP('Données projet'!$B$9,Paramètres!$A$1:$I$89,5,0)</f>
        <v>236.21000000000009</v>
      </c>
      <c r="P83" s="14">
        <f t="shared" si="87"/>
        <v>57.62333963053878</v>
      </c>
      <c r="Q83" s="22">
        <f t="shared" si="54"/>
        <v>511.75973318985524</v>
      </c>
      <c r="R83" s="62">
        <f t="shared" si="55"/>
        <v>805.09306652318855</v>
      </c>
      <c r="S83" s="62">
        <f ca="1">AVERAGE(OFFSET($R$3,0,0,'Données projet'!$E$9+1,1))-AVERAGE(OFFSET($H$3,0,0,'Données projet'!$E$9+1,1))</f>
        <v>217.62295992724461</v>
      </c>
      <c r="T83" s="62">
        <f t="shared" si="88"/>
        <v>198.62788037979772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25.996476172804677</v>
      </c>
      <c r="AA83" s="23">
        <f>EXP(-LN(2)/25)*AA82+(1-EXP(-LN(2)/25))/(LN(2)/25)*Calculateur!V83*Calculateur!X83*VLOOKUP('Données projet'!$B$9,Paramètres!$A$1:$I$89,3,0)*0.475*44/12</f>
        <v>3.7893266061038724</v>
      </c>
      <c r="AB83" s="23">
        <f>EXP(-LN(2)/2)*AB82+(1-EXP(-LN(2)/2))/(LN(2)/2)*V83*Y83*VLOOKUP('Données projet'!$B$9,Paramètres!$A$1:$I$89,3,0)*0.475*44/12</f>
        <v>1.9436022007402764E-3</v>
      </c>
      <c r="AC83" s="24">
        <f t="shared" si="57"/>
        <v>29.78774638110929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477.33</v>
      </c>
      <c r="AG83" s="13">
        <f>VLOOKUP(A83,'Données projet'!$A$61:$I$81,9,0)</f>
        <v>16.998999999999995</v>
      </c>
      <c r="AH83" s="13">
        <f t="array" ref="AH83">INDEX(AG:AG,MIN(IF(ISNUMBER(AG83:AG279),ROW(AG83:AG279),"")))</f>
        <v>16.998999999999995</v>
      </c>
      <c r="AI83" s="14">
        <f>IF('Données projet'!$A$62&gt;35,AI82+AH83-AQ82,IF(A83&lt;'Données projet'!$A$62,$AF$205^A83,IF(A83='Données projet'!$A$62,'Données projet'!$B$62,AI82+AH83-AQ82)))</f>
        <v>477.33000000000027</v>
      </c>
      <c r="AJ83" s="14">
        <f>AI83*VLOOKUP('Données projet'!$B$10,Paramètres!$A$1:$I$89,3,0)*VLOOKUP('Données projet'!$B$10,Paramètres!$A$1:$I$89,5,0)</f>
        <v>223.3904400000001</v>
      </c>
      <c r="AK83" s="14">
        <f t="shared" si="89"/>
        <v>54.851123922703366</v>
      </c>
      <c r="AL83" s="22">
        <f t="shared" si="58"/>
        <v>484.60405716537508</v>
      </c>
      <c r="AM83" s="62">
        <f t="shared" si="59"/>
        <v>777.9373904987084</v>
      </c>
      <c r="AN83" s="62">
        <f ca="1">AVERAGE(OFFSET($AM$3,0,0,'Données projet'!$E$10+1,1))-AVERAGE(OFFSET($H$3,0,0,'Données projet'!$E$10+1,1))</f>
        <v>201.92726874818067</v>
      </c>
      <c r="AO83" s="62">
        <f t="shared" si="90"/>
        <v>197.16147791248727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143.19999999999999</v>
      </c>
      <c r="AR83" s="17">
        <f>IF(ISNA(VLOOKUP(A83,'Données projet'!$A$61:$I$81,5,0)),0%,VLOOKUP(A83,'Données projet'!$A$61:$I$81,5,0)*VLOOKUP('Données projet'!$B$10,Paramètres!$A$1:$I$89,7,0))</f>
        <v>0.22000000000000003</v>
      </c>
      <c r="AS83" s="17">
        <f>IF(ISNA(VLOOKUP(A83,'Données projet'!$A$61:$I$81,6,0)),0%,VLOOKUP(A83,'Données projet'!$A$61:$I$81,6,0)*VLOOKUP('Données projet'!$B$10,Paramètres!$A$1:$I$89,7,0))</f>
        <v>0.13200000000000001</v>
      </c>
      <c r="AT83" s="17">
        <f>IF(ISNA(VLOOKUP(A83,'Données projet'!$A$61:$I$81,7,0)),0%,VLOOKUP(A83,'Données projet'!$A$61:$I$81,7,0))</f>
        <v>0.36</v>
      </c>
      <c r="AU83" s="23">
        <f>EXP(-LN(2)/35)*AU82+(1-EXP(-LN(2)/35))/(LN(2)/35)*AQ83*AR83*VLOOKUP('Données projet'!$B$10,Paramètres!$A$1:$I$89,3,0)*0.475*44/12</f>
        <v>80.312449106324522</v>
      </c>
      <c r="AV83" s="23">
        <f>EXP(-LN(2)/25)*AV82+(1-EXP(-LN(2)/25))/(LN(2)/25)*Calculateur!AQ83*Calculateur!AS83*VLOOKUP('Données projet'!$B$10,Paramètres!$A$1:$I$89,3,0)*0.475*44/12</f>
        <v>45.651923958854084</v>
      </c>
      <c r="AW83" s="23">
        <f>EXP(-LN(2)/2)*AW82+(1-EXP(-LN(2)/2))/(LN(2)/2)*AQ83*AT83*VLOOKUP('Données projet'!$B$10,Paramètres!$A$1:$I$89,3,0)*0.475*44/12</f>
        <v>28.178244709393486</v>
      </c>
      <c r="AX83" s="23">
        <f t="shared" si="60"/>
        <v>154.1426177745721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5.4</v>
      </c>
      <c r="BD83" s="13">
        <f>IF('Données projet'!$A$88&gt;35,BD82+BC83-BL82,IF(A83&lt;'Données projet'!$A$88,$BA$205^A83,IF(A83='Données projet'!$A$88,'Données projet'!$B$88,BD82+BC83-BL82)))</f>
        <v>140.80000000000013</v>
      </c>
      <c r="BE83" s="14">
        <f>BD83*VLOOKUP('Données projet'!$B$11,Paramètres!$A$1:$I$89,3,0)*VLOOKUP('Données projet'!$B$11,Paramètres!$A$1:$I$89,5,0)</f>
        <v>142.77120000000014</v>
      </c>
      <c r="BF83" s="14">
        <f t="shared" si="91"/>
        <v>36.931122475504125</v>
      </c>
      <c r="BG83" s="22">
        <f t="shared" si="61"/>
        <v>312.98154497816995</v>
      </c>
      <c r="BH83" s="62">
        <f t="shared" si="62"/>
        <v>606.31487831150321</v>
      </c>
      <c r="BI83" s="62">
        <f ca="1">AVERAGE(OFFSET($BH$3,0,0,'Données projet'!$E$11+1,1))-AVERAGE(OFFSET($H$3,0,0,'Données projet'!$E$11+1,1))</f>
        <v>234.66244049825644</v>
      </c>
      <c r="BJ83" s="62">
        <f t="shared" si="92"/>
        <v>87.037318032671465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13.303429805016689</v>
      </c>
      <c r="BQ83" s="23">
        <f>EXP(-LN(2)/25)*BQ82+(1-EXP(-LN(2)/25))/(LN(2)/25)*Calculateur!BL83*Calculateur!BN83*VLOOKUP('Données projet'!$B$11,Paramètres!$A$1:$I$89,3,0)*0.475*44/12</f>
        <v>2.5205813332633249</v>
      </c>
      <c r="BR83" s="23">
        <f>EXP(-LN(2)/2)*BR82+(1-EXP(-LN(2)/2))/(LN(2)/2)*BL83*BO83*VLOOKUP('Données projet'!$B$11,Paramètres!$A$1:$I$89,3,0)*0.475*44/12</f>
        <v>2.3656799705564211</v>
      </c>
      <c r="BS83" s="24">
        <f t="shared" si="63"/>
        <v>18.189691108836435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395.00000000000017</v>
      </c>
      <c r="O84" s="14">
        <f>N84*VLOOKUP('Données projet'!$B$9,Paramètres!$A$1:$I$89,3,0)*VLOOKUP('Données projet'!$B$9,Paramètres!$A$1:$I$89,5,0)</f>
        <v>236.21000000000009</v>
      </c>
      <c r="P84" s="14">
        <f t="shared" si="87"/>
        <v>57.62333963053878</v>
      </c>
      <c r="Q84" s="22">
        <f t="shared" si="54"/>
        <v>511.75973318985524</v>
      </c>
      <c r="R84" s="62">
        <f t="shared" si="55"/>
        <v>805.09306652318855</v>
      </c>
      <c r="S84" s="62">
        <f ca="1">AVERAGE(OFFSET($R$3,0,0,'Données projet'!$E$9+1,1))-AVERAGE(OFFSET($H$3,0,0,'Données projet'!$E$9+1,1))</f>
        <v>217.62295992724461</v>
      </c>
      <c r="T84" s="62">
        <f t="shared" si="88"/>
        <v>198.62788037979772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25.486701131340766</v>
      </c>
      <c r="AA84" s="23">
        <f>EXP(-LN(2)/25)*AA83+(1-EXP(-LN(2)/25))/(LN(2)/25)*Calculateur!V84*Calculateur!X84*VLOOKUP('Données projet'!$B$9,Paramètres!$A$1:$I$89,3,0)*0.475*44/12</f>
        <v>3.6857072707879364</v>
      </c>
      <c r="AB84" s="23">
        <f>EXP(-LN(2)/2)*AB83+(1-EXP(-LN(2)/2))/(LN(2)/2)*V84*Y84*VLOOKUP('Données projet'!$B$9,Paramètres!$A$1:$I$89,3,0)*0.475*44/12</f>
        <v>1.374334296072547E-3</v>
      </c>
      <c r="AC84" s="24">
        <f t="shared" si="57"/>
        <v>29.173782736424776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351.63000000000028</v>
      </c>
      <c r="AJ84" s="14">
        <f>AI84*VLOOKUP('Données projet'!$B$10,Paramètres!$A$1:$I$89,3,0)*VLOOKUP('Données projet'!$B$10,Paramètres!$A$1:$I$89,5,0)</f>
        <v>164.56284000000014</v>
      </c>
      <c r="AK84" s="14">
        <f t="shared" si="89"/>
        <v>41.869986430732062</v>
      </c>
      <c r="AL84" s="22">
        <f t="shared" si="58"/>
        <v>359.53717270019189</v>
      </c>
      <c r="AM84" s="62">
        <f t="shared" si="59"/>
        <v>652.8705060335252</v>
      </c>
      <c r="AN84" s="62">
        <f ca="1">AVERAGE(OFFSET($AM$3,0,0,'Données projet'!$E$10+1,1))-AVERAGE(OFFSET($H$3,0,0,'Données projet'!$E$10+1,1))</f>
        <v>201.92726874818067</v>
      </c>
      <c r="AO84" s="62">
        <f t="shared" si="90"/>
        <v>197.16147791248727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78.737570965106514</v>
      </c>
      <c r="AV84" s="23">
        <f>EXP(-LN(2)/25)*AV83+(1-EXP(-LN(2)/25))/(LN(2)/25)*Calculateur!AQ84*Calculateur!AS84*VLOOKUP('Données projet'!$B$10,Paramètres!$A$1:$I$89,3,0)*0.475*44/12</f>
        <v>44.403569697468875</v>
      </c>
      <c r="AW84" s="23">
        <f>EXP(-LN(2)/2)*AW83+(1-EXP(-LN(2)/2))/(LN(2)/2)*AQ84*AT84*VLOOKUP('Données projet'!$B$10,Paramètres!$A$1:$I$89,3,0)*0.475*44/12</f>
        <v>19.925027915946092</v>
      </c>
      <c r="AX84" s="23">
        <f t="shared" si="60"/>
        <v>143.06616857852148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5.4</v>
      </c>
      <c r="BD84" s="13">
        <f>IF('Données projet'!$A$88&gt;35,BD83+BC84-BL83,IF(A84&lt;'Données projet'!$A$88,$BA$205^A84,IF(A84='Données projet'!$A$88,'Données projet'!$B$88,BD83+BC84-BL83)))</f>
        <v>146.20000000000013</v>
      </c>
      <c r="BE84" s="14">
        <f>BD84*VLOOKUP('Données projet'!$B$11,Paramètres!$A$1:$I$89,3,0)*VLOOKUP('Données projet'!$B$11,Paramètres!$A$1:$I$89,5,0)</f>
        <v>148.24680000000015</v>
      </c>
      <c r="BF84" s="14">
        <f t="shared" si="91"/>
        <v>38.179892421047214</v>
      </c>
      <c r="BG84" s="22">
        <f t="shared" si="61"/>
        <v>324.69315596665746</v>
      </c>
      <c r="BH84" s="62">
        <f t="shared" si="62"/>
        <v>618.02648929999077</v>
      </c>
      <c r="BI84" s="62">
        <f ca="1">AVERAGE(OFFSET($BH$3,0,0,'Données projet'!$E$11+1,1))-AVERAGE(OFFSET($H$3,0,0,'Données projet'!$E$11+1,1))</f>
        <v>234.66244049825644</v>
      </c>
      <c r="BJ84" s="62">
        <f t="shared" si="92"/>
        <v>87.037318032671465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13.042557660831273</v>
      </c>
      <c r="BQ84" s="23">
        <f>EXP(-LN(2)/25)*BQ83+(1-EXP(-LN(2)/25))/(LN(2)/25)*Calculateur!BL84*Calculateur!BN84*VLOOKUP('Données projet'!$B$11,Paramètres!$A$1:$I$89,3,0)*0.475*44/12</f>
        <v>2.4516559041536277</v>
      </c>
      <c r="BR84" s="23">
        <f>EXP(-LN(2)/2)*BR83+(1-EXP(-LN(2)/2))/(LN(2)/2)*BL84*BO84*VLOOKUP('Données projet'!$B$11,Paramètres!$A$1:$I$89,3,0)*0.475*44/12</f>
        <v>1.6727883492976376</v>
      </c>
      <c r="BS84" s="24">
        <f t="shared" si="63"/>
        <v>17.167001914282537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395.00000000000017</v>
      </c>
      <c r="O85" s="14">
        <f>N85*VLOOKUP('Données projet'!$B$9,Paramètres!$A$1:$I$89,3,0)*VLOOKUP('Données projet'!$B$9,Paramètres!$A$1:$I$89,5,0)</f>
        <v>236.21000000000009</v>
      </c>
      <c r="P85" s="14">
        <f t="shared" si="87"/>
        <v>57.62333963053878</v>
      </c>
      <c r="Q85" s="22">
        <f t="shared" si="54"/>
        <v>511.75973318985524</v>
      </c>
      <c r="R85" s="62">
        <f t="shared" si="55"/>
        <v>805.09306652318855</v>
      </c>
      <c r="S85" s="62">
        <f ca="1">AVERAGE(OFFSET($R$3,0,0,'Données projet'!$E$9+1,1))-AVERAGE(OFFSET($H$3,0,0,'Données projet'!$E$9+1,1))</f>
        <v>217.62295992724461</v>
      </c>
      <c r="T85" s="62">
        <f t="shared" si="88"/>
        <v>198.62788037979772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24.986922467507888</v>
      </c>
      <c r="AA85" s="23">
        <f>EXP(-LN(2)/25)*AA84+(1-EXP(-LN(2)/25))/(LN(2)/25)*Calculateur!V85*Calculateur!X85*VLOOKUP('Données projet'!$B$9,Paramètres!$A$1:$I$89,3,0)*0.475*44/12</f>
        <v>3.5849214116453187</v>
      </c>
      <c r="AB85" s="23">
        <f>EXP(-LN(2)/2)*AB84+(1-EXP(-LN(2)/2))/(LN(2)/2)*V85*Y85*VLOOKUP('Données projet'!$B$9,Paramètres!$A$1:$I$89,3,0)*0.475*44/12</f>
        <v>9.7180110037013831E-4</v>
      </c>
      <c r="AC85" s="24">
        <f t="shared" si="57"/>
        <v>28.572815680253576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369.13000000000028</v>
      </c>
      <c r="AJ85" s="14">
        <f>AI85*VLOOKUP('Données projet'!$B$10,Paramètres!$A$1:$I$89,3,0)*VLOOKUP('Données projet'!$B$10,Paramètres!$A$1:$I$89,5,0)</f>
        <v>172.75284000000013</v>
      </c>
      <c r="AK85" s="14">
        <f t="shared" si="89"/>
        <v>43.705990584026885</v>
      </c>
      <c r="AL85" s="22">
        <f t="shared" si="58"/>
        <v>376.99912993384709</v>
      </c>
      <c r="AM85" s="62">
        <f t="shared" si="59"/>
        <v>670.3324632671804</v>
      </c>
      <c r="AN85" s="62">
        <f ca="1">AVERAGE(OFFSET($AM$3,0,0,'Données projet'!$E$10+1,1))-AVERAGE(OFFSET($H$3,0,0,'Données projet'!$E$10+1,1))</f>
        <v>201.92726874818067</v>
      </c>
      <c r="AO85" s="62">
        <f t="shared" si="90"/>
        <v>197.16147791248727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77.193575223656978</v>
      </c>
      <c r="AV85" s="23">
        <f>EXP(-LN(2)/25)*AV84+(1-EXP(-LN(2)/25))/(LN(2)/25)*Calculateur!AQ85*Calculateur!AS85*VLOOKUP('Données projet'!$B$10,Paramètres!$A$1:$I$89,3,0)*0.475*44/12</f>
        <v>43.18935174900934</v>
      </c>
      <c r="AW85" s="23">
        <f>EXP(-LN(2)/2)*AW84+(1-EXP(-LN(2)/2))/(LN(2)/2)*AQ85*AT85*VLOOKUP('Données projet'!$B$10,Paramètres!$A$1:$I$89,3,0)*0.475*44/12</f>
        <v>14.089122354696746</v>
      </c>
      <c r="AX85" s="23">
        <f t="shared" si="60"/>
        <v>134.47204932736307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5.4</v>
      </c>
      <c r="BD85" s="13">
        <f>IF('Données projet'!$A$88&gt;35,BD84+BC85-BL84,IF(A85&lt;'Données projet'!$A$88,$BA$205^A85,IF(A85='Données projet'!$A$88,'Données projet'!$B$88,BD84+BC85-BL84)))</f>
        <v>151.60000000000014</v>
      </c>
      <c r="BE85" s="14">
        <f>BD85*VLOOKUP('Données projet'!$B$11,Paramètres!$A$1:$I$89,3,0)*VLOOKUP('Données projet'!$B$11,Paramètres!$A$1:$I$89,5,0)</f>
        <v>153.72240000000014</v>
      </c>
      <c r="BF85" s="14">
        <f t="shared" si="91"/>
        <v>39.423303747679512</v>
      </c>
      <c r="BG85" s="22">
        <f t="shared" si="61"/>
        <v>336.39543402720869</v>
      </c>
      <c r="BH85" s="62">
        <f t="shared" si="62"/>
        <v>629.72876736054195</v>
      </c>
      <c r="BI85" s="62">
        <f ca="1">AVERAGE(OFFSET($BH$3,0,0,'Données projet'!$E$11+1,1))-AVERAGE(OFFSET($H$3,0,0,'Données projet'!$E$11+1,1))</f>
        <v>234.66244049825644</v>
      </c>
      <c r="BJ85" s="62">
        <f t="shared" si="92"/>
        <v>87.037318032671465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12.786801060277037</v>
      </c>
      <c r="BQ85" s="23">
        <f>EXP(-LN(2)/25)*BQ84+(1-EXP(-LN(2)/25))/(LN(2)/25)*Calculateur!BL85*Calculateur!BN85*VLOOKUP('Données projet'!$B$11,Paramètres!$A$1:$I$89,3,0)*0.475*44/12</f>
        <v>2.3846152445275659</v>
      </c>
      <c r="BR85" s="23">
        <f>EXP(-LN(2)/2)*BR84+(1-EXP(-LN(2)/2))/(LN(2)/2)*BL85*BO85*VLOOKUP('Données projet'!$B$11,Paramètres!$A$1:$I$89,3,0)*0.475*44/12</f>
        <v>1.1828399852782108</v>
      </c>
      <c r="BS85" s="24">
        <f t="shared" si="63"/>
        <v>16.354256290082816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395.00000000000017</v>
      </c>
      <c r="O86" s="14">
        <f>N86*VLOOKUP('Données projet'!$B$9,Paramètres!$A$1:$I$89,3,0)*VLOOKUP('Données projet'!$B$9,Paramètres!$A$1:$I$89,5,0)</f>
        <v>236.21000000000009</v>
      </c>
      <c r="P86" s="14">
        <f t="shared" si="87"/>
        <v>57.62333963053878</v>
      </c>
      <c r="Q86" s="22">
        <f t="shared" si="54"/>
        <v>511.75973318985524</v>
      </c>
      <c r="R86" s="62">
        <f t="shared" si="55"/>
        <v>805.09306652318855</v>
      </c>
      <c r="S86" s="62">
        <f ca="1">AVERAGE(OFFSET($R$3,0,0,'Données projet'!$E$9+1,1))-AVERAGE(OFFSET($H$3,0,0,'Données projet'!$E$9+1,1))</f>
        <v>217.62295992724461</v>
      </c>
      <c r="T86" s="62">
        <f t="shared" si="88"/>
        <v>198.62788037979772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24.496944158437888</v>
      </c>
      <c r="AA86" s="23">
        <f>EXP(-LN(2)/25)*AA85+(1-EXP(-LN(2)/25))/(LN(2)/25)*Calculateur!V86*Calculateur!X86*VLOOKUP('Données projet'!$B$9,Paramètres!$A$1:$I$89,3,0)*0.475*44/12</f>
        <v>3.4868915471210538</v>
      </c>
      <c r="AB86" s="23">
        <f>EXP(-LN(2)/2)*AB85+(1-EXP(-LN(2)/2))/(LN(2)/2)*V86*Y86*VLOOKUP('Données projet'!$B$9,Paramètres!$A$1:$I$89,3,0)*0.475*44/12</f>
        <v>6.8716714803627359E-4</v>
      </c>
      <c r="AC86" s="24">
        <f t="shared" si="57"/>
        <v>27.984522872706979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386.63000000000028</v>
      </c>
      <c r="AJ86" s="14">
        <f>AI86*VLOOKUP('Données projet'!$B$10,Paramètres!$A$1:$I$89,3,0)*VLOOKUP('Données projet'!$B$10,Paramètres!$A$1:$I$89,5,0)</f>
        <v>180.94284000000013</v>
      </c>
      <c r="AK86" s="14">
        <f t="shared" si="89"/>
        <v>45.53188687301887</v>
      </c>
      <c r="AL86" s="22">
        <f t="shared" si="58"/>
        <v>394.44348263717478</v>
      </c>
      <c r="AM86" s="62">
        <f t="shared" si="59"/>
        <v>687.7768159705081</v>
      </c>
      <c r="AN86" s="62">
        <f ca="1">AVERAGE(OFFSET($AM$3,0,0,'Données projet'!$E$10+1,1))-AVERAGE(OFFSET($H$3,0,0,'Données projet'!$E$10+1,1))</f>
        <v>201.92726874818067</v>
      </c>
      <c r="AO86" s="62">
        <f t="shared" si="90"/>
        <v>197.16147791248727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75.679856296952849</v>
      </c>
      <c r="AV86" s="23">
        <f>EXP(-LN(2)/25)*AV85+(1-EXP(-LN(2)/25))/(LN(2)/25)*Calculateur!AQ86*Calculateur!AS86*VLOOKUP('Données projet'!$B$10,Paramètres!$A$1:$I$89,3,0)*0.475*44/12</f>
        <v>42.008336654203383</v>
      </c>
      <c r="AW86" s="23">
        <f>EXP(-LN(2)/2)*AW85+(1-EXP(-LN(2)/2))/(LN(2)/2)*AQ86*AT86*VLOOKUP('Données projet'!$B$10,Paramètres!$A$1:$I$89,3,0)*0.475*44/12</f>
        <v>9.962513957973048</v>
      </c>
      <c r="AX86" s="23">
        <f t="shared" si="60"/>
        <v>127.65070690912927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5.4</v>
      </c>
      <c r="BD86" s="13">
        <f>IF('Données projet'!$A$88&gt;35,BD85+BC86-BL85,IF(A86&lt;'Données projet'!$A$88,$BA$205^A86,IF(A86='Données projet'!$A$88,'Données projet'!$B$88,BD85+BC86-BL85)))</f>
        <v>157.00000000000014</v>
      </c>
      <c r="BE86" s="14">
        <f>BD86*VLOOKUP('Données projet'!$B$11,Paramètres!$A$1:$I$89,3,0)*VLOOKUP('Données projet'!$B$11,Paramètres!$A$1:$I$89,5,0)</f>
        <v>159.19800000000015</v>
      </c>
      <c r="BF86" s="14">
        <f t="shared" si="91"/>
        <v>40.661569197787344</v>
      </c>
      <c r="BG86" s="22">
        <f t="shared" si="61"/>
        <v>348.08874968614651</v>
      </c>
      <c r="BH86" s="62">
        <f t="shared" si="62"/>
        <v>641.42208301947983</v>
      </c>
      <c r="BI86" s="62">
        <f ca="1">AVERAGE(OFFSET($BH$3,0,0,'Données projet'!$E$11+1,1))-AVERAGE(OFFSET($H$3,0,0,'Données projet'!$E$11+1,1))</f>
        <v>234.66244049825644</v>
      </c>
      <c r="BJ86" s="62">
        <f t="shared" si="92"/>
        <v>87.037318032671465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12.536059690663546</v>
      </c>
      <c r="BQ86" s="23">
        <f>EXP(-LN(2)/25)*BQ85+(1-EXP(-LN(2)/25))/(LN(2)/25)*Calculateur!BL86*Calculateur!BN86*VLOOKUP('Données projet'!$B$11,Paramètres!$A$1:$I$89,3,0)*0.475*44/12</f>
        <v>2.3194078152644941</v>
      </c>
      <c r="BR86" s="23">
        <f>EXP(-LN(2)/2)*BR85+(1-EXP(-LN(2)/2))/(LN(2)/2)*BL86*BO86*VLOOKUP('Données projet'!$B$11,Paramètres!$A$1:$I$89,3,0)*0.475*44/12</f>
        <v>0.83639417464881893</v>
      </c>
      <c r="BS86" s="24">
        <f t="shared" si="63"/>
        <v>15.691861680576858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395.00000000000017</v>
      </c>
      <c r="O87" s="14">
        <f>N87*VLOOKUP('Données projet'!$B$9,Paramètres!$A$1:$I$89,3,0)*VLOOKUP('Données projet'!$B$9,Paramètres!$A$1:$I$89,5,0)</f>
        <v>236.21000000000009</v>
      </c>
      <c r="P87" s="14">
        <f t="shared" si="87"/>
        <v>57.62333963053878</v>
      </c>
      <c r="Q87" s="22">
        <f t="shared" si="54"/>
        <v>511.75973318985524</v>
      </c>
      <c r="R87" s="62">
        <f t="shared" si="55"/>
        <v>805.09306652318855</v>
      </c>
      <c r="S87" s="62">
        <f ca="1">AVERAGE(OFFSET($R$3,0,0,'Données projet'!$E$9+1,1))-AVERAGE(OFFSET($H$3,0,0,'Données projet'!$E$9+1,1))</f>
        <v>217.62295992724461</v>
      </c>
      <c r="T87" s="62">
        <f t="shared" si="88"/>
        <v>198.62788037979772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24.016574025151492</v>
      </c>
      <c r="AA87" s="23">
        <f>EXP(-LN(2)/25)*AA86+(1-EXP(-LN(2)/25))/(LN(2)/25)*Calculateur!V87*Calculateur!X87*VLOOKUP('Données projet'!$B$9,Paramètres!$A$1:$I$89,3,0)*0.475*44/12</f>
        <v>3.3915423143973715</v>
      </c>
      <c r="AB87" s="23">
        <f>EXP(-LN(2)/2)*AB86+(1-EXP(-LN(2)/2))/(LN(2)/2)*V87*Y87*VLOOKUP('Données projet'!$B$9,Paramètres!$A$1:$I$89,3,0)*0.475*44/12</f>
        <v>4.8590055018506926E-4</v>
      </c>
      <c r="AC87" s="24">
        <f t="shared" si="57"/>
        <v>27.408602240099047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404.13000000000028</v>
      </c>
      <c r="AJ87" s="14">
        <f>AI87*VLOOKUP('Données projet'!$B$10,Paramètres!$A$1:$I$89,3,0)*VLOOKUP('Données projet'!$B$10,Paramètres!$A$1:$I$89,5,0)</f>
        <v>189.13284000000013</v>
      </c>
      <c r="AK87" s="14">
        <f t="shared" si="89"/>
        <v>47.348185075923382</v>
      </c>
      <c r="AL87" s="22">
        <f t="shared" si="58"/>
        <v>411.87111867390013</v>
      </c>
      <c r="AM87" s="62">
        <f t="shared" si="59"/>
        <v>705.20445200723339</v>
      </c>
      <c r="AN87" s="62">
        <f ca="1">AVERAGE(OFFSET($AM$3,0,0,'Données projet'!$E$10+1,1))-AVERAGE(OFFSET($H$3,0,0,'Données projet'!$E$10+1,1))</f>
        <v>201.92726874818067</v>
      </c>
      <c r="AO87" s="62">
        <f t="shared" si="90"/>
        <v>197.16147791248727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74.195820475124009</v>
      </c>
      <c r="AV87" s="23">
        <f>EXP(-LN(2)/25)*AV86+(1-EXP(-LN(2)/25))/(LN(2)/25)*Calculateur!AQ87*Calculateur!AS87*VLOOKUP('Données projet'!$B$10,Paramètres!$A$1:$I$89,3,0)*0.475*44/12</f>
        <v>40.859616479271779</v>
      </c>
      <c r="AW87" s="23">
        <f>EXP(-LN(2)/2)*AW86+(1-EXP(-LN(2)/2))/(LN(2)/2)*AQ87*AT87*VLOOKUP('Données projet'!$B$10,Paramètres!$A$1:$I$89,3,0)*0.475*44/12</f>
        <v>7.0445611773483741</v>
      </c>
      <c r="AX87" s="23">
        <f t="shared" si="60"/>
        <v>122.09999813174416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5.4</v>
      </c>
      <c r="BD87" s="13">
        <f>IF('Données projet'!$A$88&gt;35,BD86+BC87-BL86,IF(A87&lt;'Données projet'!$A$88,$BA$205^A87,IF(A87='Données projet'!$A$88,'Données projet'!$B$88,BD86+BC87-BL86)))</f>
        <v>162.40000000000015</v>
      </c>
      <c r="BE87" s="14">
        <f>BD87*VLOOKUP('Données projet'!$B$11,Paramètres!$A$1:$I$89,3,0)*VLOOKUP('Données projet'!$B$11,Paramètres!$A$1:$I$89,5,0)</f>
        <v>164.67360000000016</v>
      </c>
      <c r="BF87" s="14">
        <f t="shared" si="91"/>
        <v>41.894886049197055</v>
      </c>
      <c r="BG87" s="22">
        <f t="shared" si="61"/>
        <v>359.7734465356852</v>
      </c>
      <c r="BH87" s="62">
        <f t="shared" si="62"/>
        <v>653.10677986901851</v>
      </c>
      <c r="BI87" s="62">
        <f ca="1">AVERAGE(OFFSET($BH$3,0,0,'Données projet'!$E$11+1,1))-AVERAGE(OFFSET($H$3,0,0,'Données projet'!$E$11+1,1))</f>
        <v>234.66244049825644</v>
      </c>
      <c r="BJ87" s="62">
        <f t="shared" si="92"/>
        <v>87.037318032671465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12.290235206371042</v>
      </c>
      <c r="BQ87" s="23">
        <f>EXP(-LN(2)/25)*BQ86+(1-EXP(-LN(2)/25))/(LN(2)/25)*Calculateur!BL87*Calculateur!BN87*VLOOKUP('Données projet'!$B$11,Paramètres!$A$1:$I$89,3,0)*0.475*44/12</f>
        <v>2.2559834865837307</v>
      </c>
      <c r="BR87" s="23">
        <f>EXP(-LN(2)/2)*BR86+(1-EXP(-LN(2)/2))/(LN(2)/2)*BL87*BO87*VLOOKUP('Données projet'!$B$11,Paramètres!$A$1:$I$89,3,0)*0.475*44/12</f>
        <v>0.5914199926391055</v>
      </c>
      <c r="BS87" s="24">
        <f t="shared" si="63"/>
        <v>15.137638685593878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395.00000000000017</v>
      </c>
      <c r="O88" s="14">
        <f>N88*VLOOKUP('Données projet'!$B$9,Paramètres!$A$1:$I$89,3,0)*VLOOKUP('Données projet'!$B$9,Paramètres!$A$1:$I$89,5,0)</f>
        <v>236.21000000000009</v>
      </c>
      <c r="P88" s="14">
        <f t="shared" si="87"/>
        <v>57.62333963053878</v>
      </c>
      <c r="Q88" s="22">
        <f t="shared" si="54"/>
        <v>511.75973318985524</v>
      </c>
      <c r="R88" s="62">
        <f t="shared" si="55"/>
        <v>805.09306652318855</v>
      </c>
      <c r="S88" s="62">
        <f ca="1">AVERAGE(OFFSET($R$3,0,0,'Données projet'!$E$9+1,1))-AVERAGE(OFFSET($H$3,0,0,'Données projet'!$E$9+1,1))</f>
        <v>217.62295992724461</v>
      </c>
      <c r="T88" s="62">
        <f t="shared" si="88"/>
        <v>198.62788037979772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23.545623657181991</v>
      </c>
      <c r="AA88" s="23">
        <f>EXP(-LN(2)/25)*AA87+(1-EXP(-LN(2)/25))/(LN(2)/25)*Calculateur!V88*Calculateur!X88*VLOOKUP('Données projet'!$B$9,Paramètres!$A$1:$I$89,3,0)*0.475*44/12</f>
        <v>3.2988004114567167</v>
      </c>
      <c r="AB88" s="23">
        <f>EXP(-LN(2)/2)*AB87+(1-EXP(-LN(2)/2))/(LN(2)/2)*V88*Y88*VLOOKUP('Données projet'!$B$9,Paramètres!$A$1:$I$89,3,0)*0.475*44/12</f>
        <v>3.4358357401813685E-4</v>
      </c>
      <c r="AC88" s="24">
        <f t="shared" si="57"/>
        <v>26.844767652212727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421.63000000000028</v>
      </c>
      <c r="AJ88" s="14">
        <f>AI88*VLOOKUP('Données projet'!$B$10,Paramètres!$A$1:$I$89,3,0)*VLOOKUP('Données projet'!$B$10,Paramètres!$A$1:$I$89,5,0)</f>
        <v>197.32284000000013</v>
      </c>
      <c r="AK88" s="14">
        <f t="shared" si="89"/>
        <v>49.155348324434783</v>
      </c>
      <c r="AL88" s="22">
        <f t="shared" si="58"/>
        <v>429.28284466505744</v>
      </c>
      <c r="AM88" s="62">
        <f t="shared" si="59"/>
        <v>722.61617799839075</v>
      </c>
      <c r="AN88" s="62">
        <f ca="1">AVERAGE(OFFSET($AM$3,0,0,'Données projet'!$E$10+1,1))-AVERAGE(OFFSET($H$3,0,0,'Données projet'!$E$10+1,1))</f>
        <v>201.92726874818067</v>
      </c>
      <c r="AO88" s="62">
        <f t="shared" si="90"/>
        <v>197.16147791248727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72.740885690588755</v>
      </c>
      <c r="AV88" s="23">
        <f>EXP(-LN(2)/25)*AV87+(1-EXP(-LN(2)/25))/(LN(2)/25)*Calculateur!AQ88*Calculateur!AS88*VLOOKUP('Données projet'!$B$10,Paramètres!$A$1:$I$89,3,0)*0.475*44/12</f>
        <v>39.742308117932247</v>
      </c>
      <c r="AW88" s="23">
        <f>EXP(-LN(2)/2)*AW87+(1-EXP(-LN(2)/2))/(LN(2)/2)*AQ88*AT88*VLOOKUP('Données projet'!$B$10,Paramètres!$A$1:$I$89,3,0)*0.475*44/12</f>
        <v>4.9812569789865249</v>
      </c>
      <c r="AX88" s="23">
        <f t="shared" si="60"/>
        <v>117.46445078750753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5.4</v>
      </c>
      <c r="BD88" s="13">
        <f>IF('Données projet'!$A$88&gt;35,BD87+BC88-BL87,IF(A88&lt;'Données projet'!$A$88,$BA$205^A88,IF(A88='Données projet'!$A$88,'Données projet'!$B$88,BD87+BC88-BL87)))</f>
        <v>167.80000000000015</v>
      </c>
      <c r="BE88" s="14">
        <f>BD88*VLOOKUP('Données projet'!$B$11,Paramètres!$A$1:$I$89,3,0)*VLOOKUP('Données projet'!$B$11,Paramètres!$A$1:$I$89,5,0)</f>
        <v>170.14920000000018</v>
      </c>
      <c r="BF88" s="14">
        <f t="shared" si="91"/>
        <v>43.123437715785307</v>
      </c>
      <c r="BG88" s="22">
        <f t="shared" si="61"/>
        <v>371.44984402165977</v>
      </c>
      <c r="BH88" s="62">
        <f t="shared" si="62"/>
        <v>664.78317735499309</v>
      </c>
      <c r="BI88" s="62">
        <f ca="1">AVERAGE(OFFSET($BH$3,0,0,'Données projet'!$E$11+1,1))-AVERAGE(OFFSET($H$3,0,0,'Données projet'!$E$11+1,1))</f>
        <v>234.66244049825644</v>
      </c>
      <c r="BJ88" s="62">
        <f t="shared" si="92"/>
        <v>87.037318032671465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12.049231190277384</v>
      </c>
      <c r="BQ88" s="23">
        <f>EXP(-LN(2)/25)*BQ87+(1-EXP(-LN(2)/25))/(LN(2)/25)*Calculateur!BL88*Calculateur!BN88*VLOOKUP('Données projet'!$B$11,Paramètres!$A$1:$I$89,3,0)*0.475*44/12</f>
        <v>2.1942934995060832</v>
      </c>
      <c r="BR88" s="23">
        <f>EXP(-LN(2)/2)*BR87+(1-EXP(-LN(2)/2))/(LN(2)/2)*BL88*BO88*VLOOKUP('Données projet'!$B$11,Paramètres!$A$1:$I$89,3,0)*0.475*44/12</f>
        <v>0.41819708732440952</v>
      </c>
      <c r="BS88" s="24">
        <f t="shared" si="63"/>
        <v>14.661721777107877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395.00000000000017</v>
      </c>
      <c r="O89" s="14">
        <f>N89*VLOOKUP('Données projet'!$B$9,Paramètres!$A$1:$I$89,3,0)*VLOOKUP('Données projet'!$B$9,Paramètres!$A$1:$I$89,5,0)</f>
        <v>236.21000000000009</v>
      </c>
      <c r="P89" s="14">
        <f t="shared" si="87"/>
        <v>57.62333963053878</v>
      </c>
      <c r="Q89" s="22">
        <f t="shared" si="54"/>
        <v>511.75973318985524</v>
      </c>
      <c r="R89" s="62">
        <f t="shared" si="55"/>
        <v>805.09306652318855</v>
      </c>
      <c r="S89" s="62">
        <f ca="1">AVERAGE(OFFSET($R$3,0,0,'Données projet'!$E$9+1,1))-AVERAGE(OFFSET($H$3,0,0,'Données projet'!$E$9+1,1))</f>
        <v>217.62295992724461</v>
      </c>
      <c r="T89" s="62">
        <f t="shared" si="88"/>
        <v>198.62788037979772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23.083908338677013</v>
      </c>
      <c r="AA89" s="23">
        <f>EXP(-LN(2)/25)*AA88+(1-EXP(-LN(2)/25))/(LN(2)/25)*Calculateur!V89*Calculateur!X89*VLOOKUP('Données projet'!$B$9,Paramètres!$A$1:$I$89,3,0)*0.475*44/12</f>
        <v>3.2085945407290586</v>
      </c>
      <c r="AB89" s="23">
        <f>EXP(-LN(2)/2)*AB88+(1-EXP(-LN(2)/2))/(LN(2)/2)*V89*Y89*VLOOKUP('Données projet'!$B$9,Paramètres!$A$1:$I$89,3,0)*0.475*44/12</f>
        <v>2.4295027509253466E-4</v>
      </c>
      <c r="AC89" s="24">
        <f t="shared" si="57"/>
        <v>26.292745829681166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439.13000000000028</v>
      </c>
      <c r="AJ89" s="14">
        <f>AI89*VLOOKUP('Données projet'!$B$10,Paramètres!$A$1:$I$89,3,0)*VLOOKUP('Données projet'!$B$10,Paramètres!$A$1:$I$89,5,0)</f>
        <v>205.51284000000012</v>
      </c>
      <c r="AK89" s="14">
        <f t="shared" si="89"/>
        <v>50.953799129979913</v>
      </c>
      <c r="AL89" s="22">
        <f t="shared" si="58"/>
        <v>446.6793964847152</v>
      </c>
      <c r="AM89" s="62">
        <f t="shared" si="59"/>
        <v>740.01272981804846</v>
      </c>
      <c r="AN89" s="62">
        <f ca="1">AVERAGE(OFFSET($AM$3,0,0,'Données projet'!$E$10+1,1))-AVERAGE(OFFSET($H$3,0,0,'Données projet'!$E$10+1,1))</f>
        <v>201.92726874818067</v>
      </c>
      <c r="AO89" s="62">
        <f t="shared" si="90"/>
        <v>197.16147791248727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71.314481289755648</v>
      </c>
      <c r="AV89" s="23">
        <f>EXP(-LN(2)/25)*AV88+(1-EXP(-LN(2)/25))/(LN(2)/25)*Calculateur!AQ89*Calculateur!AS89*VLOOKUP('Données projet'!$B$10,Paramètres!$A$1:$I$89,3,0)*0.475*44/12</f>
        <v>38.65555261249024</v>
      </c>
      <c r="AW89" s="23">
        <f>EXP(-LN(2)/2)*AW88+(1-EXP(-LN(2)/2))/(LN(2)/2)*AQ89*AT89*VLOOKUP('Données projet'!$B$10,Paramètres!$A$1:$I$89,3,0)*0.475*44/12</f>
        <v>3.5222805886741875</v>
      </c>
      <c r="AX89" s="23">
        <f t="shared" si="60"/>
        <v>113.49231449092008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173.20000000000016</v>
      </c>
      <c r="BE89" s="14">
        <f>BD89*VLOOKUP('Données projet'!$B$11,Paramètres!$A$1:$I$89,3,0)*VLOOKUP('Données projet'!$B$11,Paramètres!$A$1:$I$89,5,0)</f>
        <v>175.62480000000019</v>
      </c>
      <c r="BF89" s="14">
        <f t="shared" si="91"/>
        <v>44.347395136263216</v>
      </c>
      <c r="BG89" s="22">
        <f t="shared" si="61"/>
        <v>383.11823986232542</v>
      </c>
      <c r="BH89" s="62">
        <f t="shared" si="62"/>
        <v>676.45157319565874</v>
      </c>
      <c r="BI89" s="62">
        <f ca="1">AVERAGE(OFFSET($BH$3,0,0,'Données projet'!$E$11+1,1))-AVERAGE(OFFSET($H$3,0,0,'Données projet'!$E$11+1,1))</f>
        <v>234.66244049825644</v>
      </c>
      <c r="BJ89" s="62">
        <f t="shared" si="92"/>
        <v>87.037318032671465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11.812953115941387</v>
      </c>
      <c r="BQ89" s="23">
        <f>EXP(-LN(2)/25)*BQ88+(1-EXP(-LN(2)/25))/(LN(2)/25)*Calculateur!BL89*Calculateur!BN89*VLOOKUP('Données projet'!$B$11,Paramètres!$A$1:$I$89,3,0)*0.475*44/12</f>
        <v>2.1342904283692095</v>
      </c>
      <c r="BR89" s="23">
        <f>EXP(-LN(2)/2)*BR88+(1-EXP(-LN(2)/2))/(LN(2)/2)*BL89*BO89*VLOOKUP('Données projet'!$B$11,Paramètres!$A$1:$I$89,3,0)*0.475*44/12</f>
        <v>0.29570999631955275</v>
      </c>
      <c r="BS89" s="24">
        <f t="shared" si="63"/>
        <v>14.242953540630149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395.00000000000017</v>
      </c>
      <c r="O90" s="14">
        <f>N90*VLOOKUP('Données projet'!$B$9,Paramètres!$A$1:$I$89,3,0)*VLOOKUP('Données projet'!$B$9,Paramètres!$A$1:$I$89,5,0)</f>
        <v>236.21000000000009</v>
      </c>
      <c r="P90" s="14">
        <f t="shared" si="87"/>
        <v>57.62333963053878</v>
      </c>
      <c r="Q90" s="22">
        <f t="shared" si="54"/>
        <v>511.75973318985524</v>
      </c>
      <c r="R90" s="62">
        <f t="shared" si="55"/>
        <v>805.09306652318855</v>
      </c>
      <c r="S90" s="62">
        <f ca="1">AVERAGE(OFFSET($R$3,0,0,'Données projet'!$E$9+1,1))-AVERAGE(OFFSET($H$3,0,0,'Données projet'!$E$9+1,1))</f>
        <v>217.62295992724461</v>
      </c>
      <c r="T90" s="62">
        <f t="shared" si="88"/>
        <v>198.62788037979772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22.631246975949377</v>
      </c>
      <c r="AA90" s="23">
        <f>EXP(-LN(2)/25)*AA89+(1-EXP(-LN(2)/25))/(LN(2)/25)*Calculateur!V90*Calculateur!X90*VLOOKUP('Données projet'!$B$9,Paramètres!$A$1:$I$89,3,0)*0.475*44/12</f>
        <v>3.1208553542801689</v>
      </c>
      <c r="AB90" s="23">
        <f>EXP(-LN(2)/2)*AB89+(1-EXP(-LN(2)/2))/(LN(2)/2)*V90*Y90*VLOOKUP('Données projet'!$B$9,Paramètres!$A$1:$I$89,3,0)*0.475*44/12</f>
        <v>1.7179178700906845E-4</v>
      </c>
      <c r="AC90" s="24">
        <f t="shared" si="57"/>
        <v>25.752274122016555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456.63000000000028</v>
      </c>
      <c r="AJ90" s="14">
        <f>AI90*VLOOKUP('Données projet'!$B$10,Paramètres!$A$1:$I$89,3,0)*VLOOKUP('Données projet'!$B$10,Paramètres!$A$1:$I$89,5,0)</f>
        <v>213.70284000000015</v>
      </c>
      <c r="AK90" s="14">
        <f t="shared" si="89"/>
        <v>52.743924422311345</v>
      </c>
      <c r="AL90" s="22">
        <f t="shared" si="58"/>
        <v>464.06144803552587</v>
      </c>
      <c r="AM90" s="62">
        <f t="shared" si="59"/>
        <v>757.39478136885919</v>
      </c>
      <c r="AN90" s="62">
        <f ca="1">AVERAGE(OFFSET($AM$3,0,0,'Données projet'!$E$10+1,1))-AVERAGE(OFFSET($H$3,0,0,'Données projet'!$E$10+1,1))</f>
        <v>201.92726874818067</v>
      </c>
      <c r="AO90" s="62">
        <f t="shared" si="90"/>
        <v>197.16147791248727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69.916047809202098</v>
      </c>
      <c r="AV90" s="23">
        <f>EXP(-LN(2)/25)*AV89+(1-EXP(-LN(2)/25))/(LN(2)/25)*Calculateur!AQ90*Calculateur!AS90*VLOOKUP('Données projet'!$B$10,Paramètres!$A$1:$I$89,3,0)*0.475*44/12</f>
        <v>37.598514493494534</v>
      </c>
      <c r="AW90" s="23">
        <f>EXP(-LN(2)/2)*AW89+(1-EXP(-LN(2)/2))/(LN(2)/2)*AQ90*AT90*VLOOKUP('Données projet'!$B$10,Paramètres!$A$1:$I$89,3,0)*0.475*44/12</f>
        <v>2.4906284894932629</v>
      </c>
      <c r="AX90" s="23">
        <f t="shared" si="60"/>
        <v>110.00519079218989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178.60000000000016</v>
      </c>
      <c r="BE90" s="14">
        <f>BD90*VLOOKUP('Données projet'!$B$11,Paramètres!$A$1:$I$89,3,0)*VLOOKUP('Données projet'!$B$11,Paramètres!$A$1:$I$89,5,0)</f>
        <v>181.10040000000018</v>
      </c>
      <c r="BF90" s="14">
        <f t="shared" si="91"/>
        <v>45.566917984897806</v>
      </c>
      <c r="BG90" s="22">
        <f t="shared" si="61"/>
        <v>394.77891215703062</v>
      </c>
      <c r="BH90" s="62">
        <f t="shared" si="62"/>
        <v>688.11224549036388</v>
      </c>
      <c r="BI90" s="62">
        <f ca="1">AVERAGE(OFFSET($BH$3,0,0,'Données projet'!$E$11+1,1))-AVERAGE(OFFSET($H$3,0,0,'Données projet'!$E$11+1,1))</f>
        <v>234.66244049825644</v>
      </c>
      <c r="BJ90" s="62">
        <f t="shared" si="92"/>
        <v>87.037318032671465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11.581308310527723</v>
      </c>
      <c r="BQ90" s="23">
        <f>EXP(-LN(2)/25)*BQ89+(1-EXP(-LN(2)/25))/(LN(2)/25)*Calculateur!BL90*Calculateur!BN90*VLOOKUP('Données projet'!$B$11,Paramètres!$A$1:$I$89,3,0)*0.475*44/12</f>
        <v>2.0759281443679978</v>
      </c>
      <c r="BR90" s="23">
        <f>EXP(-LN(2)/2)*BR89+(1-EXP(-LN(2)/2))/(LN(2)/2)*BL90*BO90*VLOOKUP('Données projet'!$B$11,Paramètres!$A$1:$I$89,3,0)*0.475*44/12</f>
        <v>0.20909854366220476</v>
      </c>
      <c r="BS90" s="24">
        <f t="shared" si="63"/>
        <v>13.866334998557925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395.00000000000017</v>
      </c>
      <c r="O91" s="14">
        <f>N91*VLOOKUP('Données projet'!$B$9,Paramètres!$A$1:$I$89,3,0)*VLOOKUP('Données projet'!$B$9,Paramètres!$A$1:$I$89,5,0)</f>
        <v>236.21000000000009</v>
      </c>
      <c r="P91" s="14">
        <f t="shared" si="87"/>
        <v>57.62333963053878</v>
      </c>
      <c r="Q91" s="22">
        <f t="shared" si="54"/>
        <v>511.75973318985524</v>
      </c>
      <c r="R91" s="62">
        <f t="shared" si="55"/>
        <v>805.09306652318855</v>
      </c>
      <c r="S91" s="62">
        <f ca="1">AVERAGE(OFFSET($R$3,0,0,'Données projet'!$E$9+1,1))-AVERAGE(OFFSET($H$3,0,0,'Données projet'!$E$9+1,1))</f>
        <v>217.62295992724461</v>
      </c>
      <c r="T91" s="62">
        <f t="shared" si="88"/>
        <v>198.62788037979772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22.187462026448664</v>
      </c>
      <c r="AA91" s="23">
        <f>EXP(-LN(2)/25)*AA90+(1-EXP(-LN(2)/25))/(LN(2)/25)*Calculateur!V91*Calculateur!X91*VLOOKUP('Données projet'!$B$9,Paramètres!$A$1:$I$89,3,0)*0.475*44/12</f>
        <v>3.0355154004987273</v>
      </c>
      <c r="AB91" s="23">
        <f>EXP(-LN(2)/2)*AB90+(1-EXP(-LN(2)/2))/(LN(2)/2)*V91*Y91*VLOOKUP('Données projet'!$B$9,Paramètres!$A$1:$I$89,3,0)*0.475*44/12</f>
        <v>1.2147513754626736E-4</v>
      </c>
      <c r="AC91" s="24">
        <f t="shared" si="57"/>
        <v>25.223098902084939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474.13000000000028</v>
      </c>
      <c r="AJ91" s="14">
        <f>AI91*VLOOKUP('Données projet'!$B$10,Paramètres!$A$1:$I$89,3,0)*VLOOKUP('Données projet'!$B$10,Paramètres!$A$1:$I$89,5,0)</f>
        <v>221.89284000000012</v>
      </c>
      <c r="AK91" s="14">
        <f t="shared" si="89"/>
        <v>54.526079793975761</v>
      </c>
      <c r="AL91" s="22">
        <f t="shared" si="58"/>
        <v>481.42961864117456</v>
      </c>
      <c r="AM91" s="62">
        <f t="shared" si="59"/>
        <v>774.76295197450781</v>
      </c>
      <c r="AN91" s="62">
        <f ca="1">AVERAGE(OFFSET($AM$3,0,0,'Données projet'!$E$10+1,1))-AVERAGE(OFFSET($H$3,0,0,'Données projet'!$E$10+1,1))</f>
        <v>201.92726874818067</v>
      </c>
      <c r="AO91" s="62">
        <f t="shared" si="90"/>
        <v>197.16147791248727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68.545036756242013</v>
      </c>
      <c r="AV91" s="23">
        <f>EXP(-LN(2)/25)*AV90+(1-EXP(-LN(2)/25))/(LN(2)/25)*Calculateur!AQ91*Calculateur!AS91*VLOOKUP('Données projet'!$B$10,Paramètres!$A$1:$I$89,3,0)*0.475*44/12</f>
        <v>36.570381137449978</v>
      </c>
      <c r="AW91" s="23">
        <f>EXP(-LN(2)/2)*AW90+(1-EXP(-LN(2)/2))/(LN(2)/2)*AQ91*AT91*VLOOKUP('Données projet'!$B$10,Paramètres!$A$1:$I$89,3,0)*0.475*44/12</f>
        <v>1.7611402943370942</v>
      </c>
      <c r="AX91" s="23">
        <f t="shared" si="60"/>
        <v>106.87655818802908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184</v>
      </c>
      <c r="BB91" s="13">
        <f>VLOOKUP(A91,'Données projet'!$A$87:$I$107,9,0)</f>
        <v>5.4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184.00000000000017</v>
      </c>
      <c r="BE91" s="14">
        <f>BD91*VLOOKUP('Données projet'!$B$11,Paramètres!$A$1:$I$89,3,0)*VLOOKUP('Données projet'!$B$11,Paramètres!$A$1:$I$89,5,0)</f>
        <v>186.57600000000016</v>
      </c>
      <c r="BF91" s="14">
        <f t="shared" si="91"/>
        <v>46.782155731694317</v>
      </c>
      <c r="BG91" s="22">
        <f t="shared" si="61"/>
        <v>406.43212123270115</v>
      </c>
      <c r="BH91" s="62">
        <f t="shared" si="62"/>
        <v>699.76545456603446</v>
      </c>
      <c r="BI91" s="62">
        <f ca="1">AVERAGE(OFFSET($BH$3,0,0,'Données projet'!$E$11+1,1))-AVERAGE(OFFSET($H$3,0,0,'Données projet'!$E$11+1,1))</f>
        <v>234.66244049825644</v>
      </c>
      <c r="BJ91" s="62">
        <f t="shared" si="92"/>
        <v>87.037318032671465</v>
      </c>
      <c r="BK91" s="16">
        <f>IF(ISNA(VLOOKUP(A91,'Données projet'!$A$87:$I$107,3,0)),0,VLOOKUP(A91,'Données projet'!$A$87:$I$107,3,0))</f>
        <v>5</v>
      </c>
      <c r="BL91" s="16">
        <f>IF(ISNA(VLOOKUP(A91,'Données projet'!$A$87:$I$107,4,0)),0,VLOOKUP(A91,'Données projet'!$A$87:$I$107,4,0))</f>
        <v>35</v>
      </c>
      <c r="BM91" s="17">
        <f>IF(ISNA(VLOOKUP(A91,'Données projet'!$A$87:$I$107,5,0)),0%,VLOOKUP(A91,'Données projet'!$A$87:$I$107,5,0)*VLOOKUP('Données projet'!$B$11,Paramètres!$A$1:$I$89,7,0))</f>
        <v>0.25800000000000001</v>
      </c>
      <c r="BN91" s="17">
        <f>IF(ISNA(VLOOKUP(A91,'Données projet'!$A$87:$I$107,6,0)),0%,VLOOKUP(A91,'Données projet'!$A$87:$I$107,6,0)*VLOOKUP('Données projet'!$B$11,Paramètres!$A$1:$I$89,7,0))</f>
        <v>3.44E-2</v>
      </c>
      <c r="BO91" s="17">
        <f>IF(ISNA(VLOOKUP(A91,'Données projet'!$A$87:$I$107,7,0)),0%,VLOOKUP(A91,'Données projet'!$A$87:$I$107,7,0))</f>
        <v>0.12</v>
      </c>
      <c r="BP91" s="23">
        <f>EXP(-LN(2)/35)*BP90+(1-EXP(-LN(2)/35))/(LN(2)/35)*BL91*BM91*VLOOKUP('Données projet'!$B$11,Paramètres!$A$1:$I$89,3,0)*0.475*44/12</f>
        <v>21.476357011021939</v>
      </c>
      <c r="BQ91" s="23">
        <f>EXP(-LN(2)/25)*BQ90+(1-EXP(-LN(2)/25))/(LN(2)/25)*Calculateur!BL91*Calculateur!BN91*VLOOKUP('Données projet'!$B$11,Paramètres!$A$1:$I$89,3,0)*0.475*44/12</f>
        <v>3.3634679570079031</v>
      </c>
      <c r="BR91" s="23">
        <f>EXP(-LN(2)/2)*BR90+(1-EXP(-LN(2)/2))/(LN(2)/2)*BL91*BO91*VLOOKUP('Données projet'!$B$11,Paramètres!$A$1:$I$89,3,0)*0.475*44/12</f>
        <v>4.1661474220812043</v>
      </c>
      <c r="BS91" s="24">
        <f t="shared" si="63"/>
        <v>29.005972390111047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395.00000000000017</v>
      </c>
      <c r="O92" s="14">
        <f>N92*VLOOKUP('Données projet'!$B$9,Paramètres!$A$1:$I$89,3,0)*VLOOKUP('Données projet'!$B$9,Paramètres!$A$1:$I$89,5,0)</f>
        <v>236.21000000000009</v>
      </c>
      <c r="P92" s="14">
        <f t="shared" si="87"/>
        <v>57.62333963053878</v>
      </c>
      <c r="Q92" s="22">
        <f t="shared" si="54"/>
        <v>511.75973318985524</v>
      </c>
      <c r="R92" s="62">
        <f t="shared" si="55"/>
        <v>805.09306652318855</v>
      </c>
      <c r="S92" s="62">
        <f ca="1">AVERAGE(OFFSET($R$3,0,0,'Données projet'!$E$9+1,1))-AVERAGE(OFFSET($H$3,0,0,'Données projet'!$E$9+1,1))</f>
        <v>217.62295992724461</v>
      </c>
      <c r="T92" s="62">
        <f t="shared" si="88"/>
        <v>198.62788037979772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21.752379429125568</v>
      </c>
      <c r="AA92" s="23">
        <f>EXP(-LN(2)/25)*AA91+(1-EXP(-LN(2)/25))/(LN(2)/25)*Calculateur!V92*Calculateur!X92*VLOOKUP('Données projet'!$B$9,Paramètres!$A$1:$I$89,3,0)*0.475*44/12</f>
        <v>2.9525090722412726</v>
      </c>
      <c r="AB92" s="23">
        <f>EXP(-LN(2)/2)*AB91+(1-EXP(-LN(2)/2))/(LN(2)/2)*V92*Y92*VLOOKUP('Données projet'!$B$9,Paramètres!$A$1:$I$89,3,0)*0.475*44/12</f>
        <v>8.5895893504534239E-5</v>
      </c>
      <c r="AC92" s="24">
        <f t="shared" si="57"/>
        <v>24.704974397260347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491.63000000000028</v>
      </c>
      <c r="AJ92" s="14">
        <f>AI92*VLOOKUP('Données projet'!$B$10,Paramètres!$A$1:$I$89,3,0)*VLOOKUP('Données projet'!$B$10,Paramètres!$A$1:$I$89,5,0)</f>
        <v>230.08284000000015</v>
      </c>
      <c r="AK92" s="14">
        <f t="shared" si="89"/>
        <v>56.300593100518547</v>
      </c>
      <c r="AL92" s="22">
        <f t="shared" si="58"/>
        <v>498.78447931673668</v>
      </c>
      <c r="AM92" s="62">
        <f t="shared" si="59"/>
        <v>792.11781265006994</v>
      </c>
      <c r="AN92" s="62">
        <f ca="1">AVERAGE(OFFSET($AM$3,0,0,'Données projet'!$E$10+1,1))-AVERAGE(OFFSET($H$3,0,0,'Données projet'!$E$10+1,1))</f>
        <v>201.92726874818067</v>
      </c>
      <c r="AO92" s="62">
        <f t="shared" si="90"/>
        <v>197.16147791248727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67.200910393796292</v>
      </c>
      <c r="AV92" s="23">
        <f>EXP(-LN(2)/25)*AV91+(1-EXP(-LN(2)/25))/(LN(2)/25)*Calculateur!AQ92*Calculateur!AS92*VLOOKUP('Données projet'!$B$10,Paramètres!$A$1:$I$89,3,0)*0.475*44/12</f>
        <v>35.57036214209365</v>
      </c>
      <c r="AW92" s="23">
        <f>EXP(-LN(2)/2)*AW91+(1-EXP(-LN(2)/2))/(LN(2)/2)*AQ92*AT92*VLOOKUP('Données projet'!$B$10,Paramètres!$A$1:$I$89,3,0)*0.475*44/12</f>
        <v>1.2453142447466317</v>
      </c>
      <c r="AX92" s="23">
        <f t="shared" si="60"/>
        <v>104.01658678063659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5.8</v>
      </c>
      <c r="BD92" s="13">
        <f>IF('Données projet'!$A$88&gt;35,BD91+BC92-BL91,IF(A92&lt;'Données projet'!$A$88,$BA$205^A92,IF(A92='Données projet'!$A$88,'Données projet'!$B$88,BD91+BC92-BL91)))</f>
        <v>154.80000000000018</v>
      </c>
      <c r="BE92" s="14">
        <f>BD92*VLOOKUP('Données projet'!$B$11,Paramètres!$A$1:$I$89,3,0)*VLOOKUP('Données projet'!$B$11,Paramètres!$A$1:$I$89,5,0)</f>
        <v>156.96720000000019</v>
      </c>
      <c r="BF92" s="14">
        <f t="shared" si="91"/>
        <v>40.157698885918471</v>
      </c>
      <c r="BG92" s="22">
        <f t="shared" si="61"/>
        <v>343.32586555964167</v>
      </c>
      <c r="BH92" s="62">
        <f t="shared" si="62"/>
        <v>636.65919889297493</v>
      </c>
      <c r="BI92" s="62">
        <f ca="1">AVERAGE(OFFSET($BH$3,0,0,'Données projet'!$E$11+1,1))-AVERAGE(OFFSET($H$3,0,0,'Données projet'!$E$11+1,1))</f>
        <v>234.66244049825644</v>
      </c>
      <c r="BJ92" s="62">
        <f t="shared" si="92"/>
        <v>87.037318032671465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21.055218749320129</v>
      </c>
      <c r="BQ92" s="23">
        <f>EXP(-LN(2)/25)*BQ91+(1-EXP(-LN(2)/25))/(LN(2)/25)*Calculateur!BL92*Calculateur!BN92*VLOOKUP('Données projet'!$B$11,Paramètres!$A$1:$I$89,3,0)*0.475*44/12</f>
        <v>3.2714937488464293</v>
      </c>
      <c r="BR92" s="23">
        <f>EXP(-LN(2)/2)*BR91+(1-EXP(-LN(2)/2))/(LN(2)/2)*BL92*BO92*VLOOKUP('Données projet'!$B$11,Paramètres!$A$1:$I$89,3,0)*0.475*44/12</f>
        <v>2.9459110935764734</v>
      </c>
      <c r="BS92" s="24">
        <f t="shared" si="63"/>
        <v>27.272623591743031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395.00000000000017</v>
      </c>
      <c r="O93" s="14">
        <f>N93*VLOOKUP('Données projet'!$B$9,Paramètres!$A$1:$I$89,3,0)*VLOOKUP('Données projet'!$B$9,Paramètres!$A$1:$I$89,5,0)</f>
        <v>236.21000000000009</v>
      </c>
      <c r="P93" s="14">
        <f t="shared" si="87"/>
        <v>57.62333963053878</v>
      </c>
      <c r="Q93" s="22">
        <f t="shared" si="54"/>
        <v>511.75973318985524</v>
      </c>
      <c r="R93" s="62">
        <f t="shared" si="55"/>
        <v>805.09306652318855</v>
      </c>
      <c r="S93" s="62">
        <f ca="1">AVERAGE(OFFSET($R$3,0,0,'Données projet'!$E$9+1,1))-AVERAGE(OFFSET($H$3,0,0,'Données projet'!$E$9+1,1))</f>
        <v>217.62295992724461</v>
      </c>
      <c r="T93" s="62">
        <f t="shared" si="88"/>
        <v>198.62788037979772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21.325828536161797</v>
      </c>
      <c r="AA93" s="23">
        <f>EXP(-LN(2)/25)*AA92+(1-EXP(-LN(2)/25))/(LN(2)/25)*Calculateur!V93*Calculateur!X93*VLOOKUP('Données projet'!$B$9,Paramètres!$A$1:$I$89,3,0)*0.475*44/12</f>
        <v>2.8717725563951308</v>
      </c>
      <c r="AB93" s="23">
        <f>EXP(-LN(2)/2)*AB92+(1-EXP(-LN(2)/2))/(LN(2)/2)*V93*Y93*VLOOKUP('Données projet'!$B$9,Paramètres!$A$1:$I$89,3,0)*0.475*44/12</f>
        <v>6.0737568773133685E-5</v>
      </c>
      <c r="AC93" s="24">
        <f t="shared" si="57"/>
        <v>24.197661830125703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509.13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509.13000000000028</v>
      </c>
      <c r="AJ93" s="14">
        <f>AI93*VLOOKUP('Données projet'!$B$10,Paramètres!$A$1:$I$89,3,0)*VLOOKUP('Données projet'!$B$10,Paramètres!$A$1:$I$89,5,0)</f>
        <v>238.27284000000012</v>
      </c>
      <c r="AK93" s="14">
        <f t="shared" si="89"/>
        <v>58.067767533673489</v>
      </c>
      <c r="AL93" s="22">
        <f t="shared" si="58"/>
        <v>516.12655812114815</v>
      </c>
      <c r="AM93" s="62">
        <f t="shared" si="59"/>
        <v>809.45989145448152</v>
      </c>
      <c r="AN93" s="62">
        <f ca="1">AVERAGE(OFFSET($AM$3,0,0,'Données projet'!$E$10+1,1))-AVERAGE(OFFSET($H$3,0,0,'Données projet'!$E$10+1,1))</f>
        <v>201.92726874818067</v>
      </c>
      <c r="AO93" s="62">
        <f t="shared" si="90"/>
        <v>197.16147791248727</v>
      </c>
      <c r="AP93" s="16">
        <f>IF(ISNA(VLOOKUP(A93,'Données projet'!$A$61:$I$81,3,0)),0,VLOOKUP(A93,'Données projet'!$A$61:$I$81,3,0))</f>
        <v>9</v>
      </c>
      <c r="AQ93" s="16">
        <f>IF(ISNA(VLOOKUP(A93,'Données projet'!$A$61:$I$81,4,0)),0,VLOOKUP(A93,'Données projet'!$A$61:$I$81,4,0))</f>
        <v>152.74</v>
      </c>
      <c r="AR93" s="17">
        <f>IF(ISNA(VLOOKUP(A93,'Données projet'!$A$61:$I$81,5,0)),0%,VLOOKUP(A93,'Données projet'!$A$61:$I$81,5,0)*VLOOKUP('Données projet'!$B$10,Paramètres!$A$1:$I$89,7,0))</f>
        <v>0.27500000000000002</v>
      </c>
      <c r="AS93" s="17">
        <f>IF(ISNA(VLOOKUP(A93,'Données projet'!$A$61:$I$81,6,0)),0%,VLOOKUP(A93,'Données projet'!$A$61:$I$81,6,0)*VLOOKUP('Données projet'!$B$10,Paramètres!$A$1:$I$89,7,0))</f>
        <v>0.11000000000000001</v>
      </c>
      <c r="AT93" s="17">
        <f>IF(ISNA(VLOOKUP(A93,'Données projet'!$A$61:$I$81,7,0)),0%,VLOOKUP(A93,'Données projet'!$A$61:$I$81,7,0))</f>
        <v>0.3</v>
      </c>
      <c r="AU93" s="23">
        <f>EXP(-LN(2)/35)*AU92+(1-EXP(-LN(2)/35))/(LN(2)/35)*AQ93*AR93*VLOOKUP('Données projet'!$B$10,Paramètres!$A$1:$I$89,3,0)*0.475*44/12</f>
        <v>91.960265378179628</v>
      </c>
      <c r="AV93" s="23">
        <f>EXP(-LN(2)/25)*AV92+(1-EXP(-LN(2)/25))/(LN(2)/25)*Calculateur!AQ93*Calculateur!AS93*VLOOKUP('Données projet'!$B$10,Paramètres!$A$1:$I$89,3,0)*0.475*44/12</f>
        <v>44.987468029130902</v>
      </c>
      <c r="AW93" s="23">
        <f>EXP(-LN(2)/2)*AW92+(1-EXP(-LN(2)/2))/(LN(2)/2)*AQ93*AT93*VLOOKUP('Données projet'!$B$10,Paramètres!$A$1:$I$89,3,0)*0.475*44/12</f>
        <v>25.160947569005156</v>
      </c>
      <c r="AX93" s="23">
        <f t="shared" si="60"/>
        <v>162.10868097631567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5.8</v>
      </c>
      <c r="BD93" s="13">
        <f>IF('Données projet'!$A$88&gt;35,BD92+BC93-BL92,IF(A93&lt;'Données projet'!$A$88,$BA$205^A93,IF(A93='Données projet'!$A$88,'Données projet'!$B$88,BD92+BC93-BL92)))</f>
        <v>160.60000000000019</v>
      </c>
      <c r="BE93" s="14">
        <f>BD93*VLOOKUP('Données projet'!$B$11,Paramètres!$A$1:$I$89,3,0)*VLOOKUP('Données projet'!$B$11,Paramètres!$A$1:$I$89,5,0)</f>
        <v>162.8484000000002</v>
      </c>
      <c r="BF93" s="14">
        <f t="shared" si="91"/>
        <v>41.484318685312054</v>
      </c>
      <c r="BG93" s="22">
        <f t="shared" si="61"/>
        <v>355.87948504358548</v>
      </c>
      <c r="BH93" s="62">
        <f t="shared" si="62"/>
        <v>649.21281837691879</v>
      </c>
      <c r="BI93" s="62">
        <f ca="1">AVERAGE(OFFSET($BH$3,0,0,'Données projet'!$E$11+1,1))-AVERAGE(OFFSET($H$3,0,0,'Données projet'!$E$11+1,1))</f>
        <v>234.66244049825644</v>
      </c>
      <c r="BJ93" s="62">
        <f t="shared" si="92"/>
        <v>87.037318032671465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20.642338752061317</v>
      </c>
      <c r="BQ93" s="23">
        <f>EXP(-LN(2)/25)*BQ92+(1-EXP(-LN(2)/25))/(LN(2)/25)*Calculateur!BL93*Calculateur!BN93*VLOOKUP('Données projet'!$B$11,Paramètres!$A$1:$I$89,3,0)*0.475*44/12</f>
        <v>3.1820345802438443</v>
      </c>
      <c r="BR93" s="23">
        <f>EXP(-LN(2)/2)*BR92+(1-EXP(-LN(2)/2))/(LN(2)/2)*BL93*BO93*VLOOKUP('Données projet'!$B$11,Paramètres!$A$1:$I$89,3,0)*0.475*44/12</f>
        <v>2.0830737110406026</v>
      </c>
      <c r="BS93" s="24">
        <f t="shared" si="63"/>
        <v>25.907447043345762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395.00000000000017</v>
      </c>
      <c r="O94" s="14">
        <f>N94*VLOOKUP('Données projet'!$B$9,Paramètres!$A$1:$I$89,3,0)*VLOOKUP('Données projet'!$B$9,Paramètres!$A$1:$I$89,5,0)</f>
        <v>236.21000000000009</v>
      </c>
      <c r="P94" s="14">
        <f t="shared" si="87"/>
        <v>57.62333963053878</v>
      </c>
      <c r="Q94" s="22">
        <f t="shared" si="54"/>
        <v>511.75973318985524</v>
      </c>
      <c r="R94" s="62">
        <f t="shared" si="55"/>
        <v>805.09306652318855</v>
      </c>
      <c r="S94" s="62">
        <f ca="1">AVERAGE(OFFSET($R$3,0,0,'Données projet'!$E$9+1,1))-AVERAGE(OFFSET($H$3,0,0,'Données projet'!$E$9+1,1))</f>
        <v>217.62295992724461</v>
      </c>
      <c r="T94" s="62">
        <f t="shared" si="88"/>
        <v>198.62788037979772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20.907642046038692</v>
      </c>
      <c r="AA94" s="23">
        <f>EXP(-LN(2)/25)*AA93+(1-EXP(-LN(2)/25))/(LN(2)/25)*Calculateur!V94*Calculateur!X94*VLOOKUP('Données projet'!$B$9,Paramètres!$A$1:$I$89,3,0)*0.475*44/12</f>
        <v>2.7932437848205507</v>
      </c>
      <c r="AB94" s="23">
        <f>EXP(-LN(2)/2)*AB93+(1-EXP(-LN(2)/2))/(LN(2)/2)*V94*Y94*VLOOKUP('Données projet'!$B$9,Paramètres!$A$1:$I$89,3,0)*0.475*44/12</f>
        <v>4.2947946752267126E-5</v>
      </c>
      <c r="AC94" s="24">
        <f t="shared" si="57"/>
        <v>23.700928778805995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374.89000000000033</v>
      </c>
      <c r="AJ94" s="14">
        <f>AI94*VLOOKUP('Données projet'!$B$10,Paramètres!$A$1:$I$89,3,0)*VLOOKUP('Données projet'!$B$10,Paramètres!$A$1:$I$89,5,0)</f>
        <v>175.44852000000014</v>
      </c>
      <c r="AK94" s="14">
        <f t="shared" si="89"/>
        <v>44.308061291377733</v>
      </c>
      <c r="AL94" s="22">
        <f t="shared" si="58"/>
        <v>382.74271241581641</v>
      </c>
      <c r="AM94" s="62">
        <f t="shared" si="59"/>
        <v>676.07604574914967</v>
      </c>
      <c r="AN94" s="62">
        <f ca="1">AVERAGE(OFFSET($AM$3,0,0,'Données projet'!$E$10+1,1))-AVERAGE(OFFSET($H$3,0,0,'Données projet'!$E$10+1,1))</f>
        <v>201.92726874818067</v>
      </c>
      <c r="AO94" s="62">
        <f t="shared" si="90"/>
        <v>197.16147791248727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90.156980664336956</v>
      </c>
      <c r="AV94" s="23">
        <f>EXP(-LN(2)/25)*AV93+(1-EXP(-LN(2)/25))/(LN(2)/25)*Calculateur!AQ94*Calculateur!AS94*VLOOKUP('Données projet'!$B$10,Paramètres!$A$1:$I$89,3,0)*0.475*44/12</f>
        <v>43.757283350086198</v>
      </c>
      <c r="AW94" s="23">
        <f>EXP(-LN(2)/2)*AW93+(1-EXP(-LN(2)/2))/(LN(2)/2)*AQ94*AT94*VLOOKUP('Données projet'!$B$10,Paramètres!$A$1:$I$89,3,0)*0.475*44/12</f>
        <v>17.791476647122725</v>
      </c>
      <c r="AX94" s="23">
        <f t="shared" si="60"/>
        <v>151.70574066154589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5.8</v>
      </c>
      <c r="BD94" s="13">
        <f>IF('Données projet'!$A$88&gt;35,BD93+BC94-BL93,IF(A94&lt;'Données projet'!$A$88,$BA$205^A94,IF(A94='Données projet'!$A$88,'Données projet'!$B$88,BD93+BC94-BL93)))</f>
        <v>166.4000000000002</v>
      </c>
      <c r="BE94" s="14">
        <f>BD94*VLOOKUP('Données projet'!$B$11,Paramètres!$A$1:$I$89,3,0)*VLOOKUP('Données projet'!$B$11,Paramètres!$A$1:$I$89,5,0)</f>
        <v>168.72960000000023</v>
      </c>
      <c r="BF94" s="14">
        <f t="shared" si="91"/>
        <v>42.805372152385146</v>
      </c>
      <c r="BG94" s="22">
        <f t="shared" si="61"/>
        <v>368.42340983207117</v>
      </c>
      <c r="BH94" s="62">
        <f t="shared" si="62"/>
        <v>661.75674316540449</v>
      </c>
      <c r="BI94" s="62">
        <f ca="1">AVERAGE(OFFSET($BH$3,0,0,'Données projet'!$E$11+1,1))-AVERAGE(OFFSET($H$3,0,0,'Données projet'!$E$11+1,1))</f>
        <v>234.66244049825644</v>
      </c>
      <c r="BJ94" s="62">
        <f t="shared" si="92"/>
        <v>87.037318032671465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20.237555079716817</v>
      </c>
      <c r="BQ94" s="23">
        <f>EXP(-LN(2)/25)*BQ93+(1-EXP(-LN(2)/25))/(LN(2)/25)*Calculateur!BL94*Calculateur!BN94*VLOOKUP('Données projet'!$B$11,Paramètres!$A$1:$I$89,3,0)*0.475*44/12</f>
        <v>3.0950216773111503</v>
      </c>
      <c r="BR94" s="23">
        <f>EXP(-LN(2)/2)*BR93+(1-EXP(-LN(2)/2))/(LN(2)/2)*BL94*BO94*VLOOKUP('Données projet'!$B$11,Paramètres!$A$1:$I$89,3,0)*0.475*44/12</f>
        <v>1.4729555467882369</v>
      </c>
      <c r="BS94" s="24">
        <f t="shared" si="63"/>
        <v>24.805532303816204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395.00000000000017</v>
      </c>
      <c r="O95" s="14">
        <f>N95*VLOOKUP('Données projet'!$B$9,Paramètres!$A$1:$I$89,3,0)*VLOOKUP('Données projet'!$B$9,Paramètres!$A$1:$I$89,5,0)</f>
        <v>236.21000000000009</v>
      </c>
      <c r="P95" s="14">
        <f t="shared" si="87"/>
        <v>57.62333963053878</v>
      </c>
      <c r="Q95" s="22">
        <f t="shared" si="54"/>
        <v>511.75973318985524</v>
      </c>
      <c r="R95" s="62">
        <f t="shared" si="55"/>
        <v>805.09306652318855</v>
      </c>
      <c r="S95" s="62">
        <f ca="1">AVERAGE(OFFSET($R$3,0,0,'Données projet'!$E$9+1,1))-AVERAGE(OFFSET($H$3,0,0,'Données projet'!$E$9+1,1))</f>
        <v>217.62295992724461</v>
      </c>
      <c r="T95" s="62">
        <f t="shared" si="88"/>
        <v>198.62788037979772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20.497655937918328</v>
      </c>
      <c r="AA95" s="23">
        <f>EXP(-LN(2)/25)*AA94+(1-EXP(-LN(2)/25))/(LN(2)/25)*Calculateur!V95*Calculateur!X95*VLOOKUP('Données projet'!$B$9,Paramètres!$A$1:$I$89,3,0)*0.475*44/12</f>
        <v>2.7168623866343262</v>
      </c>
      <c r="AB95" s="23">
        <f>EXP(-LN(2)/2)*AB94+(1-EXP(-LN(2)/2))/(LN(2)/2)*V95*Y95*VLOOKUP('Données projet'!$B$9,Paramètres!$A$1:$I$89,3,0)*0.475*44/12</f>
        <v>3.0368784386566846E-5</v>
      </c>
      <c r="AC95" s="24">
        <f t="shared" si="57"/>
        <v>23.21454869333704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393.39000000000033</v>
      </c>
      <c r="AJ95" s="14">
        <f>AI95*VLOOKUP('Données projet'!$B$10,Paramètres!$A$1:$I$89,3,0)*VLOOKUP('Données projet'!$B$10,Paramètres!$A$1:$I$89,5,0)</f>
        <v>184.10652000000013</v>
      </c>
      <c r="AK95" s="14">
        <f t="shared" si="89"/>
        <v>46.234608296475862</v>
      </c>
      <c r="AL95" s="22">
        <f t="shared" si="58"/>
        <v>401.17746511636238</v>
      </c>
      <c r="AM95" s="62">
        <f t="shared" si="59"/>
        <v>694.5107984496957</v>
      </c>
      <c r="AN95" s="62">
        <f ca="1">AVERAGE(OFFSET($AM$3,0,0,'Données projet'!$E$10+1,1))-AVERAGE(OFFSET($H$3,0,0,'Données projet'!$E$10+1,1))</f>
        <v>201.92726874818067</v>
      </c>
      <c r="AO95" s="62">
        <f t="shared" si="90"/>
        <v>197.16147791248727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88.389057263837671</v>
      </c>
      <c r="AV95" s="23">
        <f>EXP(-LN(2)/25)*AV94+(1-EXP(-LN(2)/25))/(LN(2)/25)*Calculateur!AQ95*Calculateur!AS95*VLOOKUP('Données projet'!$B$10,Paramètres!$A$1:$I$89,3,0)*0.475*44/12</f>
        <v>42.560738135782564</v>
      </c>
      <c r="AW95" s="23">
        <f>EXP(-LN(2)/2)*AW94+(1-EXP(-LN(2)/2))/(LN(2)/2)*AQ95*AT95*VLOOKUP('Données projet'!$B$10,Paramètres!$A$1:$I$89,3,0)*0.475*44/12</f>
        <v>12.58047378450258</v>
      </c>
      <c r="AX95" s="23">
        <f t="shared" si="60"/>
        <v>143.5302691841228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5.8</v>
      </c>
      <c r="BD95" s="13">
        <f>IF('Données projet'!$A$88&gt;35,BD94+BC95-BL94,IF(A95&lt;'Données projet'!$A$88,$BA$205^A95,IF(A95='Données projet'!$A$88,'Données projet'!$B$88,BD94+BC95-BL94)))</f>
        <v>172.20000000000022</v>
      </c>
      <c r="BE95" s="14">
        <f>BD95*VLOOKUP('Données projet'!$B$11,Paramètres!$A$1:$I$89,3,0)*VLOOKUP('Données projet'!$B$11,Paramètres!$A$1:$I$89,5,0)</f>
        <v>174.61080000000024</v>
      </c>
      <c r="BF95" s="14">
        <f t="shared" si="91"/>
        <v>44.121075539920298</v>
      </c>
      <c r="BG95" s="22">
        <f t="shared" si="61"/>
        <v>380.95801656536156</v>
      </c>
      <c r="BH95" s="62">
        <f t="shared" si="62"/>
        <v>674.29134989869488</v>
      </c>
      <c r="BI95" s="62">
        <f ca="1">AVERAGE(OFFSET($BH$3,0,0,'Données projet'!$E$11+1,1))-AVERAGE(OFFSET($H$3,0,0,'Données projet'!$E$11+1,1))</f>
        <v>234.66244049825644</v>
      </c>
      <c r="BJ95" s="62">
        <f t="shared" si="92"/>
        <v>87.037318032671465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19.840708968293331</v>
      </c>
      <c r="BQ95" s="23">
        <f>EXP(-LN(2)/25)*BQ94+(1-EXP(-LN(2)/25))/(LN(2)/25)*Calculateur!BL95*Calculateur!BN95*VLOOKUP('Données projet'!$B$11,Paramètres!$A$1:$I$89,3,0)*0.475*44/12</f>
        <v>3.0103881467849605</v>
      </c>
      <c r="BR95" s="23">
        <f>EXP(-LN(2)/2)*BR94+(1-EXP(-LN(2)/2))/(LN(2)/2)*BL95*BO95*VLOOKUP('Données projet'!$B$11,Paramètres!$A$1:$I$89,3,0)*0.475*44/12</f>
        <v>1.0415368555203013</v>
      </c>
      <c r="BS95" s="24">
        <f t="shared" si="63"/>
        <v>23.892633970598595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395.00000000000017</v>
      </c>
      <c r="O96" s="14">
        <f>N96*VLOOKUP('Données projet'!$B$9,Paramètres!$A$1:$I$89,3,0)*VLOOKUP('Données projet'!$B$9,Paramètres!$A$1:$I$89,5,0)</f>
        <v>236.21000000000009</v>
      </c>
      <c r="P96" s="14">
        <f t="shared" si="87"/>
        <v>57.62333963053878</v>
      </c>
      <c r="Q96" s="22">
        <f t="shared" si="54"/>
        <v>511.75973318985524</v>
      </c>
      <c r="R96" s="62">
        <f t="shared" si="55"/>
        <v>805.09306652318855</v>
      </c>
      <c r="S96" s="62">
        <f ca="1">AVERAGE(OFFSET($R$3,0,0,'Données projet'!$E$9+1,1))-AVERAGE(OFFSET($H$3,0,0,'Données projet'!$E$9+1,1))</f>
        <v>217.62295992724461</v>
      </c>
      <c r="T96" s="62">
        <f t="shared" si="88"/>
        <v>198.62788037979772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20.095709407311368</v>
      </c>
      <c r="AA96" s="23">
        <f>EXP(-LN(2)/25)*AA95+(1-EXP(-LN(2)/25))/(LN(2)/25)*Calculateur!V96*Calculateur!X96*VLOOKUP('Données projet'!$B$9,Paramètres!$A$1:$I$89,3,0)*0.475*44/12</f>
        <v>2.642569641798227</v>
      </c>
      <c r="AB96" s="23">
        <f>EXP(-LN(2)/2)*AB95+(1-EXP(-LN(2)/2))/(LN(2)/2)*V96*Y96*VLOOKUP('Données projet'!$B$9,Paramètres!$A$1:$I$89,3,0)*0.475*44/12</f>
        <v>2.1473973376133567E-5</v>
      </c>
      <c r="AC96" s="24">
        <f t="shared" si="57"/>
        <v>22.73830052308297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411.89000000000033</v>
      </c>
      <c r="AJ96" s="14">
        <f>AI96*VLOOKUP('Données projet'!$B$10,Paramètres!$A$1:$I$89,3,0)*VLOOKUP('Données projet'!$B$10,Paramètres!$A$1:$I$89,5,0)</f>
        <v>192.76452000000015</v>
      </c>
      <c r="AK96" s="14">
        <f t="shared" si="89"/>
        <v>48.15063418229721</v>
      </c>
      <c r="AL96" s="22">
        <f t="shared" si="58"/>
        <v>419.59389353416788</v>
      </c>
      <c r="AM96" s="62">
        <f t="shared" si="59"/>
        <v>712.92722686750119</v>
      </c>
      <c r="AN96" s="62">
        <f ca="1">AVERAGE(OFFSET($AM$3,0,0,'Données projet'!$E$10+1,1))-AVERAGE(OFFSET($H$3,0,0,'Données projet'!$E$10+1,1))</f>
        <v>201.92726874818067</v>
      </c>
      <c r="AO96" s="62">
        <f t="shared" si="90"/>
        <v>197.16147791248727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86.655801762895379</v>
      </c>
      <c r="AV96" s="23">
        <f>EXP(-LN(2)/25)*AV95+(1-EXP(-LN(2)/25))/(LN(2)/25)*Calculateur!AQ96*Calculateur!AS96*VLOOKUP('Données projet'!$B$10,Paramètres!$A$1:$I$89,3,0)*0.475*44/12</f>
        <v>41.396912513287646</v>
      </c>
      <c r="AW96" s="23">
        <f>EXP(-LN(2)/2)*AW95+(1-EXP(-LN(2)/2))/(LN(2)/2)*AQ96*AT96*VLOOKUP('Données projet'!$B$10,Paramètres!$A$1:$I$89,3,0)*0.475*44/12</f>
        <v>8.8957383235613641</v>
      </c>
      <c r="AX96" s="23">
        <f t="shared" si="60"/>
        <v>136.9484525997444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5.8</v>
      </c>
      <c r="BD96" s="13">
        <f>IF('Données projet'!$A$88&gt;35,BD95+BC96-BL95,IF(A96&lt;'Données projet'!$A$88,$BA$205^A96,IF(A96='Données projet'!$A$88,'Données projet'!$B$88,BD95+BC96-BL95)))</f>
        <v>178.00000000000023</v>
      </c>
      <c r="BE96" s="14">
        <f>BD96*VLOOKUP('Données projet'!$B$11,Paramètres!$A$1:$I$89,3,0)*VLOOKUP('Données projet'!$B$11,Paramètres!$A$1:$I$89,5,0)</f>
        <v>180.49200000000025</v>
      </c>
      <c r="BF96" s="14">
        <f t="shared" si="91"/>
        <v>45.431629706642696</v>
      </c>
      <c r="BG96" s="22">
        <f t="shared" si="61"/>
        <v>393.48365507240305</v>
      </c>
      <c r="BH96" s="62">
        <f t="shared" si="62"/>
        <v>686.81698840573631</v>
      </c>
      <c r="BI96" s="62">
        <f ca="1">AVERAGE(OFFSET($BH$3,0,0,'Données projet'!$E$11+1,1))-AVERAGE(OFFSET($H$3,0,0,'Données projet'!$E$11+1,1))</f>
        <v>234.66244049825644</v>
      </c>
      <c r="BJ96" s="62">
        <f t="shared" si="92"/>
        <v>87.037318032671465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19.451644767062632</v>
      </c>
      <c r="BQ96" s="23">
        <f>EXP(-LN(2)/25)*BQ95+(1-EXP(-LN(2)/25))/(LN(2)/25)*Calculateur!BL96*Calculateur!BN96*VLOOKUP('Données projet'!$B$11,Paramètres!$A$1:$I$89,3,0)*0.475*44/12</f>
        <v>2.9280689246016935</v>
      </c>
      <c r="BR96" s="23">
        <f>EXP(-LN(2)/2)*BR95+(1-EXP(-LN(2)/2))/(LN(2)/2)*BL96*BO96*VLOOKUP('Données projet'!$B$11,Paramètres!$A$1:$I$89,3,0)*0.475*44/12</f>
        <v>0.73647777339411846</v>
      </c>
      <c r="BS96" s="24">
        <f t="shared" si="63"/>
        <v>23.116191465058442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395.00000000000017</v>
      </c>
      <c r="O97" s="14">
        <f>N97*VLOOKUP('Données projet'!$B$9,Paramètres!$A$1:$I$89,3,0)*VLOOKUP('Données projet'!$B$9,Paramètres!$A$1:$I$89,5,0)</f>
        <v>236.21000000000009</v>
      </c>
      <c r="P97" s="14">
        <f t="shared" si="87"/>
        <v>57.62333963053878</v>
      </c>
      <c r="Q97" s="22">
        <f t="shared" si="54"/>
        <v>511.75973318985524</v>
      </c>
      <c r="R97" s="62">
        <f t="shared" si="55"/>
        <v>805.09306652318855</v>
      </c>
      <c r="S97" s="62">
        <f ca="1">AVERAGE(OFFSET($R$3,0,0,'Données projet'!$E$9+1,1))-AVERAGE(OFFSET($H$3,0,0,'Données projet'!$E$9+1,1))</f>
        <v>217.62295992724461</v>
      </c>
      <c r="T97" s="62">
        <f t="shared" si="88"/>
        <v>198.62788037979772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19.701644803006435</v>
      </c>
      <c r="AA97" s="23">
        <f>EXP(-LN(2)/25)*AA96+(1-EXP(-LN(2)/25))/(LN(2)/25)*Calculateur!V97*Calculateur!X97*VLOOKUP('Données projet'!$B$9,Paramètres!$A$1:$I$89,3,0)*0.475*44/12</f>
        <v>2.5703084359765564</v>
      </c>
      <c r="AB97" s="23">
        <f>EXP(-LN(2)/2)*AB96+(1-EXP(-LN(2)/2))/(LN(2)/2)*V97*Y97*VLOOKUP('Données projet'!$B$9,Paramètres!$A$1:$I$89,3,0)*0.475*44/12</f>
        <v>1.5184392193283426E-5</v>
      </c>
      <c r="AC97" s="24">
        <f t="shared" si="57"/>
        <v>22.271968423375185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430.39000000000033</v>
      </c>
      <c r="AJ97" s="14">
        <f>AI97*VLOOKUP('Données projet'!$B$10,Paramètres!$A$1:$I$89,3,0)*VLOOKUP('Données projet'!$B$10,Paramètres!$A$1:$I$89,5,0)</f>
        <v>201.42252000000016</v>
      </c>
      <c r="AK97" s="14">
        <f t="shared" si="89"/>
        <v>50.056665494318437</v>
      </c>
      <c r="AL97" s="22">
        <f t="shared" si="58"/>
        <v>437.9929147359382</v>
      </c>
      <c r="AM97" s="62">
        <f t="shared" si="59"/>
        <v>731.32624806927151</v>
      </c>
      <c r="AN97" s="62">
        <f ca="1">AVERAGE(OFFSET($AM$3,0,0,'Données projet'!$E$10+1,1))-AVERAGE(OFFSET($H$3,0,0,'Données projet'!$E$10+1,1))</f>
        <v>201.92726874818067</v>
      </c>
      <c r="AO97" s="62">
        <f t="shared" si="90"/>
        <v>197.16147791248727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84.956534345145101</v>
      </c>
      <c r="AV97" s="23">
        <f>EXP(-LN(2)/25)*AV96+(1-EXP(-LN(2)/25))/(LN(2)/25)*Calculateur!AQ97*Calculateur!AS97*VLOOKUP('Données projet'!$B$10,Paramètres!$A$1:$I$89,3,0)*0.475*44/12</f>
        <v>40.264911763642779</v>
      </c>
      <c r="AW97" s="23">
        <f>EXP(-LN(2)/2)*AW96+(1-EXP(-LN(2)/2))/(LN(2)/2)*AQ97*AT97*VLOOKUP('Données projet'!$B$10,Paramètres!$A$1:$I$89,3,0)*0.475*44/12</f>
        <v>6.2902368922512908</v>
      </c>
      <c r="AX97" s="23">
        <f t="shared" si="60"/>
        <v>131.51168300103919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5.8</v>
      </c>
      <c r="BD97" s="13">
        <f>IF('Données projet'!$A$88&gt;35,BD96+BC97-BL96,IF(A97&lt;'Données projet'!$A$88,$BA$205^A97,IF(A97='Données projet'!$A$88,'Données projet'!$B$88,BD96+BC97-BL96)))</f>
        <v>183.80000000000024</v>
      </c>
      <c r="BE97" s="14">
        <f>BD97*VLOOKUP('Données projet'!$B$11,Paramètres!$A$1:$I$89,3,0)*VLOOKUP('Données projet'!$B$11,Paramètres!$A$1:$I$89,5,0)</f>
        <v>186.37320000000025</v>
      </c>
      <c r="BF97" s="14">
        <f t="shared" si="91"/>
        <v>46.737221678586387</v>
      </c>
      <c r="BG97" s="22">
        <f t="shared" si="61"/>
        <v>406.00065109020511</v>
      </c>
      <c r="BH97" s="62">
        <f t="shared" si="62"/>
        <v>699.33398442353837</v>
      </c>
      <c r="BI97" s="62">
        <f ca="1">AVERAGE(OFFSET($BH$3,0,0,'Données projet'!$E$11+1,1))-AVERAGE(OFFSET($H$3,0,0,'Données projet'!$E$11+1,1))</f>
        <v>234.66244049825644</v>
      </c>
      <c r="BJ97" s="62">
        <f t="shared" si="92"/>
        <v>87.037318032671465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19.070209877512337</v>
      </c>
      <c r="BQ97" s="23">
        <f>EXP(-LN(2)/25)*BQ96+(1-EXP(-LN(2)/25))/(LN(2)/25)*Calculateur!BL97*Calculateur!BN97*VLOOKUP('Données projet'!$B$11,Paramètres!$A$1:$I$89,3,0)*0.475*44/12</f>
        <v>2.8480007258780078</v>
      </c>
      <c r="BR97" s="23">
        <f>EXP(-LN(2)/2)*BR96+(1-EXP(-LN(2)/2))/(LN(2)/2)*BL97*BO97*VLOOKUP('Données projet'!$B$11,Paramètres!$A$1:$I$89,3,0)*0.475*44/12</f>
        <v>0.52076842776015064</v>
      </c>
      <c r="BS97" s="24">
        <f t="shared" si="63"/>
        <v>22.438979031150495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395.00000000000017</v>
      </c>
      <c r="O98" s="14">
        <f>N98*VLOOKUP('Données projet'!$B$9,Paramètres!$A$1:$I$89,3,0)*VLOOKUP('Données projet'!$B$9,Paramètres!$A$1:$I$89,5,0)</f>
        <v>236.21000000000009</v>
      </c>
      <c r="P98" s="14">
        <f t="shared" si="87"/>
        <v>57.62333963053878</v>
      </c>
      <c r="Q98" s="22">
        <f t="shared" si="54"/>
        <v>511.75973318985524</v>
      </c>
      <c r="R98" s="62">
        <f t="shared" si="55"/>
        <v>805.09306652318855</v>
      </c>
      <c r="S98" s="62">
        <f ca="1">AVERAGE(OFFSET($R$3,0,0,'Données projet'!$E$9+1,1))-AVERAGE(OFFSET($H$3,0,0,'Données projet'!$E$9+1,1))</f>
        <v>217.62295992724461</v>
      </c>
      <c r="T98" s="62">
        <f t="shared" si="88"/>
        <v>198.62788037979772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19.315307565236246</v>
      </c>
      <c r="AA98" s="23">
        <f>EXP(-LN(2)/25)*AA97+(1-EXP(-LN(2)/25))/(LN(2)/25)*Calculateur!V98*Calculateur!X98*VLOOKUP('Données projet'!$B$9,Paramètres!$A$1:$I$89,3,0)*0.475*44/12</f>
        <v>2.5000232166281315</v>
      </c>
      <c r="AB98" s="23">
        <f>EXP(-LN(2)/2)*AB97+(1-EXP(-LN(2)/2))/(LN(2)/2)*V98*Y98*VLOOKUP('Données projet'!$B$9,Paramètres!$A$1:$I$89,3,0)*0.475*44/12</f>
        <v>1.0736986688066785E-5</v>
      </c>
      <c r="AC98" s="24">
        <f t="shared" si="57"/>
        <v>21.815341518851067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448.89000000000033</v>
      </c>
      <c r="AJ98" s="14">
        <f>AI98*VLOOKUP('Données projet'!$B$10,Paramètres!$A$1:$I$89,3,0)*VLOOKUP('Données projet'!$B$10,Paramètres!$A$1:$I$89,5,0)</f>
        <v>210.08052000000018</v>
      </c>
      <c r="AK98" s="14">
        <f t="shared" si="89"/>
        <v>51.953180951554288</v>
      </c>
      <c r="AL98" s="22">
        <f t="shared" si="58"/>
        <v>456.37536249062396</v>
      </c>
      <c r="AM98" s="62">
        <f t="shared" si="59"/>
        <v>749.70869582395721</v>
      </c>
      <c r="AN98" s="62">
        <f ca="1">AVERAGE(OFFSET($AM$3,0,0,'Données projet'!$E$10+1,1))-AVERAGE(OFFSET($H$3,0,0,'Données projet'!$E$10+1,1))</f>
        <v>201.92726874818067</v>
      </c>
      <c r="AO98" s="62">
        <f t="shared" si="90"/>
        <v>197.16147791248727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83.290588525006115</v>
      </c>
      <c r="AV98" s="23">
        <f>EXP(-LN(2)/25)*AV97+(1-EXP(-LN(2)/25))/(LN(2)/25)*Calculateur!AQ98*Calculateur!AS98*VLOOKUP('Données projet'!$B$10,Paramètres!$A$1:$I$89,3,0)*0.475*44/12</f>
        <v>39.163865634026287</v>
      </c>
      <c r="AW98" s="23">
        <f>EXP(-LN(2)/2)*AW97+(1-EXP(-LN(2)/2))/(LN(2)/2)*AQ98*AT98*VLOOKUP('Données projet'!$B$10,Paramètres!$A$1:$I$89,3,0)*0.475*44/12</f>
        <v>4.4478691617806829</v>
      </c>
      <c r="AX98" s="23">
        <f t="shared" si="60"/>
        <v>126.90232332081308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5.8</v>
      </c>
      <c r="BD98" s="13">
        <f>IF('Données projet'!$A$88&gt;35,BD97+BC98-BL97,IF(A98&lt;'Données projet'!$A$88,$BA$205^A98,IF(A98='Données projet'!$A$88,'Données projet'!$B$88,BD97+BC98-BL97)))</f>
        <v>189.60000000000025</v>
      </c>
      <c r="BE98" s="14">
        <f>BD98*VLOOKUP('Données projet'!$B$11,Paramètres!$A$1:$I$89,3,0)*VLOOKUP('Données projet'!$B$11,Paramètres!$A$1:$I$89,5,0)</f>
        <v>192.25440000000026</v>
      </c>
      <c r="BF98" s="14">
        <f t="shared" si="91"/>
        <v>48.038026007842475</v>
      </c>
      <c r="BG98" s="22">
        <f t="shared" si="61"/>
        <v>418.50930863032607</v>
      </c>
      <c r="BH98" s="62">
        <f t="shared" si="62"/>
        <v>711.84264196365939</v>
      </c>
      <c r="BI98" s="62">
        <f ca="1">AVERAGE(OFFSET($BH$3,0,0,'Données projet'!$E$11+1,1))-AVERAGE(OFFSET($H$3,0,0,'Données projet'!$E$11+1,1))</f>
        <v>234.66244049825644</v>
      </c>
      <c r="BJ98" s="62">
        <f t="shared" si="92"/>
        <v>87.037318032671465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18.696254693493813</v>
      </c>
      <c r="BQ98" s="23">
        <f>EXP(-LN(2)/25)*BQ97+(1-EXP(-LN(2)/25))/(LN(2)/25)*Calculateur!BL98*Calculateur!BN98*VLOOKUP('Données projet'!$B$11,Paramètres!$A$1:$I$89,3,0)*0.475*44/12</f>
        <v>2.7701219962590247</v>
      </c>
      <c r="BR98" s="23">
        <f>EXP(-LN(2)/2)*BR97+(1-EXP(-LN(2)/2))/(LN(2)/2)*BL98*BO98*VLOOKUP('Données projet'!$B$11,Paramètres!$A$1:$I$89,3,0)*0.475*44/12</f>
        <v>0.36823888669705923</v>
      </c>
      <c r="BS98" s="24">
        <f t="shared" si="63"/>
        <v>21.834615576449899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395.00000000000017</v>
      </c>
      <c r="O99" s="14">
        <f>N99*VLOOKUP('Données projet'!$B$9,Paramètres!$A$1:$I$89,3,0)*VLOOKUP('Données projet'!$B$9,Paramètres!$A$1:$I$89,5,0)</f>
        <v>236.21000000000009</v>
      </c>
      <c r="P99" s="14">
        <f t="shared" si="87"/>
        <v>57.62333963053878</v>
      </c>
      <c r="Q99" s="22">
        <f t="shared" ref="Q99:Q130" si="107">(O99+P99)*0.475*44/12</f>
        <v>511.75973318985524</v>
      </c>
      <c r="R99" s="62">
        <f t="shared" si="55"/>
        <v>805.09306652318855</v>
      </c>
      <c r="S99" s="62">
        <f ca="1">AVERAGE(OFFSET($R$3,0,0,'Données projet'!$E$9+1,1))-AVERAGE(OFFSET($H$3,0,0,'Données projet'!$E$9+1,1))</f>
        <v>217.62295992724461</v>
      </c>
      <c r="T99" s="62">
        <f t="shared" si="88"/>
        <v>198.62788037979772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18.936546165056285</v>
      </c>
      <c r="AA99" s="23">
        <f>EXP(-LN(2)/25)*AA98+(1-EXP(-LN(2)/25))/(LN(2)/25)*Calculateur!V99*Calculateur!X99*VLOOKUP('Données projet'!$B$9,Paramètres!$A$1:$I$89,3,0)*0.475*44/12</f>
        <v>2.4316599502989282</v>
      </c>
      <c r="AB99" s="23">
        <f>EXP(-LN(2)/2)*AB98+(1-EXP(-LN(2)/2))/(LN(2)/2)*V99*Y99*VLOOKUP('Données projet'!$B$9,Paramètres!$A$1:$I$89,3,0)*0.475*44/12</f>
        <v>7.592196096641714E-6</v>
      </c>
      <c r="AC99" s="24">
        <f t="shared" si="57"/>
        <v>21.368213707551309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467.39000000000033</v>
      </c>
      <c r="AJ99" s="14">
        <f>AI99*VLOOKUP('Données projet'!$B$10,Paramètres!$A$1:$I$89,3,0)*VLOOKUP('Données projet'!$B$10,Paramètres!$A$1:$I$89,5,0)</f>
        <v>218.73852000000016</v>
      </c>
      <c r="AK99" s="14">
        <f t="shared" si="89"/>
        <v>53.840617581655792</v>
      </c>
      <c r="AL99" s="22">
        <f t="shared" si="58"/>
        <v>474.74199795471742</v>
      </c>
      <c r="AM99" s="62">
        <f t="shared" si="59"/>
        <v>768.07533128805073</v>
      </c>
      <c r="AN99" s="62">
        <f ca="1">AVERAGE(OFFSET($AM$3,0,0,'Données projet'!$E$10+1,1))-AVERAGE(OFFSET($H$3,0,0,'Données projet'!$E$10+1,1))</f>
        <v>201.92726874818067</v>
      </c>
      <c r="AO99" s="62">
        <f t="shared" si="90"/>
        <v>197.16147791248727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81.657310886273436</v>
      </c>
      <c r="AV99" s="23">
        <f>EXP(-LN(2)/25)*AV98+(1-EXP(-LN(2)/25))/(LN(2)/25)*Calculateur!AQ99*Calculateur!AS99*VLOOKUP('Données projet'!$B$10,Paramètres!$A$1:$I$89,3,0)*0.475*44/12</f>
        <v>38.092927668725657</v>
      </c>
      <c r="AW99" s="23">
        <f>EXP(-LN(2)/2)*AW98+(1-EXP(-LN(2)/2))/(LN(2)/2)*AQ99*AT99*VLOOKUP('Données projet'!$B$10,Paramètres!$A$1:$I$89,3,0)*0.475*44/12</f>
        <v>3.1451184461256463</v>
      </c>
      <c r="AX99" s="23">
        <f t="shared" si="60"/>
        <v>122.89535700112475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195.40000000000026</v>
      </c>
      <c r="BE99" s="14">
        <f>BD99*VLOOKUP('Données projet'!$B$11,Paramètres!$A$1:$I$89,3,0)*VLOOKUP('Données projet'!$B$11,Paramètres!$A$1:$I$89,5,0)</f>
        <v>198.13560000000027</v>
      </c>
      <c r="BF99" s="14">
        <f t="shared" si="91"/>
        <v>49.334205960375286</v>
      </c>
      <c r="BG99" s="22">
        <f t="shared" si="61"/>
        <v>431.00991204765404</v>
      </c>
      <c r="BH99" s="62">
        <f t="shared" si="62"/>
        <v>724.34324538098736</v>
      </c>
      <c r="BI99" s="62">
        <f ca="1">AVERAGE(OFFSET($BH$3,0,0,'Données projet'!$E$11+1,1))-AVERAGE(OFFSET($H$3,0,0,'Données projet'!$E$11+1,1))</f>
        <v>234.66244049825644</v>
      </c>
      <c r="BJ99" s="62">
        <f t="shared" si="92"/>
        <v>87.037318032671465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18.329632542543752</v>
      </c>
      <c r="BQ99" s="23">
        <f>EXP(-LN(2)/25)*BQ98+(1-EXP(-LN(2)/25))/(LN(2)/25)*Calculateur!BL99*Calculateur!BN99*VLOOKUP('Données projet'!$B$11,Paramètres!$A$1:$I$89,3,0)*0.475*44/12</f>
        <v>2.6943728645969371</v>
      </c>
      <c r="BR99" s="23">
        <f>EXP(-LN(2)/2)*BR98+(1-EXP(-LN(2)/2))/(LN(2)/2)*BL99*BO99*VLOOKUP('Données projet'!$B$11,Paramètres!$A$1:$I$89,3,0)*0.475*44/12</f>
        <v>0.26038421388007532</v>
      </c>
      <c r="BS99" s="24">
        <f t="shared" si="63"/>
        <v>21.284389621020765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395.00000000000017</v>
      </c>
      <c r="O100" s="14">
        <f>N100*VLOOKUP('Données projet'!$B$9,Paramètres!$A$1:$I$89,3,0)*VLOOKUP('Données projet'!$B$9,Paramètres!$A$1:$I$89,5,0)</f>
        <v>236.21000000000009</v>
      </c>
      <c r="P100" s="14">
        <f t="shared" si="87"/>
        <v>57.62333963053878</v>
      </c>
      <c r="Q100" s="22">
        <f t="shared" si="107"/>
        <v>511.75973318985524</v>
      </c>
      <c r="R100" s="62">
        <f t="shared" si="55"/>
        <v>805.09306652318855</v>
      </c>
      <c r="S100" s="62">
        <f ca="1">AVERAGE(OFFSET($R$3,0,0,'Données projet'!$E$9+1,1))-AVERAGE(OFFSET($H$3,0,0,'Données projet'!$E$9+1,1))</f>
        <v>217.62295992724461</v>
      </c>
      <c r="T100" s="62">
        <f t="shared" si="88"/>
        <v>198.62788037979772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18.565212044912208</v>
      </c>
      <c r="AA100" s="23">
        <f>EXP(-LN(2)/25)*AA99+(1-EXP(-LN(2)/25))/(LN(2)/25)*Calculateur!V100*Calculateur!X100*VLOOKUP('Données projet'!$B$9,Paramètres!$A$1:$I$89,3,0)*0.475*44/12</f>
        <v>2.365166081082565</v>
      </c>
      <c r="AB100" s="23">
        <f>EXP(-LN(2)/2)*AB99+(1-EXP(-LN(2)/2))/(LN(2)/2)*V100*Y100*VLOOKUP('Données projet'!$B$9,Paramètres!$A$1:$I$89,3,0)*0.475*44/12</f>
        <v>5.3684933440333934E-6</v>
      </c>
      <c r="AC100" s="24">
        <f t="shared" si="57"/>
        <v>20.930383494488115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485.89000000000033</v>
      </c>
      <c r="AJ100" s="14">
        <f>AI100*VLOOKUP('Données projet'!$B$10,Paramètres!$A$1:$I$89,3,0)*VLOOKUP('Données projet'!$B$10,Paramètres!$A$1:$I$89,5,0)</f>
        <v>227.39652000000015</v>
      </c>
      <c r="AK100" s="14">
        <f t="shared" si="89"/>
        <v>55.719375857326071</v>
      </c>
      <c r="AL100" s="22">
        <f t="shared" si="58"/>
        <v>493.0935186181764</v>
      </c>
      <c r="AM100" s="62">
        <f t="shared" si="59"/>
        <v>786.42685195150966</v>
      </c>
      <c r="AN100" s="62">
        <f ca="1">AVERAGE(OFFSET($AM$3,0,0,'Données projet'!$E$10+1,1))-AVERAGE(OFFSET($H$3,0,0,'Données projet'!$E$10+1,1))</f>
        <v>201.92726874818067</v>
      </c>
      <c r="AO100" s="62">
        <f t="shared" si="90"/>
        <v>197.16147791248727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80.056060825835317</v>
      </c>
      <c r="AV100" s="23">
        <f>EXP(-LN(2)/25)*AV99+(1-EXP(-LN(2)/25))/(LN(2)/25)*Calculateur!AQ100*Calculateur!AS100*VLOOKUP('Données projet'!$B$10,Paramètres!$A$1:$I$89,3,0)*0.475*44/12</f>
        <v>37.051274558404351</v>
      </c>
      <c r="AW100" s="23">
        <f>EXP(-LN(2)/2)*AW99+(1-EXP(-LN(2)/2))/(LN(2)/2)*AQ100*AT100*VLOOKUP('Données projet'!$B$10,Paramètres!$A$1:$I$89,3,0)*0.475*44/12</f>
        <v>2.2239345808903419</v>
      </c>
      <c r="AX100" s="23">
        <f t="shared" si="60"/>
        <v>119.33126996513001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201.20000000000027</v>
      </c>
      <c r="BE100" s="14">
        <f>BD100*VLOOKUP('Données projet'!$B$11,Paramètres!$A$1:$I$89,3,0)*VLOOKUP('Données projet'!$B$11,Paramètres!$A$1:$I$89,5,0)</f>
        <v>204.01680000000027</v>
      </c>
      <c r="BF100" s="14">
        <f t="shared" si="91"/>
        <v>50.625914558846034</v>
      </c>
      <c r="BG100" s="22">
        <f t="shared" si="61"/>
        <v>443.50272785665726</v>
      </c>
      <c r="BH100" s="62">
        <f t="shared" si="62"/>
        <v>736.83606118999057</v>
      </c>
      <c r="BI100" s="62">
        <f ca="1">AVERAGE(OFFSET($BH$3,0,0,'Données projet'!$E$11+1,1))-AVERAGE(OFFSET($H$3,0,0,'Données projet'!$E$11+1,1))</f>
        <v>234.66244049825644</v>
      </c>
      <c r="BJ100" s="62">
        <f t="shared" si="92"/>
        <v>87.037318032671465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17.97019962835639</v>
      </c>
      <c r="BQ100" s="23">
        <f>EXP(-LN(2)/25)*BQ99+(1-EXP(-LN(2)/25))/(LN(2)/25)*Calculateur!BL100*Calculateur!BN100*VLOOKUP('Données projet'!$B$11,Paramètres!$A$1:$I$89,3,0)*0.475*44/12</f>
        <v>2.6206950969236229</v>
      </c>
      <c r="BR100" s="23">
        <f>EXP(-LN(2)/2)*BR99+(1-EXP(-LN(2)/2))/(LN(2)/2)*BL100*BO100*VLOOKUP('Données projet'!$B$11,Paramètres!$A$1:$I$89,3,0)*0.475*44/12</f>
        <v>0.18411944334852962</v>
      </c>
      <c r="BS100" s="24">
        <f t="shared" si="63"/>
        <v>20.775014168628541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395.00000000000017</v>
      </c>
      <c r="O101" s="14">
        <f>N101*VLOOKUP('Données projet'!$B$9,Paramètres!$A$1:$I$89,3,0)*VLOOKUP('Données projet'!$B$9,Paramètres!$A$1:$I$89,5,0)</f>
        <v>236.21000000000009</v>
      </c>
      <c r="P101" s="14">
        <f t="shared" si="87"/>
        <v>57.62333963053878</v>
      </c>
      <c r="Q101" s="22">
        <f t="shared" si="107"/>
        <v>511.75973318985524</v>
      </c>
      <c r="R101" s="62">
        <f t="shared" si="55"/>
        <v>805.09306652318855</v>
      </c>
      <c r="S101" s="62">
        <f ca="1">AVERAGE(OFFSET($R$3,0,0,'Données projet'!$E$9+1,1))-AVERAGE(OFFSET($H$3,0,0,'Données projet'!$E$9+1,1))</f>
        <v>217.62295992724461</v>
      </c>
      <c r="T101" s="62">
        <f t="shared" si="88"/>
        <v>198.62788037979772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18.201159560372709</v>
      </c>
      <c r="AA101" s="23">
        <f>EXP(-LN(2)/25)*AA100+(1-EXP(-LN(2)/25))/(LN(2)/25)*Calculateur!V101*Calculateur!X101*VLOOKUP('Données projet'!$B$9,Paramètres!$A$1:$I$89,3,0)*0.475*44/12</f>
        <v>2.3004904902166836</v>
      </c>
      <c r="AB101" s="23">
        <f>EXP(-LN(2)/2)*AB100+(1-EXP(-LN(2)/2))/(LN(2)/2)*V101*Y101*VLOOKUP('Données projet'!$B$9,Paramètres!$A$1:$I$89,3,0)*0.475*44/12</f>
        <v>3.7960980483208579E-6</v>
      </c>
      <c r="AC101" s="24">
        <f t="shared" si="57"/>
        <v>20.501653846687443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504.39000000000033</v>
      </c>
      <c r="AJ101" s="14">
        <f>AI101*VLOOKUP('Données projet'!$B$10,Paramètres!$A$1:$I$89,3,0)*VLOOKUP('Données projet'!$B$10,Paramètres!$A$1:$I$89,5,0)</f>
        <v>236.05452000000014</v>
      </c>
      <c r="AK101" s="14">
        <f t="shared" si="89"/>
        <v>57.589824028472229</v>
      </c>
      <c r="AL101" s="22">
        <f t="shared" si="58"/>
        <v>511.43056584958936</v>
      </c>
      <c r="AM101" s="62">
        <f t="shared" si="59"/>
        <v>804.76389918292261</v>
      </c>
      <c r="AN101" s="62">
        <f ca="1">AVERAGE(OFFSET($AM$3,0,0,'Données projet'!$E$10+1,1))-AVERAGE(OFFSET($H$3,0,0,'Données projet'!$E$10+1,1))</f>
        <v>201.92726874818067</v>
      </c>
      <c r="AO101" s="62">
        <f t="shared" si="90"/>
        <v>197.16147791248727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78.486210302416296</v>
      </c>
      <c r="AV101" s="23">
        <f>EXP(-LN(2)/25)*AV100+(1-EXP(-LN(2)/25))/(LN(2)/25)*Calculateur!AQ101*Calculateur!AS101*VLOOKUP('Données projet'!$B$10,Paramètres!$A$1:$I$89,3,0)*0.475*44/12</f>
        <v>36.038105507162939</v>
      </c>
      <c r="AW101" s="23">
        <f>EXP(-LN(2)/2)*AW100+(1-EXP(-LN(2)/2))/(LN(2)/2)*AQ101*AT101*VLOOKUP('Données projet'!$B$10,Paramètres!$A$1:$I$89,3,0)*0.475*44/12</f>
        <v>1.5725592230628234</v>
      </c>
      <c r="AX101" s="23">
        <f t="shared" si="60"/>
        <v>116.09687503264206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>
        <f>VLOOKUP(A101,'Données projet'!$A$87:$I$107,2,0)</f>
        <v>207</v>
      </c>
      <c r="BB101" s="13">
        <f>VLOOKUP(A101,'Données projet'!$A$87:$I$107,9,0)</f>
        <v>5.8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207.00000000000028</v>
      </c>
      <c r="BE101" s="14">
        <f>BD101*VLOOKUP('Données projet'!$B$11,Paramètres!$A$1:$I$89,3,0)*VLOOKUP('Données projet'!$B$11,Paramètres!$A$1:$I$89,5,0)</f>
        <v>209.89800000000028</v>
      </c>
      <c r="BF101" s="14">
        <f t="shared" si="91"/>
        <v>51.913295501810261</v>
      </c>
      <c r="BG101" s="22">
        <f t="shared" si="61"/>
        <v>455.98800633232003</v>
      </c>
      <c r="BH101" s="62">
        <f t="shared" si="62"/>
        <v>749.32133966565334</v>
      </c>
      <c r="BI101" s="62">
        <f ca="1">AVERAGE(OFFSET($BH$3,0,0,'Données projet'!$E$11+1,1))-AVERAGE(OFFSET($H$3,0,0,'Données projet'!$E$11+1,1))</f>
        <v>234.66244049825644</v>
      </c>
      <c r="BJ101" s="62">
        <f t="shared" si="92"/>
        <v>87.037318032671465</v>
      </c>
      <c r="BK101" s="16">
        <f>IF(ISNA(VLOOKUP(A101,'Données projet'!$A$87:$I$107,3,0)),0,VLOOKUP(A101,'Données projet'!$A$87:$I$107,3,0))</f>
        <v>6</v>
      </c>
      <c r="BL101" s="16">
        <f>IF(ISNA(VLOOKUP(A101,'Données projet'!$A$87:$I$107,4,0)),0,VLOOKUP(A101,'Données projet'!$A$87:$I$107,4,0))</f>
        <v>34</v>
      </c>
      <c r="BM101" s="17">
        <f>IF(ISNA(VLOOKUP(A101,'Données projet'!$A$87:$I$107,5,0)),0%,VLOOKUP(A101,'Données projet'!$A$87:$I$107,5,0)*VLOOKUP('Données projet'!$B$11,Paramètres!$A$1:$I$89,7,0))</f>
        <v>0.30099999999999999</v>
      </c>
      <c r="BN101" s="17">
        <f>IF(ISNA(VLOOKUP(A101,'Données projet'!$A$87:$I$107,6,0)),0%,VLOOKUP(A101,'Données projet'!$A$87:$I$107,6,0)*VLOOKUP('Données projet'!$B$11,Paramètres!$A$1:$I$89,7,0))</f>
        <v>2.58E-2</v>
      </c>
      <c r="BO101" s="17">
        <f>IF(ISNA(VLOOKUP(A101,'Données projet'!$A$87:$I$107,7,0)),0%,VLOOKUP(A101,'Données projet'!$A$87:$I$107,7,0))</f>
        <v>0.09</v>
      </c>
      <c r="BP101" s="23">
        <f>EXP(-LN(2)/35)*BP100+(1-EXP(-LN(2)/35))/(LN(2)/35)*BL101*BM101*VLOOKUP('Données projet'!$B$11,Paramètres!$A$1:$I$89,3,0)*0.475*44/12</f>
        <v>29.089586212621988</v>
      </c>
      <c r="BQ101" s="23">
        <f>EXP(-LN(2)/25)*BQ100+(1-EXP(-LN(2)/25))/(LN(2)/25)*Calculateur!BL101*Calculateur!BN101*VLOOKUP('Données projet'!$B$11,Paramètres!$A$1:$I$89,3,0)*0.475*44/12</f>
        <v>3.5284551234349411</v>
      </c>
      <c r="BR101" s="23">
        <f>EXP(-LN(2)/2)*BR100+(1-EXP(-LN(2)/2))/(LN(2)/2)*BL101*BO101*VLOOKUP('Données projet'!$B$11,Paramètres!$A$1:$I$89,3,0)*0.475*44/12</f>
        <v>3.0578051586542205</v>
      </c>
      <c r="BS101" s="24">
        <f t="shared" si="63"/>
        <v>35.675846494711145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395.00000000000017</v>
      </c>
      <c r="O102" s="14">
        <f>N102*VLOOKUP('Données projet'!$B$9,Paramètres!$A$1:$I$89,3,0)*VLOOKUP('Données projet'!$B$9,Paramètres!$A$1:$I$89,5,0)</f>
        <v>236.21000000000009</v>
      </c>
      <c r="P102" s="14">
        <f t="shared" si="87"/>
        <v>57.62333963053878</v>
      </c>
      <c r="Q102" s="22">
        <f t="shared" si="107"/>
        <v>511.75973318985524</v>
      </c>
      <c r="R102" s="62">
        <f t="shared" si="55"/>
        <v>805.09306652318855</v>
      </c>
      <c r="S102" s="62">
        <f ca="1">AVERAGE(OFFSET($R$3,0,0,'Données projet'!$E$9+1,1))-AVERAGE(OFFSET($H$3,0,0,'Données projet'!$E$9+1,1))</f>
        <v>217.62295992724461</v>
      </c>
      <c r="T102" s="62">
        <f t="shared" si="88"/>
        <v>198.62788037979772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17.844245923004937</v>
      </c>
      <c r="AA102" s="23">
        <f>EXP(-LN(2)/25)*AA101+(1-EXP(-LN(2)/25))/(LN(2)/25)*Calculateur!V102*Calculateur!X102*VLOOKUP('Données projet'!$B$9,Paramètres!$A$1:$I$89,3,0)*0.475*44/12</f>
        <v>2.2375834567841713</v>
      </c>
      <c r="AB102" s="23">
        <f>EXP(-LN(2)/2)*AB101+(1-EXP(-LN(2)/2))/(LN(2)/2)*V102*Y102*VLOOKUP('Données projet'!$B$9,Paramètres!$A$1:$I$89,3,0)*0.475*44/12</f>
        <v>2.6842466720166971E-6</v>
      </c>
      <c r="AC102" s="24">
        <f t="shared" si="57"/>
        <v>20.08183206403578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522.89000000000033</v>
      </c>
      <c r="AJ102" s="14">
        <f>AI102*VLOOKUP('Données projet'!$B$10,Paramètres!$A$1:$I$89,3,0)*VLOOKUP('Données projet'!$B$10,Paramètres!$A$1:$I$89,5,0)</f>
        <v>244.71252000000015</v>
      </c>
      <c r="AK102" s="14">
        <f t="shared" si="89"/>
        <v>59.452301800914057</v>
      </c>
      <c r="AL102" s="22">
        <f t="shared" si="58"/>
        <v>529.75373130325886</v>
      </c>
      <c r="AM102" s="62">
        <f t="shared" si="59"/>
        <v>823.08706463659223</v>
      </c>
      <c r="AN102" s="62">
        <f ca="1">AVERAGE(OFFSET($AM$3,0,0,'Données projet'!$E$10+1,1))-AVERAGE(OFFSET($H$3,0,0,'Données projet'!$E$10+1,1))</f>
        <v>201.92726874818067</v>
      </c>
      <c r="AO102" s="62">
        <f t="shared" si="90"/>
        <v>197.16147791248727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76.947143590247236</v>
      </c>
      <c r="AV102" s="23">
        <f>EXP(-LN(2)/25)*AV101+(1-EXP(-LN(2)/25))/(LN(2)/25)*Calculateur!AQ102*Calculateur!AS102*VLOOKUP('Données projet'!$B$10,Paramètres!$A$1:$I$89,3,0)*0.475*44/12</f>
        <v>35.05264161690797</v>
      </c>
      <c r="AW102" s="23">
        <f>EXP(-LN(2)/2)*AW101+(1-EXP(-LN(2)/2))/(LN(2)/2)*AQ102*AT102*VLOOKUP('Données projet'!$B$10,Paramètres!$A$1:$I$89,3,0)*0.475*44/12</f>
        <v>1.1119672904451712</v>
      </c>
      <c r="AX102" s="23">
        <f t="shared" si="60"/>
        <v>113.11175249760038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5.2</v>
      </c>
      <c r="BD102" s="13">
        <f>IF('Données projet'!$A$88&gt;35,BD101+BC102-BL101,IF(A102&lt;'Données projet'!$A$88,$BA$205^A102,IF(A102='Données projet'!$A$88,'Données projet'!$B$88,BD101+BC102-BL101)))</f>
        <v>178.20000000000027</v>
      </c>
      <c r="BE102" s="14">
        <f>BD102*VLOOKUP('Données projet'!$B$11,Paramètres!$A$1:$I$89,3,0)*VLOOKUP('Données projet'!$B$11,Paramètres!$A$1:$I$89,5,0)</f>
        <v>180.6948000000003</v>
      </c>
      <c r="BF102" s="14">
        <f t="shared" si="91"/>
        <v>45.476731688663833</v>
      </c>
      <c r="BG102" s="22">
        <f t="shared" si="61"/>
        <v>393.91541769109</v>
      </c>
      <c r="BH102" s="62">
        <f t="shared" si="62"/>
        <v>687.24875102442331</v>
      </c>
      <c r="BI102" s="62">
        <f ca="1">AVERAGE(OFFSET($BH$3,0,0,'Données projet'!$E$11+1,1))-AVERAGE(OFFSET($H$3,0,0,'Données projet'!$E$11+1,1))</f>
        <v>234.66244049825644</v>
      </c>
      <c r="BJ102" s="62">
        <f t="shared" si="92"/>
        <v>87.037318032671465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28.519157169888096</v>
      </c>
      <c r="BQ102" s="23">
        <f>EXP(-LN(2)/25)*BQ101+(1-EXP(-LN(2)/25))/(LN(2)/25)*Calculateur!BL102*Calculateur!BN102*VLOOKUP('Données projet'!$B$11,Paramètres!$A$1:$I$89,3,0)*0.475*44/12</f>
        <v>3.4319693325312222</v>
      </c>
      <c r="BR102" s="23">
        <f>EXP(-LN(2)/2)*BR101+(1-EXP(-LN(2)/2))/(LN(2)/2)*BL102*BO102*VLOOKUP('Données projet'!$B$11,Paramètres!$A$1:$I$89,3,0)*0.475*44/12</f>
        <v>2.1621947632316063</v>
      </c>
      <c r="BS102" s="24">
        <f t="shared" si="63"/>
        <v>34.113321265650924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395.00000000000017</v>
      </c>
      <c r="O103" s="14">
        <f>N103*VLOOKUP('Données projet'!$B$9,Paramètres!$A$1:$I$89,3,0)*VLOOKUP('Données projet'!$B$9,Paramètres!$A$1:$I$89,5,0)</f>
        <v>236.21000000000009</v>
      </c>
      <c r="P103" s="14">
        <f t="shared" si="87"/>
        <v>57.62333963053878</v>
      </c>
      <c r="Q103" s="22">
        <f t="shared" si="107"/>
        <v>511.75973318985524</v>
      </c>
      <c r="R103" s="62">
        <f t="shared" si="55"/>
        <v>805.09306652318855</v>
      </c>
      <c r="S103" s="62">
        <f ca="1">AVERAGE(OFFSET($R$3,0,0,'Données projet'!$E$9+1,1))-AVERAGE(OFFSET($H$3,0,0,'Données projet'!$E$9+1,1))</f>
        <v>217.62295992724461</v>
      </c>
      <c r="T103" s="62">
        <f t="shared" si="88"/>
        <v>198.62788037979772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17.494331144370125</v>
      </c>
      <c r="AA103" s="23">
        <f>EXP(-LN(2)/25)*AA102+(1-EXP(-LN(2)/25))/(LN(2)/25)*Calculateur!V103*Calculateur!X103*VLOOKUP('Données projet'!$B$9,Paramètres!$A$1:$I$89,3,0)*0.475*44/12</f>
        <v>2.1763966194890081</v>
      </c>
      <c r="AB103" s="23">
        <f>EXP(-LN(2)/2)*AB102+(1-EXP(-LN(2)/2))/(LN(2)/2)*V103*Y103*VLOOKUP('Données projet'!$B$9,Paramètres!$A$1:$I$89,3,0)*0.475*44/12</f>
        <v>1.8980490241604291E-6</v>
      </c>
      <c r="AC103" s="24">
        <f t="shared" si="57"/>
        <v>19.670729661908158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541.39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541.39000000000033</v>
      </c>
      <c r="AJ103" s="14">
        <f>AI103*VLOOKUP('Données projet'!$B$10,Paramètres!$A$1:$I$89,3,0)*VLOOKUP('Données projet'!$B$10,Paramètres!$A$1:$I$89,5,0)</f>
        <v>253.37052000000014</v>
      </c>
      <c r="AK103" s="14">
        <f t="shared" si="89"/>
        <v>61.307123479848308</v>
      </c>
      <c r="AL103" s="22">
        <f t="shared" si="58"/>
        <v>548.06356239406932</v>
      </c>
      <c r="AM103" s="62">
        <f t="shared" si="59"/>
        <v>841.39689572740258</v>
      </c>
      <c r="AN103" s="62">
        <f ca="1">AVERAGE(OFFSET($AM$3,0,0,'Données projet'!$E$10+1,1))-AVERAGE(OFFSET($H$3,0,0,'Données projet'!$E$10+1,1))</f>
        <v>201.92726874818067</v>
      </c>
      <c r="AO103" s="62">
        <f t="shared" si="90"/>
        <v>197.16147791248727</v>
      </c>
      <c r="AP103" s="16">
        <f>IF(ISNA(VLOOKUP(A103,'Données projet'!$A$61:$I$81,3,0)),0,VLOOKUP(A103,'Données projet'!$A$61:$I$81,3,0))</f>
        <v>10</v>
      </c>
      <c r="AQ103" s="16">
        <f>IF(ISNA(VLOOKUP(A103,'Données projet'!$A$61:$I$81,4,0)),0,VLOOKUP(A103,'Données projet'!$A$61:$I$81,4,0))</f>
        <v>541.39</v>
      </c>
      <c r="AR103" s="17">
        <f>IF(ISNA(VLOOKUP(A103,'Données projet'!$A$61:$I$81,5,0)),0%,VLOOKUP(A103,'Données projet'!$A$61:$I$81,5,0)*VLOOKUP('Données projet'!$B$10,Paramètres!$A$1:$I$89,7,0))</f>
        <v>0.27500000000000002</v>
      </c>
      <c r="AS103" s="17">
        <f>IF(ISNA(VLOOKUP(A103,'Données projet'!$A$61:$I$81,6,0)),0%,VLOOKUP(A103,'Données projet'!$A$61:$I$81,6,0)*VLOOKUP('Données projet'!$B$10,Paramètres!$A$1:$I$89,7,0))</f>
        <v>0.11000000000000001</v>
      </c>
      <c r="AT103" s="17">
        <f>IF(ISNA(VLOOKUP(A103,'Données projet'!$A$61:$I$81,7,0)),0%,VLOOKUP(A103,'Données projet'!$A$61:$I$81,7,0))</f>
        <v>0.3</v>
      </c>
      <c r="AU103" s="23">
        <f>EXP(-LN(2)/35)*AU102+(1-EXP(-LN(2)/35))/(LN(2)/35)*AQ103*AR103*VLOOKUP('Données projet'!$B$10,Paramètres!$A$1:$I$89,3,0)*0.475*44/12</f>
        <v>167.86914665682991</v>
      </c>
      <c r="AV103" s="23">
        <f>EXP(-LN(2)/25)*AV102+(1-EXP(-LN(2)/25))/(LN(2)/25)*Calculateur!AQ103*Calculateur!AS103*VLOOKUP('Données projet'!$B$10,Paramètres!$A$1:$I$89,3,0)*0.475*44/12</f>
        <v>70.920906883716512</v>
      </c>
      <c r="AW103" s="23">
        <f>EXP(-LN(2)/2)*AW102+(1-EXP(-LN(2)/2))/(LN(2)/2)*AQ103*AT103*VLOOKUP('Données projet'!$B$10,Paramètres!$A$1:$I$89,3,0)*0.475*44/12</f>
        <v>86.848565407054025</v>
      </c>
      <c r="AX103" s="23">
        <f t="shared" si="60"/>
        <v>325.63861894760043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5.2</v>
      </c>
      <c r="BD103" s="13">
        <f>IF('Données projet'!$A$88&gt;35,BD102+BC103-BL102,IF(A103&lt;'Données projet'!$A$88,$BA$205^A103,IF(A103='Données projet'!$A$88,'Données projet'!$B$88,BD102+BC103-BL102)))</f>
        <v>183.40000000000026</v>
      </c>
      <c r="BE103" s="14">
        <f>BD103*VLOOKUP('Données projet'!$B$11,Paramètres!$A$1:$I$89,3,0)*VLOOKUP('Données projet'!$B$11,Paramètres!$A$1:$I$89,5,0)</f>
        <v>185.96760000000029</v>
      </c>
      <c r="BF103" s="14">
        <f t="shared" si="91"/>
        <v>46.64733649040118</v>
      </c>
      <c r="BG103" s="22">
        <f t="shared" si="61"/>
        <v>405.13768105411583</v>
      </c>
      <c r="BH103" s="62">
        <f t="shared" si="62"/>
        <v>698.47101438744915</v>
      </c>
      <c r="BI103" s="62">
        <f ca="1">AVERAGE(OFFSET($BH$3,0,0,'Données projet'!$E$11+1,1))-AVERAGE(OFFSET($H$3,0,0,'Données projet'!$E$11+1,1))</f>
        <v>234.66244049825644</v>
      </c>
      <c r="BJ103" s="62">
        <f t="shared" si="92"/>
        <v>87.037318032671465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27.959913892754855</v>
      </c>
      <c r="BQ103" s="23">
        <f>EXP(-LN(2)/25)*BQ102+(1-EXP(-LN(2)/25))/(LN(2)/25)*Calculateur!BL103*Calculateur!BN103*VLOOKUP('Données projet'!$B$11,Paramètres!$A$1:$I$89,3,0)*0.475*44/12</f>
        <v>3.3381219506537327</v>
      </c>
      <c r="BR103" s="23">
        <f>EXP(-LN(2)/2)*BR102+(1-EXP(-LN(2)/2))/(LN(2)/2)*BL103*BO103*VLOOKUP('Données projet'!$B$11,Paramètres!$A$1:$I$89,3,0)*0.475*44/12</f>
        <v>1.5289025793271105</v>
      </c>
      <c r="BS103" s="24">
        <f t="shared" si="63"/>
        <v>32.826938422735701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395.00000000000017</v>
      </c>
      <c r="O104" s="14">
        <f>N104*VLOOKUP('Données projet'!$B$9,Paramètres!$A$1:$I$89,3,0)*VLOOKUP('Données projet'!$B$9,Paramètres!$A$1:$I$89,5,0)</f>
        <v>236.21000000000009</v>
      </c>
      <c r="P104" s="14">
        <f t="shared" si="87"/>
        <v>57.62333963053878</v>
      </c>
      <c r="Q104" s="22">
        <f t="shared" si="107"/>
        <v>511.75973318985524</v>
      </c>
      <c r="R104" s="62">
        <f t="shared" si="55"/>
        <v>805.09306652318855</v>
      </c>
      <c r="S104" s="62">
        <f ca="1">AVERAGE(OFFSET($R$3,0,0,'Données projet'!$E$9+1,1))-AVERAGE(OFFSET($H$3,0,0,'Données projet'!$E$9+1,1))</f>
        <v>217.62295992724461</v>
      </c>
      <c r="T104" s="62">
        <f t="shared" si="88"/>
        <v>198.62788037979772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17.151277981117403</v>
      </c>
      <c r="AA104" s="23">
        <f>EXP(-LN(2)/25)*AA103+(1-EXP(-LN(2)/25))/(LN(2)/25)*Calculateur!V104*Calculateur!X104*VLOOKUP('Données projet'!$B$9,Paramètres!$A$1:$I$89,3,0)*0.475*44/12</f>
        <v>2.1168829394773572</v>
      </c>
      <c r="AB104" s="23">
        <f>EXP(-LN(2)/2)*AB103+(1-EXP(-LN(2)/2))/(LN(2)/2)*V104*Y104*VLOOKUP('Données projet'!$B$9,Paramètres!$A$1:$I$89,3,0)*0.475*44/12</f>
        <v>1.3421233360083488E-6</v>
      </c>
      <c r="AC104" s="24">
        <f t="shared" si="57"/>
        <v>19.268162262718096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1.5961632016114892E-13</v>
      </c>
      <c r="AK104" s="14">
        <f t="shared" si="89"/>
        <v>2.2708641912150958E-12</v>
      </c>
      <c r="AL104" s="22">
        <f t="shared" si="58"/>
        <v>4.2330868906469593E-12</v>
      </c>
      <c r="AM104" s="62">
        <f t="shared" si="59"/>
        <v>293.33333333333752</v>
      </c>
      <c r="AN104" s="62">
        <f ca="1">AVERAGE(OFFSET($AM$3,0,0,'Données projet'!$E$10+1,1))-AVERAGE(OFFSET($H$3,0,0,'Données projet'!$E$10+1,1))</f>
        <v>201.92726874818067</v>
      </c>
      <c r="AO104" s="62">
        <f t="shared" si="90"/>
        <v>197.16147791248727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164.57733508095876</v>
      </c>
      <c r="AV104" s="23">
        <f>EXP(-LN(2)/25)*AV103+(1-EXP(-LN(2)/25))/(LN(2)/25)*Calculateur!AQ104*Calculateur!AS104*VLOOKUP('Données projet'!$B$10,Paramètres!$A$1:$I$89,3,0)*0.475*44/12</f>
        <v>68.981570955412877</v>
      </c>
      <c r="AW104" s="23">
        <f>EXP(-LN(2)/2)*AW103+(1-EXP(-LN(2)/2))/(LN(2)/2)*AQ104*AT104*VLOOKUP('Données projet'!$B$10,Paramètres!$A$1:$I$89,3,0)*0.475*44/12</f>
        <v>61.411209535651317</v>
      </c>
      <c r="AX104" s="23">
        <f t="shared" si="60"/>
        <v>294.97011557202296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5.2</v>
      </c>
      <c r="BD104" s="13">
        <f>IF('Données projet'!$A$88&gt;35,BD103+BC104-BL103,IF(A104&lt;'Données projet'!$A$88,$BA$205^A104,IF(A104='Données projet'!$A$88,'Données projet'!$B$88,BD103+BC104-BL103)))</f>
        <v>188.60000000000025</v>
      </c>
      <c r="BE104" s="14">
        <f>BD104*VLOOKUP('Données projet'!$B$11,Paramètres!$A$1:$I$89,3,0)*VLOOKUP('Données projet'!$B$11,Paramètres!$A$1:$I$89,5,0)</f>
        <v>191.24040000000025</v>
      </c>
      <c r="BF104" s="14">
        <f t="shared" si="91"/>
        <v>47.814083735383548</v>
      </c>
      <c r="BG104" s="22">
        <f t="shared" si="61"/>
        <v>416.35322583912676</v>
      </c>
      <c r="BH104" s="62">
        <f t="shared" si="62"/>
        <v>709.68655917246008</v>
      </c>
      <c r="BI104" s="62">
        <f ca="1">AVERAGE(OFFSET($BH$3,0,0,'Données projet'!$E$11+1,1))-AVERAGE(OFFSET($H$3,0,0,'Données projet'!$E$11+1,1))</f>
        <v>234.66244049825644</v>
      </c>
      <c r="BJ104" s="62">
        <f t="shared" si="92"/>
        <v>87.037318032671465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27.411637035181478</v>
      </c>
      <c r="BQ104" s="23">
        <f>EXP(-LN(2)/25)*BQ103+(1-EXP(-LN(2)/25))/(LN(2)/25)*Calculateur!BL104*Calculateur!BN104*VLOOKUP('Données projet'!$B$11,Paramètres!$A$1:$I$89,3,0)*0.475*44/12</f>
        <v>3.2468408303689023</v>
      </c>
      <c r="BR104" s="23">
        <f>EXP(-LN(2)/2)*BR103+(1-EXP(-LN(2)/2))/(LN(2)/2)*BL104*BO104*VLOOKUP('Données projet'!$B$11,Paramètres!$A$1:$I$89,3,0)*0.475*44/12</f>
        <v>1.0810973816158034</v>
      </c>
      <c r="BS104" s="24">
        <f t="shared" si="63"/>
        <v>31.739575247166183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395.00000000000017</v>
      </c>
      <c r="O105" s="14">
        <f>N105*VLOOKUP('Données projet'!$B$9,Paramètres!$A$1:$I$89,3,0)*VLOOKUP('Données projet'!$B$9,Paramètres!$A$1:$I$89,5,0)</f>
        <v>236.21000000000009</v>
      </c>
      <c r="P105" s="14">
        <f t="shared" si="87"/>
        <v>57.62333963053878</v>
      </c>
      <c r="Q105" s="22">
        <f t="shared" si="107"/>
        <v>511.75973318985524</v>
      </c>
      <c r="R105" s="62">
        <f t="shared" si="55"/>
        <v>805.09306652318855</v>
      </c>
      <c r="S105" s="62">
        <f ca="1">AVERAGE(OFFSET($R$3,0,0,'Données projet'!$E$9+1,1))-AVERAGE(OFFSET($H$3,0,0,'Données projet'!$E$9+1,1))</f>
        <v>217.62295992724461</v>
      </c>
      <c r="T105" s="62">
        <f t="shared" si="88"/>
        <v>198.62788037979772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16.814951881154297</v>
      </c>
      <c r="AA105" s="23">
        <f>EXP(-LN(2)/25)*AA104+(1-EXP(-LN(2)/25))/(LN(2)/25)*Calculateur!V105*Calculateur!X105*VLOOKUP('Données projet'!$B$9,Paramètres!$A$1:$I$89,3,0)*0.475*44/12</f>
        <v>2.0589966641753135</v>
      </c>
      <c r="AB105" s="23">
        <f>EXP(-LN(2)/2)*AB104+(1-EXP(-LN(2)/2))/(LN(2)/2)*V105*Y105*VLOOKUP('Données projet'!$B$9,Paramètres!$A$1:$I$89,3,0)*0.475*44/12</f>
        <v>9.4902451208021478E-7</v>
      </c>
      <c r="AC105" s="24">
        <f t="shared" si="57"/>
        <v>18.873949494354122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1.5961632016114892E-13</v>
      </c>
      <c r="AK105" s="14">
        <f t="shared" si="89"/>
        <v>2.2708641912150958E-12</v>
      </c>
      <c r="AL105" s="22">
        <f t="shared" si="58"/>
        <v>4.2330868906469593E-12</v>
      </c>
      <c r="AM105" s="62">
        <f t="shared" si="59"/>
        <v>293.33333333333752</v>
      </c>
      <c r="AN105" s="62">
        <f ca="1">AVERAGE(OFFSET($AM$3,0,0,'Données projet'!$E$10+1,1))-AVERAGE(OFFSET($H$3,0,0,'Données projet'!$E$10+1,1))</f>
        <v>201.92726874818067</v>
      </c>
      <c r="AO105" s="62">
        <f t="shared" si="90"/>
        <v>197.16147791248727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161.35007392228363</v>
      </c>
      <c r="AV105" s="23">
        <f>EXP(-LN(2)/25)*AV104+(1-EXP(-LN(2)/25))/(LN(2)/25)*Calculateur!AQ105*Calculateur!AS105*VLOOKUP('Données projet'!$B$10,Paramètres!$A$1:$I$89,3,0)*0.475*44/12</f>
        <v>67.095266270053955</v>
      </c>
      <c r="AW105" s="23">
        <f>EXP(-LN(2)/2)*AW104+(1-EXP(-LN(2)/2))/(LN(2)/2)*AQ105*AT105*VLOOKUP('Données projet'!$B$10,Paramètres!$A$1:$I$89,3,0)*0.475*44/12</f>
        <v>43.42428270352702</v>
      </c>
      <c r="AX105" s="23">
        <f t="shared" si="60"/>
        <v>271.86962289586461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5.2</v>
      </c>
      <c r="BD105" s="13">
        <f>IF('Données projet'!$A$88&gt;35,BD104+BC105-BL104,IF(A105&lt;'Données projet'!$A$88,$BA$205^A105,IF(A105='Données projet'!$A$88,'Données projet'!$B$88,BD104+BC105-BL104)))</f>
        <v>193.80000000000024</v>
      </c>
      <c r="BE105" s="14">
        <f>BD105*VLOOKUP('Données projet'!$B$11,Paramètres!$A$1:$I$89,3,0)*VLOOKUP('Données projet'!$B$11,Paramètres!$A$1:$I$89,5,0)</f>
        <v>196.51320000000024</v>
      </c>
      <c r="BF105" s="14">
        <f t="shared" si="91"/>
        <v>48.977092002823781</v>
      </c>
      <c r="BG105" s="22">
        <f t="shared" si="61"/>
        <v>427.56225857158512</v>
      </c>
      <c r="BH105" s="62">
        <f t="shared" si="62"/>
        <v>720.89559190491843</v>
      </c>
      <c r="BI105" s="62">
        <f ca="1">AVERAGE(OFFSET($BH$3,0,0,'Données projet'!$E$11+1,1))-AVERAGE(OFFSET($H$3,0,0,'Données projet'!$E$11+1,1))</f>
        <v>234.66244049825644</v>
      </c>
      <c r="BJ105" s="62">
        <f t="shared" si="92"/>
        <v>87.037318032671465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26.874111552369254</v>
      </c>
      <c r="BQ105" s="23">
        <f>EXP(-LN(2)/25)*BQ104+(1-EXP(-LN(2)/25))/(LN(2)/25)*Calculateur!BL105*Calculateur!BN105*VLOOKUP('Données projet'!$B$11,Paramètres!$A$1:$I$89,3,0)*0.475*44/12</f>
        <v>3.1580557971185259</v>
      </c>
      <c r="BR105" s="23">
        <f>EXP(-LN(2)/2)*BR104+(1-EXP(-LN(2)/2))/(LN(2)/2)*BL105*BO105*VLOOKUP('Données projet'!$B$11,Paramètres!$A$1:$I$89,3,0)*0.475*44/12</f>
        <v>0.76445128966355536</v>
      </c>
      <c r="BS105" s="24">
        <f t="shared" si="63"/>
        <v>30.796618639151333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395.00000000000017</v>
      </c>
      <c r="O106" s="14">
        <f>N106*VLOOKUP('Données projet'!$B$9,Paramètres!$A$1:$I$89,3,0)*VLOOKUP('Données projet'!$B$9,Paramètres!$A$1:$I$89,5,0)</f>
        <v>236.21000000000009</v>
      </c>
      <c r="P106" s="14">
        <f t="shared" si="87"/>
        <v>57.62333963053878</v>
      </c>
      <c r="Q106" s="22">
        <f t="shared" si="107"/>
        <v>511.75973318985524</v>
      </c>
      <c r="R106" s="62">
        <f t="shared" si="55"/>
        <v>805.09306652318855</v>
      </c>
      <c r="S106" s="62">
        <f ca="1">AVERAGE(OFFSET($R$3,0,0,'Données projet'!$E$9+1,1))-AVERAGE(OFFSET($H$3,0,0,'Données projet'!$E$9+1,1))</f>
        <v>217.62295992724461</v>
      </c>
      <c r="T106" s="62">
        <f t="shared" si="88"/>
        <v>198.62788037979772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16.485220930872803</v>
      </c>
      <c r="AA106" s="23">
        <f>EXP(-LN(2)/25)*AA105+(1-EXP(-LN(2)/25))/(LN(2)/25)*Calculateur!V106*Calculateur!X106*VLOOKUP('Données projet'!$B$9,Paramètres!$A$1:$I$89,3,0)*0.475*44/12</f>
        <v>2.0026932921155107</v>
      </c>
      <c r="AB106" s="23">
        <f>EXP(-LN(2)/2)*AB105+(1-EXP(-LN(2)/2))/(LN(2)/2)*V106*Y106*VLOOKUP('Données projet'!$B$9,Paramètres!$A$1:$I$89,3,0)*0.475*44/12</f>
        <v>6.7106166800417449E-7</v>
      </c>
      <c r="AC106" s="24">
        <f t="shared" si="57"/>
        <v>18.487914894049979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1.5961632016114892E-13</v>
      </c>
      <c r="AK106" s="14">
        <f t="shared" si="89"/>
        <v>2.2708641912150958E-12</v>
      </c>
      <c r="AL106" s="22">
        <f t="shared" si="58"/>
        <v>4.2330868906469593E-12</v>
      </c>
      <c r="AM106" s="62">
        <f t="shared" si="59"/>
        <v>293.33333333333752</v>
      </c>
      <c r="AN106" s="62">
        <f ca="1">AVERAGE(OFFSET($AM$3,0,0,'Données projet'!$E$10+1,1))-AVERAGE(OFFSET($H$3,0,0,'Données projet'!$E$10+1,1))</f>
        <v>201.92726874818067</v>
      </c>
      <c r="AO106" s="62">
        <f t="shared" si="90"/>
        <v>197.16147791248727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158.18609738649519</v>
      </c>
      <c r="AV106" s="23">
        <f>EXP(-LN(2)/25)*AV105+(1-EXP(-LN(2)/25))/(LN(2)/25)*Calculateur!AQ106*Calculateur!AS106*VLOOKUP('Données projet'!$B$10,Paramètres!$A$1:$I$89,3,0)*0.475*44/12</f>
        <v>65.260542685512618</v>
      </c>
      <c r="AW106" s="23">
        <f>EXP(-LN(2)/2)*AW105+(1-EXP(-LN(2)/2))/(LN(2)/2)*AQ106*AT106*VLOOKUP('Données projet'!$B$10,Paramètres!$A$1:$I$89,3,0)*0.475*44/12</f>
        <v>30.705604767825662</v>
      </c>
      <c r="AX106" s="23">
        <f t="shared" si="60"/>
        <v>254.15224483983349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5.2</v>
      </c>
      <c r="BD106" s="13">
        <f>IF('Données projet'!$A$88&gt;35,BD105+BC106-BL105,IF(A106&lt;'Données projet'!$A$88,$BA$205^A106,IF(A106='Données projet'!$A$88,'Données projet'!$B$88,BD105+BC106-BL105)))</f>
        <v>199.00000000000023</v>
      </c>
      <c r="BE106" s="14">
        <f>BD106*VLOOKUP('Données projet'!$B$11,Paramètres!$A$1:$I$89,3,0)*VLOOKUP('Données projet'!$B$11,Paramètres!$A$1:$I$89,5,0)</f>
        <v>201.78600000000026</v>
      </c>
      <c r="BF106" s="14">
        <f t="shared" si="91"/>
        <v>50.136473146268806</v>
      </c>
      <c r="BG106" s="22">
        <f t="shared" si="61"/>
        <v>438.76497406308528</v>
      </c>
      <c r="BH106" s="62">
        <f t="shared" si="62"/>
        <v>732.09830739641859</v>
      </c>
      <c r="BI106" s="62">
        <f ca="1">AVERAGE(OFFSET($BH$3,0,0,'Données projet'!$E$11+1,1))-AVERAGE(OFFSET($H$3,0,0,'Données projet'!$E$11+1,1))</f>
        <v>234.66244049825644</v>
      </c>
      <c r="BJ106" s="62">
        <f t="shared" si="92"/>
        <v>87.037318032671465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26.347126616416805</v>
      </c>
      <c r="BQ106" s="23">
        <f>EXP(-LN(2)/25)*BQ105+(1-EXP(-LN(2)/25))/(LN(2)/25)*Calculateur!BL106*Calculateur!BN106*VLOOKUP('Données projet'!$B$11,Paramètres!$A$1:$I$89,3,0)*0.475*44/12</f>
        <v>3.0716985952713833</v>
      </c>
      <c r="BR106" s="23">
        <f>EXP(-LN(2)/2)*BR105+(1-EXP(-LN(2)/2))/(LN(2)/2)*BL106*BO106*VLOOKUP('Données projet'!$B$11,Paramètres!$A$1:$I$89,3,0)*0.475*44/12</f>
        <v>0.54054869080790169</v>
      </c>
      <c r="BS106" s="24">
        <f t="shared" si="63"/>
        <v>29.95937390249609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395.00000000000017</v>
      </c>
      <c r="O107" s="14">
        <f>N107*VLOOKUP('Données projet'!$B$9,Paramètres!$A$1:$I$89,3,0)*VLOOKUP('Données projet'!$B$9,Paramètres!$A$1:$I$89,5,0)</f>
        <v>236.21000000000009</v>
      </c>
      <c r="P107" s="14">
        <f t="shared" si="87"/>
        <v>57.62333963053878</v>
      </c>
      <c r="Q107" s="22">
        <f t="shared" si="107"/>
        <v>511.75973318985524</v>
      </c>
      <c r="R107" s="62">
        <f t="shared" si="55"/>
        <v>805.09306652318855</v>
      </c>
      <c r="S107" s="62">
        <f ca="1">AVERAGE(OFFSET($R$3,0,0,'Données projet'!$E$9+1,1))-AVERAGE(OFFSET($H$3,0,0,'Données projet'!$E$9+1,1))</f>
        <v>217.62295992724461</v>
      </c>
      <c r="T107" s="62">
        <f t="shared" si="88"/>
        <v>198.62788037979772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16.161955803410308</v>
      </c>
      <c r="AA107" s="23">
        <f>EXP(-LN(2)/25)*AA106+(1-EXP(-LN(2)/25))/(LN(2)/25)*Calculateur!V107*Calculateur!X107*VLOOKUP('Données projet'!$B$9,Paramètres!$A$1:$I$89,3,0)*0.475*44/12</f>
        <v>1.9479295387255491</v>
      </c>
      <c r="AB107" s="23">
        <f>EXP(-LN(2)/2)*AB106+(1-EXP(-LN(2)/2))/(LN(2)/2)*V107*Y107*VLOOKUP('Données projet'!$B$9,Paramètres!$A$1:$I$89,3,0)*0.475*44/12</f>
        <v>4.7451225604010744E-7</v>
      </c>
      <c r="AC107" s="24">
        <f t="shared" si="57"/>
        <v>18.109885816648113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1.5961632016114892E-13</v>
      </c>
      <c r="AK107" s="14">
        <f t="shared" si="89"/>
        <v>2.2708641912150958E-12</v>
      </c>
      <c r="AL107" s="22">
        <f t="shared" si="58"/>
        <v>4.2330868906469593E-12</v>
      </c>
      <c r="AM107" s="62">
        <f t="shared" si="59"/>
        <v>293.33333333333752</v>
      </c>
      <c r="AN107" s="62">
        <f ca="1">AVERAGE(OFFSET($AM$3,0,0,'Données projet'!$E$10+1,1))-AVERAGE(OFFSET($H$3,0,0,'Données projet'!$E$10+1,1))</f>
        <v>201.92726874818067</v>
      </c>
      <c r="AO107" s="62">
        <f t="shared" si="90"/>
        <v>197.16147791248727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155.08416450073841</v>
      </c>
      <c r="AV107" s="23">
        <f>EXP(-LN(2)/25)*AV106+(1-EXP(-LN(2)/25))/(LN(2)/25)*Calculateur!AQ107*Calculateur!AS107*VLOOKUP('Données projet'!$B$10,Paramètres!$A$1:$I$89,3,0)*0.475*44/12</f>
        <v>63.47598971387449</v>
      </c>
      <c r="AW107" s="23">
        <f>EXP(-LN(2)/2)*AW106+(1-EXP(-LN(2)/2))/(LN(2)/2)*AQ107*AT107*VLOOKUP('Données projet'!$B$10,Paramètres!$A$1:$I$89,3,0)*0.475*44/12</f>
        <v>21.712141351763513</v>
      </c>
      <c r="AX107" s="23">
        <f t="shared" si="60"/>
        <v>240.27229556637641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5.2</v>
      </c>
      <c r="BD107" s="13">
        <f>IF('Données projet'!$A$88&gt;35,BD106+BC107-BL106,IF(A107&lt;'Données projet'!$A$88,$BA$205^A107,IF(A107='Données projet'!$A$88,'Données projet'!$B$88,BD106+BC107-BL106)))</f>
        <v>204.20000000000022</v>
      </c>
      <c r="BE107" s="14">
        <f>BD107*VLOOKUP('Données projet'!$B$11,Paramètres!$A$1:$I$89,3,0)*VLOOKUP('Données projet'!$B$11,Paramètres!$A$1:$I$89,5,0)</f>
        <v>207.05880000000022</v>
      </c>
      <c r="BF107" s="14">
        <f t="shared" si="91"/>
        <v>51.29233284071416</v>
      </c>
      <c r="BG107" s="22">
        <f t="shared" si="61"/>
        <v>449.96155636424425</v>
      </c>
      <c r="BH107" s="62">
        <f t="shared" si="62"/>
        <v>743.29488969757756</v>
      </c>
      <c r="BI107" s="62">
        <f ca="1">AVERAGE(OFFSET($BH$3,0,0,'Données projet'!$E$11+1,1))-AVERAGE(OFFSET($H$3,0,0,'Données projet'!$E$11+1,1))</f>
        <v>234.66244049825644</v>
      </c>
      <c r="BJ107" s="62">
        <f t="shared" si="92"/>
        <v>87.037318032671465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25.830475533629311</v>
      </c>
      <c r="BQ107" s="23">
        <f>EXP(-LN(2)/25)*BQ106+(1-EXP(-LN(2)/25))/(LN(2)/25)*Calculateur!BL107*Calculateur!BN107*VLOOKUP('Données projet'!$B$11,Paramètres!$A$1:$I$89,3,0)*0.475*44/12</f>
        <v>2.9877028356500785</v>
      </c>
      <c r="BR107" s="23">
        <f>EXP(-LN(2)/2)*BR106+(1-EXP(-LN(2)/2))/(LN(2)/2)*BL107*BO107*VLOOKUP('Données projet'!$B$11,Paramètres!$A$1:$I$89,3,0)*0.475*44/12</f>
        <v>0.38222564483177768</v>
      </c>
      <c r="BS107" s="24">
        <f t="shared" si="63"/>
        <v>29.200404014111168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395.00000000000017</v>
      </c>
      <c r="O108" s="14">
        <f>N108*VLOOKUP('Données projet'!$B$9,Paramètres!$A$1:$I$89,3,0)*VLOOKUP('Données projet'!$B$9,Paramètres!$A$1:$I$89,5,0)</f>
        <v>236.21000000000009</v>
      </c>
      <c r="P108" s="14">
        <f t="shared" si="87"/>
        <v>57.62333963053878</v>
      </c>
      <c r="Q108" s="22">
        <f t="shared" si="107"/>
        <v>511.75973318985524</v>
      </c>
      <c r="R108" s="62">
        <f t="shared" si="55"/>
        <v>805.09306652318855</v>
      </c>
      <c r="S108" s="62">
        <f ca="1">AVERAGE(OFFSET($R$3,0,0,'Données projet'!$E$9+1,1))-AVERAGE(OFFSET($H$3,0,0,'Données projet'!$E$9+1,1))</f>
        <v>217.62295992724461</v>
      </c>
      <c r="T108" s="62">
        <f t="shared" si="88"/>
        <v>198.62788037979772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15.845029707925093</v>
      </c>
      <c r="AA108" s="23">
        <f>EXP(-LN(2)/25)*AA107+(1-EXP(-LN(2)/25))/(LN(2)/25)*Calculateur!V108*Calculateur!X108*VLOOKUP('Données projet'!$B$9,Paramètres!$A$1:$I$89,3,0)*0.475*44/12</f>
        <v>1.8946633030519366</v>
      </c>
      <c r="AB108" s="23">
        <f>EXP(-LN(2)/2)*AB107+(1-EXP(-LN(2)/2))/(LN(2)/2)*V108*Y108*VLOOKUP('Données projet'!$B$9,Paramètres!$A$1:$I$89,3,0)*0.475*44/12</f>
        <v>3.355308340020873E-7</v>
      </c>
      <c r="AC108" s="24">
        <f t="shared" si="57"/>
        <v>17.739693346507863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1.5961632016114892E-13</v>
      </c>
      <c r="AK108" s="14">
        <f t="shared" si="89"/>
        <v>2.2708641912150958E-12</v>
      </c>
      <c r="AL108" s="22">
        <f t="shared" si="58"/>
        <v>4.2330868906469593E-12</v>
      </c>
      <c r="AM108" s="62">
        <f t="shared" si="59"/>
        <v>293.33333333333752</v>
      </c>
      <c r="AN108" s="62">
        <f ca="1">AVERAGE(OFFSET($AM$3,0,0,'Données projet'!$E$10+1,1))-AVERAGE(OFFSET($H$3,0,0,'Données projet'!$E$10+1,1))</f>
        <v>201.92726874818067</v>
      </c>
      <c r="AO108" s="62">
        <f t="shared" si="90"/>
        <v>197.16147791248727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152.04305862687909</v>
      </c>
      <c r="AV108" s="23">
        <f>EXP(-LN(2)/25)*AV107+(1-EXP(-LN(2)/25))/(LN(2)/25)*Calculateur!AQ108*Calculateur!AS108*VLOOKUP('Données projet'!$B$10,Paramètres!$A$1:$I$89,3,0)*0.475*44/12</f>
        <v>61.740235437091371</v>
      </c>
      <c r="AW108" s="23">
        <f>EXP(-LN(2)/2)*AW107+(1-EXP(-LN(2)/2))/(LN(2)/2)*AQ108*AT108*VLOOKUP('Données projet'!$B$10,Paramètres!$A$1:$I$89,3,0)*0.475*44/12</f>
        <v>15.352802383912834</v>
      </c>
      <c r="AX108" s="23">
        <f t="shared" si="60"/>
        <v>229.13609644788329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5.2</v>
      </c>
      <c r="BD108" s="13">
        <f>IF('Données projet'!$A$88&gt;35,BD107+BC108-BL107,IF(A108&lt;'Données projet'!$A$88,$BA$205^A108,IF(A108='Données projet'!$A$88,'Données projet'!$B$88,BD107+BC108-BL107)))</f>
        <v>209.4000000000002</v>
      </c>
      <c r="BE108" s="14">
        <f>BD108*VLOOKUP('Données projet'!$B$11,Paramètres!$A$1:$I$89,3,0)*VLOOKUP('Données projet'!$B$11,Paramètres!$A$1:$I$89,5,0)</f>
        <v>212.33160000000021</v>
      </c>
      <c r="BF108" s="14">
        <f t="shared" si="91"/>
        <v>52.444771072420522</v>
      </c>
      <c r="BG108" s="22">
        <f t="shared" si="61"/>
        <v>461.15217961779939</v>
      </c>
      <c r="BH108" s="62">
        <f t="shared" si="62"/>
        <v>754.4855129511327</v>
      </c>
      <c r="BI108" s="62">
        <f ca="1">AVERAGE(OFFSET($BH$3,0,0,'Données projet'!$E$11+1,1))-AVERAGE(OFFSET($H$3,0,0,'Données projet'!$E$11+1,1))</f>
        <v>234.66244049825644</v>
      </c>
      <c r="BJ108" s="62">
        <f t="shared" si="92"/>
        <v>87.037318032671465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25.323955663449237</v>
      </c>
      <c r="BQ108" s="23">
        <f>EXP(-LN(2)/25)*BQ107+(1-EXP(-LN(2)/25))/(LN(2)/25)*Calculateur!BL108*Calculateur!BN108*VLOOKUP('Données projet'!$B$11,Paramètres!$A$1:$I$89,3,0)*0.475*44/12</f>
        <v>2.9060039444927637</v>
      </c>
      <c r="BR108" s="23">
        <f>EXP(-LN(2)/2)*BR107+(1-EXP(-LN(2)/2))/(LN(2)/2)*BL108*BO108*VLOOKUP('Données projet'!$B$11,Paramètres!$A$1:$I$89,3,0)*0.475*44/12</f>
        <v>0.27027434540395084</v>
      </c>
      <c r="BS108" s="24">
        <f t="shared" si="63"/>
        <v>28.500233953345951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395.00000000000017</v>
      </c>
      <c r="O109" s="14">
        <f>N109*VLOOKUP('Données projet'!$B$9,Paramètres!$A$1:$I$89,3,0)*VLOOKUP('Données projet'!$B$9,Paramètres!$A$1:$I$89,5,0)</f>
        <v>236.21000000000009</v>
      </c>
      <c r="P109" s="14">
        <f t="shared" si="87"/>
        <v>57.62333963053878</v>
      </c>
      <c r="Q109" s="22">
        <f t="shared" si="107"/>
        <v>511.75973318985524</v>
      </c>
      <c r="R109" s="62">
        <f t="shared" si="55"/>
        <v>805.09306652318855</v>
      </c>
      <c r="S109" s="62">
        <f ca="1">AVERAGE(OFFSET($R$3,0,0,'Données projet'!$E$9+1,1))-AVERAGE(OFFSET($H$3,0,0,'Données projet'!$E$9+1,1))</f>
        <v>217.62295992724461</v>
      </c>
      <c r="T109" s="62">
        <f t="shared" si="88"/>
        <v>198.62788037979772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15.534318339866513</v>
      </c>
      <c r="AA109" s="23">
        <f>EXP(-LN(2)/25)*AA108+(1-EXP(-LN(2)/25))/(LN(2)/25)*Calculateur!V109*Calculateur!X109*VLOOKUP('Données projet'!$B$9,Paramètres!$A$1:$I$89,3,0)*0.475*44/12</f>
        <v>1.8428536353939686</v>
      </c>
      <c r="AB109" s="23">
        <f>EXP(-LN(2)/2)*AB108+(1-EXP(-LN(2)/2))/(LN(2)/2)*V109*Y109*VLOOKUP('Données projet'!$B$9,Paramètres!$A$1:$I$89,3,0)*0.475*44/12</f>
        <v>2.3725612802005375E-7</v>
      </c>
      <c r="AC109" s="24">
        <f t="shared" si="57"/>
        <v>17.377172212516609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1.5961632016114892E-13</v>
      </c>
      <c r="AK109" s="14">
        <f t="shared" si="89"/>
        <v>2.2708641912150958E-12</v>
      </c>
      <c r="AL109" s="22">
        <f t="shared" si="58"/>
        <v>4.2330868906469593E-12</v>
      </c>
      <c r="AM109" s="62">
        <f t="shared" si="59"/>
        <v>293.33333333333752</v>
      </c>
      <c r="AN109" s="62">
        <f ca="1">AVERAGE(OFFSET($AM$3,0,0,'Données projet'!$E$10+1,1))-AVERAGE(OFFSET($H$3,0,0,'Données projet'!$E$10+1,1))</f>
        <v>201.92726874818067</v>
      </c>
      <c r="AO109" s="62">
        <f t="shared" si="90"/>
        <v>197.16147791248727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149.06158698431472</v>
      </c>
      <c r="AV109" s="23">
        <f>EXP(-LN(2)/25)*AV108+(1-EXP(-LN(2)/25))/(LN(2)/25)*Calculateur!AQ109*Calculateur!AS109*VLOOKUP('Données projet'!$B$10,Paramètres!$A$1:$I$89,3,0)*0.475*44/12</f>
        <v>60.051945452286233</v>
      </c>
      <c r="AW109" s="23">
        <f>EXP(-LN(2)/2)*AW108+(1-EXP(-LN(2)/2))/(LN(2)/2)*AQ109*AT109*VLOOKUP('Données projet'!$B$10,Paramètres!$A$1:$I$89,3,0)*0.475*44/12</f>
        <v>10.856070675881758</v>
      </c>
      <c r="AX109" s="23">
        <f t="shared" si="60"/>
        <v>219.96960311248273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5.2</v>
      </c>
      <c r="BD109" s="13">
        <f>IF('Données projet'!$A$88&gt;35,BD108+BC109-BL108,IF(A109&lt;'Données projet'!$A$88,$BA$205^A109,IF(A109='Données projet'!$A$88,'Données projet'!$B$88,BD108+BC109-BL108)))</f>
        <v>214.60000000000019</v>
      </c>
      <c r="BE109" s="14">
        <f>BD109*VLOOKUP('Données projet'!$B$11,Paramètres!$A$1:$I$89,3,0)*VLOOKUP('Données projet'!$B$11,Paramètres!$A$1:$I$89,5,0)</f>
        <v>217.6044000000002</v>
      </c>
      <c r="BF109" s="14">
        <f t="shared" si="91"/>
        <v>53.593882578706406</v>
      </c>
      <c r="BG109" s="22">
        <f t="shared" si="61"/>
        <v>472.33700882458061</v>
      </c>
      <c r="BH109" s="62">
        <f t="shared" si="62"/>
        <v>765.67034215791386</v>
      </c>
      <c r="BI109" s="62">
        <f ca="1">AVERAGE(OFFSET($BH$3,0,0,'Données projet'!$E$11+1,1))-AVERAGE(OFFSET($H$3,0,0,'Données projet'!$E$11+1,1))</f>
        <v>234.66244049825644</v>
      </c>
      <c r="BJ109" s="62">
        <f t="shared" si="92"/>
        <v>87.037318032671465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24.827368338976779</v>
      </c>
      <c r="BQ109" s="23">
        <f>EXP(-LN(2)/25)*BQ108+(1-EXP(-LN(2)/25))/(LN(2)/25)*Calculateur!BL109*Calculateur!BN109*VLOOKUP('Données projet'!$B$11,Paramètres!$A$1:$I$89,3,0)*0.475*44/12</f>
        <v>2.8265391138105032</v>
      </c>
      <c r="BR109" s="23">
        <f>EXP(-LN(2)/2)*BR108+(1-EXP(-LN(2)/2))/(LN(2)/2)*BL109*BO109*VLOOKUP('Données projet'!$B$11,Paramètres!$A$1:$I$89,3,0)*0.475*44/12</f>
        <v>0.19111282241588884</v>
      </c>
      <c r="BS109" s="24">
        <f t="shared" si="63"/>
        <v>27.845020275203172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395.00000000000017</v>
      </c>
      <c r="O110" s="14">
        <f>N110*VLOOKUP('Données projet'!$B$9,Paramètres!$A$1:$I$89,3,0)*VLOOKUP('Données projet'!$B$9,Paramètres!$A$1:$I$89,5,0)</f>
        <v>236.21000000000009</v>
      </c>
      <c r="P110" s="14">
        <f t="shared" si="87"/>
        <v>57.62333963053878</v>
      </c>
      <c r="Q110" s="22">
        <f t="shared" si="107"/>
        <v>511.75973318985524</v>
      </c>
      <c r="R110" s="62">
        <f t="shared" si="55"/>
        <v>805.09306652318855</v>
      </c>
      <c r="S110" s="62">
        <f ca="1">AVERAGE(OFFSET($R$3,0,0,'Données projet'!$E$9+1,1))-AVERAGE(OFFSET($H$3,0,0,'Données projet'!$E$9+1,1))</f>
        <v>217.62295992724461</v>
      </c>
      <c r="T110" s="62">
        <f t="shared" si="88"/>
        <v>198.62788037979772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15.229699832220339</v>
      </c>
      <c r="AA110" s="23">
        <f>EXP(-LN(2)/25)*AA109+(1-EXP(-LN(2)/25))/(LN(2)/25)*Calculateur!V110*Calculateur!X110*VLOOKUP('Données projet'!$B$9,Paramètres!$A$1:$I$89,3,0)*0.475*44/12</f>
        <v>1.7924607058226598</v>
      </c>
      <c r="AB110" s="23">
        <f>EXP(-LN(2)/2)*AB109+(1-EXP(-LN(2)/2))/(LN(2)/2)*V110*Y110*VLOOKUP('Données projet'!$B$9,Paramètres!$A$1:$I$89,3,0)*0.475*44/12</f>
        <v>1.6776541700104367E-7</v>
      </c>
      <c r="AC110" s="24">
        <f t="shared" si="57"/>
        <v>17.022160705808417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1.5961632016114892E-13</v>
      </c>
      <c r="AK110" s="14">
        <f t="shared" si="89"/>
        <v>2.2708641912150958E-12</v>
      </c>
      <c r="AL110" s="22">
        <f t="shared" si="58"/>
        <v>4.2330868906469593E-12</v>
      </c>
      <c r="AM110" s="62">
        <f t="shared" si="59"/>
        <v>293.33333333333752</v>
      </c>
      <c r="AN110" s="62">
        <f ca="1">AVERAGE(OFFSET($AM$3,0,0,'Données projet'!$E$10+1,1))-AVERAGE(OFFSET($H$3,0,0,'Données projet'!$E$10+1,1))</f>
        <v>201.92726874818067</v>
      </c>
      <c r="AO110" s="62">
        <f t="shared" si="90"/>
        <v>197.16147791248727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146.1385801821429</v>
      </c>
      <c r="AV110" s="23">
        <f>EXP(-LN(2)/25)*AV109+(1-EXP(-LN(2)/25))/(LN(2)/25)*Calculateur!AQ110*Calculateur!AS110*VLOOKUP('Données projet'!$B$10,Paramètres!$A$1:$I$89,3,0)*0.475*44/12</f>
        <v>58.409821845898904</v>
      </c>
      <c r="AW110" s="23">
        <f>EXP(-LN(2)/2)*AW109+(1-EXP(-LN(2)/2))/(LN(2)/2)*AQ110*AT110*VLOOKUP('Données projet'!$B$10,Paramètres!$A$1:$I$89,3,0)*0.475*44/12</f>
        <v>7.6764011919564181</v>
      </c>
      <c r="AX110" s="23">
        <f t="shared" si="60"/>
        <v>212.22480321999822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5.2</v>
      </c>
      <c r="BD110" s="13">
        <f>IF('Données projet'!$A$88&gt;35,BD109+BC110-BL109,IF(A110&lt;'Données projet'!$A$88,$BA$205^A110,IF(A110='Données projet'!$A$88,'Données projet'!$B$88,BD109+BC110-BL109)))</f>
        <v>219.80000000000018</v>
      </c>
      <c r="BE110" s="14">
        <f>BD110*VLOOKUP('Données projet'!$B$11,Paramètres!$A$1:$I$89,3,0)*VLOOKUP('Données projet'!$B$11,Paramètres!$A$1:$I$89,5,0)</f>
        <v>222.87720000000019</v>
      </c>
      <c r="BF110" s="14">
        <f t="shared" si="91"/>
        <v>54.739757243913878</v>
      </c>
      <c r="BG110" s="22">
        <f t="shared" si="61"/>
        <v>483.51620053315031</v>
      </c>
      <c r="BH110" s="62">
        <f t="shared" si="62"/>
        <v>776.84953386648363</v>
      </c>
      <c r="BI110" s="62">
        <f ca="1">AVERAGE(OFFSET($BH$3,0,0,'Données projet'!$E$11+1,1))-AVERAGE(OFFSET($H$3,0,0,'Données projet'!$E$11+1,1))</f>
        <v>234.66244049825644</v>
      </c>
      <c r="BJ110" s="62">
        <f t="shared" si="92"/>
        <v>87.037318032671465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24.340518789048865</v>
      </c>
      <c r="BQ110" s="23">
        <f>EXP(-LN(2)/25)*BQ109+(1-EXP(-LN(2)/25))/(LN(2)/25)*Calculateur!BL110*Calculateur!BN110*VLOOKUP('Données projet'!$B$11,Paramètres!$A$1:$I$89,3,0)*0.475*44/12</f>
        <v>2.7492472531021233</v>
      </c>
      <c r="BR110" s="23">
        <f>EXP(-LN(2)/2)*BR109+(1-EXP(-LN(2)/2))/(LN(2)/2)*BL110*BO110*VLOOKUP('Données projet'!$B$11,Paramètres!$A$1:$I$89,3,0)*0.475*44/12</f>
        <v>0.13513717270197542</v>
      </c>
      <c r="BS110" s="24">
        <f t="shared" si="63"/>
        <v>27.224903214852961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395.00000000000017</v>
      </c>
      <c r="O111" s="14">
        <f>N111*VLOOKUP('Données projet'!$B$9,Paramètres!$A$1:$I$89,3,0)*VLOOKUP('Données projet'!$B$9,Paramètres!$A$1:$I$89,5,0)</f>
        <v>236.21000000000009</v>
      </c>
      <c r="P111" s="14">
        <f t="shared" si="87"/>
        <v>57.62333963053878</v>
      </c>
      <c r="Q111" s="22">
        <f t="shared" si="107"/>
        <v>511.75973318985524</v>
      </c>
      <c r="R111" s="62">
        <f t="shared" si="55"/>
        <v>805.09306652318855</v>
      </c>
      <c r="S111" s="62">
        <f ca="1">AVERAGE(OFFSET($R$3,0,0,'Données projet'!$E$9+1,1))-AVERAGE(OFFSET($H$3,0,0,'Données projet'!$E$9+1,1))</f>
        <v>217.62295992724461</v>
      </c>
      <c r="T111" s="62">
        <f t="shared" si="88"/>
        <v>198.62788037979772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14.931054707710164</v>
      </c>
      <c r="AA111" s="23">
        <f>EXP(-LN(2)/25)*AA110+(1-EXP(-LN(2)/25))/(LN(2)/25)*Calculateur!V111*Calculateur!X111*VLOOKUP('Données projet'!$B$9,Paramètres!$A$1:$I$89,3,0)*0.475*44/12</f>
        <v>1.7434457735605273</v>
      </c>
      <c r="AB111" s="23">
        <f>EXP(-LN(2)/2)*AB110+(1-EXP(-LN(2)/2))/(LN(2)/2)*V111*Y111*VLOOKUP('Données projet'!$B$9,Paramètres!$A$1:$I$89,3,0)*0.475*44/12</f>
        <v>1.186280640100269E-7</v>
      </c>
      <c r="AC111" s="24">
        <f t="shared" si="57"/>
        <v>16.674500599898757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1.5961632016114892E-13</v>
      </c>
      <c r="AK111" s="14">
        <f t="shared" si="89"/>
        <v>2.2708641912150958E-12</v>
      </c>
      <c r="AL111" s="22">
        <f t="shared" si="58"/>
        <v>4.2330868906469593E-12</v>
      </c>
      <c r="AM111" s="62">
        <f t="shared" si="59"/>
        <v>293.33333333333752</v>
      </c>
      <c r="AN111" s="62">
        <f ca="1">AVERAGE(OFFSET($AM$3,0,0,'Données projet'!$E$10+1,1))-AVERAGE(OFFSET($H$3,0,0,'Données projet'!$E$10+1,1))</f>
        <v>201.92726874818067</v>
      </c>
      <c r="AO111" s="62">
        <f t="shared" si="90"/>
        <v>197.16147791248727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143.27289176050357</v>
      </c>
      <c r="AV111" s="23">
        <f>EXP(-LN(2)/25)*AV110+(1-EXP(-LN(2)/25))/(LN(2)/25)*Calculateur!AQ111*Calculateur!AS111*VLOOKUP('Données projet'!$B$10,Paramètres!$A$1:$I$89,3,0)*0.475*44/12</f>
        <v>56.812602195883763</v>
      </c>
      <c r="AW111" s="23">
        <f>EXP(-LN(2)/2)*AW110+(1-EXP(-LN(2)/2))/(LN(2)/2)*AQ111*AT111*VLOOKUP('Données projet'!$B$10,Paramètres!$A$1:$I$89,3,0)*0.475*44/12</f>
        <v>5.4280353379408801</v>
      </c>
      <c r="AX111" s="23">
        <f t="shared" si="60"/>
        <v>205.51352929432821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>
        <f>VLOOKUP(A111,'Données projet'!$A$87:$I$107,2,0)</f>
        <v>225</v>
      </c>
      <c r="BB111" s="13">
        <f>VLOOKUP(A111,'Données projet'!$A$87:$I$107,9,0)</f>
        <v>5.2</v>
      </c>
      <c r="BC111" s="13">
        <f t="array" ref="BC111">INDEX(BB:BB,MIN(IF(ISNUMBER(BB111:BB307),ROW(BB111:BB307),"")))</f>
        <v>5.2</v>
      </c>
      <c r="BD111" s="13">
        <f>IF('Données projet'!$A$88&gt;35,BD110+BC111-BL110,IF(A111&lt;'Données projet'!$A$88,$BA$205^A111,IF(A111='Données projet'!$A$88,'Données projet'!$B$88,BD110+BC111-BL110)))</f>
        <v>225.00000000000017</v>
      </c>
      <c r="BE111" s="14">
        <f>BD111*VLOOKUP('Données projet'!$B$11,Paramètres!$A$1:$I$89,3,0)*VLOOKUP('Données projet'!$B$11,Paramètres!$A$1:$I$89,5,0)</f>
        <v>228.15000000000018</v>
      </c>
      <c r="BF111" s="14">
        <f t="shared" si="91"/>
        <v>55.882480456847702</v>
      </c>
      <c r="BG111" s="22">
        <f t="shared" si="61"/>
        <v>494.68990346234341</v>
      </c>
      <c r="BH111" s="62">
        <f t="shared" si="62"/>
        <v>788.02323679567667</v>
      </c>
      <c r="BI111" s="62">
        <f ca="1">AVERAGE(OFFSET($BH$3,0,0,'Données projet'!$E$11+1,1))-AVERAGE(OFFSET($H$3,0,0,'Données projet'!$E$11+1,1))</f>
        <v>234.66244049825644</v>
      </c>
      <c r="BJ111" s="62">
        <f t="shared" si="92"/>
        <v>87.037318032671465</v>
      </c>
      <c r="BK111" s="16">
        <f>IF(ISNA(VLOOKUP(A111,'Données projet'!$A$87:$I$107,3,0)),0,VLOOKUP(A111,'Données projet'!$A$87:$I$107,3,0))</f>
        <v>7</v>
      </c>
      <c r="BL111" s="16">
        <f>IF(ISNA(VLOOKUP(A111,'Données projet'!$A$87:$I$107,4,0)),0,VLOOKUP(A111,'Données projet'!$A$87:$I$107,4,0))</f>
        <v>39</v>
      </c>
      <c r="BM111" s="17">
        <f>IF(ISNA(VLOOKUP(A111,'Données projet'!$A$87:$I$107,5,0)),0%,VLOOKUP(A111,'Données projet'!$A$87:$I$107,5,0)*VLOOKUP('Données projet'!$B$11,Paramètres!$A$1:$I$89,7,0))</f>
        <v>0.34400000000000003</v>
      </c>
      <c r="BN111" s="17">
        <f>IF(ISNA(VLOOKUP(A111,'Données projet'!$A$87:$I$107,6,0)),0%,VLOOKUP(A111,'Données projet'!$A$87:$I$107,6,0)*VLOOKUP('Données projet'!$B$11,Paramètres!$A$1:$I$89,7,0))</f>
        <v>1.72E-2</v>
      </c>
      <c r="BO111" s="17">
        <f>IF(ISNA(VLOOKUP(A111,'Données projet'!$A$87:$I$107,7,0)),0%,VLOOKUP(A111,'Données projet'!$A$87:$I$107,7,0))</f>
        <v>0.06</v>
      </c>
      <c r="BP111" s="23">
        <f>EXP(-LN(2)/35)*BP110+(1-EXP(-LN(2)/35))/(LN(2)/35)*BL111*BM111*VLOOKUP('Données projet'!$B$11,Paramètres!$A$1:$I$89,3,0)*0.475*44/12</f>
        <v>38.901840542225592</v>
      </c>
      <c r="BQ111" s="23">
        <f>EXP(-LN(2)/25)*BQ110+(1-EXP(-LN(2)/25))/(LN(2)/25)*Calculateur!BL111*Calculateur!BN111*VLOOKUP('Données projet'!$B$11,Paramètres!$A$1:$I$89,3,0)*0.475*44/12</f>
        <v>3.4230395266711677</v>
      </c>
      <c r="BR111" s="23">
        <f>EXP(-LN(2)/2)*BR110+(1-EXP(-LN(2)/2))/(LN(2)/2)*BL111*BO111*VLOOKUP('Données projet'!$B$11,Paramètres!$A$1:$I$89,3,0)*0.475*44/12</f>
        <v>2.3343193331070253</v>
      </c>
      <c r="BS111" s="24">
        <f t="shared" si="63"/>
        <v>44.659199402003786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395.00000000000017</v>
      </c>
      <c r="O112" s="14">
        <f>N112*VLOOKUP('Données projet'!$B$9,Paramètres!$A$1:$I$89,3,0)*VLOOKUP('Données projet'!$B$9,Paramètres!$A$1:$I$89,5,0)</f>
        <v>236.21000000000009</v>
      </c>
      <c r="P112" s="14">
        <f t="shared" si="87"/>
        <v>57.62333963053878</v>
      </c>
      <c r="Q112" s="22">
        <f t="shared" si="107"/>
        <v>511.75973318985524</v>
      </c>
      <c r="R112" s="62">
        <f t="shared" si="55"/>
        <v>805.09306652318855</v>
      </c>
      <c r="S112" s="62">
        <f ca="1">AVERAGE(OFFSET($R$3,0,0,'Données projet'!$E$9+1,1))-AVERAGE(OFFSET($H$3,0,0,'Données projet'!$E$9+1,1))</f>
        <v>217.62295992724461</v>
      </c>
      <c r="T112" s="62">
        <f t="shared" si="88"/>
        <v>198.62788037979772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14.638265831936094</v>
      </c>
      <c r="AA112" s="23">
        <f>EXP(-LN(2)/25)*AA111+(1-EXP(-LN(2)/25))/(LN(2)/25)*Calculateur!V112*Calculateur!X112*VLOOKUP('Données projet'!$B$9,Paramètres!$A$1:$I$89,3,0)*0.475*44/12</f>
        <v>1.6957711571986862</v>
      </c>
      <c r="AB112" s="23">
        <f>EXP(-LN(2)/2)*AB111+(1-EXP(-LN(2)/2))/(LN(2)/2)*V112*Y112*VLOOKUP('Données projet'!$B$9,Paramètres!$A$1:$I$89,3,0)*0.475*44/12</f>
        <v>8.3882708500521851E-8</v>
      </c>
      <c r="AC112" s="24">
        <f t="shared" si="57"/>
        <v>16.334037073017488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1.5961632016114892E-13</v>
      </c>
      <c r="AK112" s="14">
        <f t="shared" si="89"/>
        <v>2.2708641912150958E-12</v>
      </c>
      <c r="AL112" s="22">
        <f t="shared" si="58"/>
        <v>4.2330868906469593E-12</v>
      </c>
      <c r="AM112" s="62">
        <f t="shared" si="59"/>
        <v>293.33333333333752</v>
      </c>
      <c r="AN112" s="62">
        <f ca="1">AVERAGE(OFFSET($AM$3,0,0,'Données projet'!$E$10+1,1))-AVERAGE(OFFSET($H$3,0,0,'Données projet'!$E$10+1,1))</f>
        <v>201.92726874818067</v>
      </c>
      <c r="AO112" s="62">
        <f t="shared" si="90"/>
        <v>197.16147791248727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140.46339774091524</v>
      </c>
      <c r="AV112" s="23">
        <f>EXP(-LN(2)/25)*AV111+(1-EXP(-LN(2)/25))/(LN(2)/25)*Calculateur!AQ112*Calculateur!AS112*VLOOKUP('Données projet'!$B$10,Paramètres!$A$1:$I$89,3,0)*0.475*44/12</f>
        <v>55.259058601192422</v>
      </c>
      <c r="AW112" s="23">
        <f>EXP(-LN(2)/2)*AW111+(1-EXP(-LN(2)/2))/(LN(2)/2)*AQ112*AT112*VLOOKUP('Données projet'!$B$10,Paramètres!$A$1:$I$89,3,0)*0.475*44/12</f>
        <v>3.8382005959782095</v>
      </c>
      <c r="AX112" s="23">
        <f t="shared" si="60"/>
        <v>199.56065693808586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5.5</v>
      </c>
      <c r="BD112" s="13">
        <f>IF('Données projet'!$A$88&gt;35,BD111+BC112-BL111,IF(A112&lt;'Données projet'!$A$88,$BA$205^A112,IF(A112='Données projet'!$A$88,'Données projet'!$B$88,BD111+BC112-BL111)))</f>
        <v>191.50000000000017</v>
      </c>
      <c r="BE112" s="14">
        <f>BD112*VLOOKUP('Données projet'!$B$11,Paramètres!$A$1:$I$89,3,0)*VLOOKUP('Données projet'!$B$11,Paramètres!$A$1:$I$89,5,0)</f>
        <v>194.18100000000018</v>
      </c>
      <c r="BF112" s="14">
        <f t="shared" si="91"/>
        <v>48.463138338079936</v>
      </c>
      <c r="BG112" s="22">
        <f t="shared" si="61"/>
        <v>422.60520760548957</v>
      </c>
      <c r="BH112" s="62">
        <f t="shared" si="62"/>
        <v>715.93854093882283</v>
      </c>
      <c r="BI112" s="62">
        <f ca="1">AVERAGE(OFFSET($BH$3,0,0,'Données projet'!$E$11+1,1))-AVERAGE(OFFSET($H$3,0,0,'Données projet'!$E$11+1,1))</f>
        <v>234.66244049825644</v>
      </c>
      <c r="BJ112" s="62">
        <f t="shared" si="92"/>
        <v>87.037318032671465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38.138999176972355</v>
      </c>
      <c r="BQ112" s="23">
        <f>EXP(-LN(2)/25)*BQ111+(1-EXP(-LN(2)/25))/(LN(2)/25)*Calculateur!BL112*Calculateur!BN112*VLOOKUP('Données projet'!$B$11,Paramètres!$A$1:$I$89,3,0)*0.475*44/12</f>
        <v>3.3294363308045196</v>
      </c>
      <c r="BR112" s="23">
        <f>EXP(-LN(2)/2)*BR111+(1-EXP(-LN(2)/2))/(LN(2)/2)*BL112*BO112*VLOOKUP('Données projet'!$B$11,Paramètres!$A$1:$I$89,3,0)*0.475*44/12</f>
        <v>1.6506130298948369</v>
      </c>
      <c r="BS112" s="24">
        <f t="shared" si="63"/>
        <v>43.119048537671709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395.00000000000017</v>
      </c>
      <c r="O113" s="14">
        <f>N113*VLOOKUP('Données projet'!$B$9,Paramètres!$A$1:$I$89,3,0)*VLOOKUP('Données projet'!$B$9,Paramètres!$A$1:$I$89,5,0)</f>
        <v>236.21000000000009</v>
      </c>
      <c r="P113" s="14">
        <f t="shared" si="87"/>
        <v>57.62333963053878</v>
      </c>
      <c r="Q113" s="22">
        <f t="shared" si="107"/>
        <v>511.75973318985524</v>
      </c>
      <c r="R113" s="62">
        <f t="shared" si="55"/>
        <v>805.09306652318855</v>
      </c>
      <c r="S113" s="62">
        <f ca="1">AVERAGE(OFFSET($R$3,0,0,'Données projet'!$E$9+1,1))-AVERAGE(OFFSET($H$3,0,0,'Données projet'!$E$9+1,1))</f>
        <v>217.62295992724461</v>
      </c>
      <c r="T113" s="62">
        <f t="shared" si="88"/>
        <v>198.62788037979772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14.351218367432372</v>
      </c>
      <c r="AA113" s="23">
        <f>EXP(-LN(2)/25)*AA112+(1-EXP(-LN(2)/25))/(LN(2)/25)*Calculateur!V113*Calculateur!X113*VLOOKUP('Données projet'!$B$9,Paramètres!$A$1:$I$89,3,0)*0.475*44/12</f>
        <v>1.6494002057283588</v>
      </c>
      <c r="AB113" s="23">
        <f>EXP(-LN(2)/2)*AB112+(1-EXP(-LN(2)/2))/(LN(2)/2)*V113*Y113*VLOOKUP('Données projet'!$B$9,Paramètres!$A$1:$I$89,3,0)*0.475*44/12</f>
        <v>5.9314032005013457E-8</v>
      </c>
      <c r="AC113" s="24">
        <f t="shared" si="57"/>
        <v>16.000618632474762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1.5961632016114892E-13</v>
      </c>
      <c r="AK113" s="14">
        <f t="shared" si="89"/>
        <v>2.2708641912150958E-12</v>
      </c>
      <c r="AL113" s="22">
        <f t="shared" si="58"/>
        <v>4.2330868906469593E-12</v>
      </c>
      <c r="AM113" s="62">
        <f t="shared" si="59"/>
        <v>293.33333333333752</v>
      </c>
      <c r="AN113" s="62">
        <f ca="1">AVERAGE(OFFSET($AM$3,0,0,'Données projet'!$E$10+1,1))-AVERAGE(OFFSET($H$3,0,0,'Données projet'!$E$10+1,1))</f>
        <v>201.92726874818067</v>
      </c>
      <c r="AO113" s="62">
        <f t="shared" si="90"/>
        <v>197.16147791248727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137.7089961854289</v>
      </c>
      <c r="AV113" s="23">
        <f>EXP(-LN(2)/25)*AV112+(1-EXP(-LN(2)/25))/(LN(2)/25)*Calculateur!AQ113*Calculateur!AS113*VLOOKUP('Données projet'!$B$10,Paramètres!$A$1:$I$89,3,0)*0.475*44/12</f>
        <v>53.747996737795219</v>
      </c>
      <c r="AW113" s="23">
        <f>EXP(-LN(2)/2)*AW112+(1-EXP(-LN(2)/2))/(LN(2)/2)*AQ113*AT113*VLOOKUP('Données projet'!$B$10,Paramètres!$A$1:$I$89,3,0)*0.475*44/12</f>
        <v>2.7140176689704401</v>
      </c>
      <c r="AX113" s="23">
        <f t="shared" si="60"/>
        <v>194.17101059219453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5.5</v>
      </c>
      <c r="BD113" s="13">
        <f>IF('Données projet'!$A$88&gt;35,BD112+BC113-BL112,IF(A113&lt;'Données projet'!$A$88,$BA$205^A113,IF(A113='Données projet'!$A$88,'Données projet'!$B$88,BD112+BC113-BL112)))</f>
        <v>197.00000000000017</v>
      </c>
      <c r="BE113" s="14">
        <f>BD113*VLOOKUP('Données projet'!$B$11,Paramètres!$A$1:$I$89,3,0)*VLOOKUP('Données projet'!$B$11,Paramètres!$A$1:$I$89,5,0)</f>
        <v>199.75800000000021</v>
      </c>
      <c r="BF113" s="14">
        <f t="shared" si="91"/>
        <v>49.690979702964015</v>
      </c>
      <c r="BG113" s="22">
        <f t="shared" si="61"/>
        <v>434.45697298266265</v>
      </c>
      <c r="BH113" s="62">
        <f t="shared" si="62"/>
        <v>727.79030631599596</v>
      </c>
      <c r="BI113" s="62">
        <f ca="1">AVERAGE(OFFSET($BH$3,0,0,'Données projet'!$E$11+1,1))-AVERAGE(OFFSET($H$3,0,0,'Données projet'!$E$11+1,1))</f>
        <v>234.66244049825644</v>
      </c>
      <c r="BJ113" s="62">
        <f t="shared" si="92"/>
        <v>87.037318032671465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37.391116665604443</v>
      </c>
      <c r="BQ113" s="23">
        <f>EXP(-LN(2)/25)*BQ112+(1-EXP(-LN(2)/25))/(LN(2)/25)*Calculateur!BL113*Calculateur!BN113*VLOOKUP('Données projet'!$B$11,Paramètres!$A$1:$I$89,3,0)*0.475*44/12</f>
        <v>3.2383927192512227</v>
      </c>
      <c r="BR113" s="23">
        <f>EXP(-LN(2)/2)*BR112+(1-EXP(-LN(2)/2))/(LN(2)/2)*BL113*BO113*VLOOKUP('Données projet'!$B$11,Paramètres!$A$1:$I$89,3,0)*0.475*44/12</f>
        <v>1.1671596665535127</v>
      </c>
      <c r="BS113" s="24">
        <f t="shared" si="63"/>
        <v>41.796669051409182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395.00000000000017</v>
      </c>
      <c r="O114" s="14">
        <f>N114*VLOOKUP('Données projet'!$B$9,Paramètres!$A$1:$I$89,3,0)*VLOOKUP('Données projet'!$B$9,Paramètres!$A$1:$I$89,5,0)</f>
        <v>236.21000000000009</v>
      </c>
      <c r="P114" s="14">
        <f t="shared" si="87"/>
        <v>57.62333963053878</v>
      </c>
      <c r="Q114" s="22">
        <f t="shared" si="107"/>
        <v>511.75973318985524</v>
      </c>
      <c r="R114" s="62">
        <f t="shared" si="55"/>
        <v>805.09306652318855</v>
      </c>
      <c r="S114" s="62">
        <f ca="1">AVERAGE(OFFSET($R$3,0,0,'Données projet'!$E$9+1,1))-AVERAGE(OFFSET($H$3,0,0,'Données projet'!$E$9+1,1))</f>
        <v>217.62295992724461</v>
      </c>
      <c r="T114" s="62">
        <f t="shared" si="88"/>
        <v>198.62788037979772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14.069799728625902</v>
      </c>
      <c r="AA114" s="23">
        <f>EXP(-LN(2)/25)*AA113+(1-EXP(-LN(2)/25))/(LN(2)/25)*Calculateur!V114*Calculateur!X114*VLOOKUP('Données projet'!$B$9,Paramètres!$A$1:$I$89,3,0)*0.475*44/12</f>
        <v>1.6042972703645297</v>
      </c>
      <c r="AB114" s="23">
        <f>EXP(-LN(2)/2)*AB113+(1-EXP(-LN(2)/2))/(LN(2)/2)*V114*Y114*VLOOKUP('Données projet'!$B$9,Paramètres!$A$1:$I$89,3,0)*0.475*44/12</f>
        <v>4.1941354250260932E-8</v>
      </c>
      <c r="AC114" s="24">
        <f t="shared" si="57"/>
        <v>15.674097040931786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1.5961632016114892E-13</v>
      </c>
      <c r="AK114" s="14">
        <f t="shared" si="89"/>
        <v>2.2708641912150958E-12</v>
      </c>
      <c r="AL114" s="22">
        <f t="shared" si="58"/>
        <v>4.2330868906469593E-12</v>
      </c>
      <c r="AM114" s="62">
        <f t="shared" si="59"/>
        <v>293.33333333333752</v>
      </c>
      <c r="AN114" s="62">
        <f ca="1">AVERAGE(OFFSET($AM$3,0,0,'Données projet'!$E$10+1,1))-AVERAGE(OFFSET($H$3,0,0,'Données projet'!$E$10+1,1))</f>
        <v>201.92726874818067</v>
      </c>
      <c r="AO114" s="62">
        <f t="shared" si="90"/>
        <v>197.16147791248727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135.00860676442659</v>
      </c>
      <c r="AV114" s="23">
        <f>EXP(-LN(2)/25)*AV113+(1-EXP(-LN(2)/25))/(LN(2)/25)*Calculateur!AQ114*Calculateur!AS114*VLOOKUP('Données projet'!$B$10,Paramètres!$A$1:$I$89,3,0)*0.475*44/12</f>
        <v>52.2782549405159</v>
      </c>
      <c r="AW114" s="23">
        <f>EXP(-LN(2)/2)*AW113+(1-EXP(-LN(2)/2))/(LN(2)/2)*AQ114*AT114*VLOOKUP('Données projet'!$B$10,Paramètres!$A$1:$I$89,3,0)*0.475*44/12</f>
        <v>1.9191002979891048</v>
      </c>
      <c r="AX114" s="23">
        <f t="shared" si="60"/>
        <v>189.20596200293159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5.5</v>
      </c>
      <c r="BD114" s="13">
        <f>IF('Données projet'!$A$88&gt;35,BD113+BC114-BL113,IF(A114&lt;'Données projet'!$A$88,$BA$205^A114,IF(A114='Données projet'!$A$88,'Données projet'!$B$88,BD113+BC114-BL113)))</f>
        <v>202.50000000000017</v>
      </c>
      <c r="BE114" s="14">
        <f>BD114*VLOOKUP('Données projet'!$B$11,Paramètres!$A$1:$I$89,3,0)*VLOOKUP('Données projet'!$B$11,Paramètres!$A$1:$I$89,5,0)</f>
        <v>205.33500000000018</v>
      </c>
      <c r="BF114" s="14">
        <f t="shared" si="91"/>
        <v>50.914836824624324</v>
      </c>
      <c r="BG114" s="22">
        <f t="shared" si="61"/>
        <v>446.30179913622095</v>
      </c>
      <c r="BH114" s="62">
        <f t="shared" si="62"/>
        <v>739.63513246955426</v>
      </c>
      <c r="BI114" s="62">
        <f ca="1">AVERAGE(OFFSET($BH$3,0,0,'Données projet'!$E$11+1,1))-AVERAGE(OFFSET($H$3,0,0,'Données projet'!$E$11+1,1))</f>
        <v>234.66244049825644</v>
      </c>
      <c r="BJ114" s="62">
        <f t="shared" si="92"/>
        <v>87.037318032671465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36.657899674121168</v>
      </c>
      <c r="BQ114" s="23">
        <f>EXP(-LN(2)/25)*BQ113+(1-EXP(-LN(2)/25))/(LN(2)/25)*Calculateur!BL114*Calculateur!BN114*VLOOKUP('Données projet'!$B$11,Paramètres!$A$1:$I$89,3,0)*0.475*44/12</f>
        <v>3.1498387000436265</v>
      </c>
      <c r="BR114" s="23">
        <f>EXP(-LN(2)/2)*BR113+(1-EXP(-LN(2)/2))/(LN(2)/2)*BL114*BO114*VLOOKUP('Données projet'!$B$11,Paramètres!$A$1:$I$89,3,0)*0.475*44/12</f>
        <v>0.82530651494741847</v>
      </c>
      <c r="BS114" s="24">
        <f t="shared" si="63"/>
        <v>40.633044889112213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395.00000000000017</v>
      </c>
      <c r="O115" s="14">
        <f>N115*VLOOKUP('Données projet'!$B$9,Paramètres!$A$1:$I$89,3,0)*VLOOKUP('Données projet'!$B$9,Paramètres!$A$1:$I$89,5,0)</f>
        <v>236.21000000000009</v>
      </c>
      <c r="P115" s="14">
        <f t="shared" si="87"/>
        <v>57.62333963053878</v>
      </c>
      <c r="Q115" s="22">
        <f t="shared" si="107"/>
        <v>511.75973318985524</v>
      </c>
      <c r="R115" s="62">
        <f t="shared" si="55"/>
        <v>805.09306652318855</v>
      </c>
      <c r="S115" s="62">
        <f ca="1">AVERAGE(OFFSET($R$3,0,0,'Données projet'!$E$9+1,1))-AVERAGE(OFFSET($H$3,0,0,'Données projet'!$E$9+1,1))</f>
        <v>217.62295992724461</v>
      </c>
      <c r="T115" s="62">
        <f t="shared" si="88"/>
        <v>198.62788037979772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13.793899537678007</v>
      </c>
      <c r="AA115" s="23">
        <f>EXP(-LN(2)/25)*AA114+(1-EXP(-LN(2)/25))/(LN(2)/25)*Calculateur!V115*Calculateur!X115*VLOOKUP('Données projet'!$B$9,Paramètres!$A$1:$I$89,3,0)*0.475*44/12</f>
        <v>1.5604276771400849</v>
      </c>
      <c r="AB115" s="23">
        <f>EXP(-LN(2)/2)*AB114+(1-EXP(-LN(2)/2))/(LN(2)/2)*V115*Y115*VLOOKUP('Données projet'!$B$9,Paramètres!$A$1:$I$89,3,0)*0.475*44/12</f>
        <v>2.9657016002506735E-8</v>
      </c>
      <c r="AC115" s="24">
        <f t="shared" si="57"/>
        <v>15.354327244475108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1.5961632016114892E-13</v>
      </c>
      <c r="AK115" s="14">
        <f t="shared" si="89"/>
        <v>2.2708641912150958E-12</v>
      </c>
      <c r="AL115" s="22">
        <f t="shared" si="58"/>
        <v>4.2330868906469593E-12</v>
      </c>
      <c r="AM115" s="62">
        <f t="shared" si="59"/>
        <v>293.33333333333752</v>
      </c>
      <c r="AN115" s="62">
        <f ca="1">AVERAGE(OFFSET($AM$3,0,0,'Données projet'!$E$10+1,1))-AVERAGE(OFFSET($H$3,0,0,'Données projet'!$E$10+1,1))</f>
        <v>201.92726874818067</v>
      </c>
      <c r="AO115" s="62">
        <f t="shared" si="90"/>
        <v>197.16147791248727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132.3611703328952</v>
      </c>
      <c r="AV115" s="23">
        <f>EXP(-LN(2)/25)*AV114+(1-EXP(-LN(2)/25))/(LN(2)/25)*Calculateur!AQ115*Calculateur!AS115*VLOOKUP('Données projet'!$B$10,Paramètres!$A$1:$I$89,3,0)*0.475*44/12</f>
        <v>50.848703309973551</v>
      </c>
      <c r="AW115" s="23">
        <f>EXP(-LN(2)/2)*AW114+(1-EXP(-LN(2)/2))/(LN(2)/2)*AQ115*AT115*VLOOKUP('Données projet'!$B$10,Paramètres!$A$1:$I$89,3,0)*0.475*44/12</f>
        <v>1.35700883448522</v>
      </c>
      <c r="AX115" s="23">
        <f t="shared" si="60"/>
        <v>184.56688247735397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5.5</v>
      </c>
      <c r="BD115" s="13">
        <f>IF('Données projet'!$A$88&gt;35,BD114+BC115-BL114,IF(A115&lt;'Données projet'!$A$88,$BA$205^A115,IF(A115='Données projet'!$A$88,'Données projet'!$B$88,BD114+BC115-BL114)))</f>
        <v>208.00000000000017</v>
      </c>
      <c r="BE115" s="14">
        <f>BD115*VLOOKUP('Données projet'!$B$11,Paramètres!$A$1:$I$89,3,0)*VLOOKUP('Données projet'!$B$11,Paramètres!$A$1:$I$89,5,0)</f>
        <v>210.91200000000018</v>
      </c>
      <c r="BF115" s="14">
        <f t="shared" si="91"/>
        <v>52.134830352456831</v>
      </c>
      <c r="BG115" s="22">
        <f t="shared" si="61"/>
        <v>458.13989619719592</v>
      </c>
      <c r="BH115" s="62">
        <f t="shared" si="62"/>
        <v>751.47322953052924</v>
      </c>
      <c r="BI115" s="62">
        <f ca="1">AVERAGE(OFFSET($BH$3,0,0,'Données projet'!$E$11+1,1))-AVERAGE(OFFSET($H$3,0,0,'Données projet'!$E$11+1,1))</f>
        <v>234.66244049825644</v>
      </c>
      <c r="BJ115" s="62">
        <f t="shared" si="92"/>
        <v>87.037318032671465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35.939060620622676</v>
      </c>
      <c r="BQ115" s="23">
        <f>EXP(-LN(2)/25)*BQ114+(1-EXP(-LN(2)/25))/(LN(2)/25)*Calculateur!BL115*Calculateur!BN115*VLOOKUP('Données projet'!$B$11,Paramètres!$A$1:$I$89,3,0)*0.475*44/12</f>
        <v>3.0637061951481153</v>
      </c>
      <c r="BR115" s="23">
        <f>EXP(-LN(2)/2)*BR114+(1-EXP(-LN(2)/2))/(LN(2)/2)*BL115*BO115*VLOOKUP('Données projet'!$B$11,Paramètres!$A$1:$I$89,3,0)*0.475*44/12</f>
        <v>0.58357983327675633</v>
      </c>
      <c r="BS115" s="24">
        <f t="shared" si="63"/>
        <v>39.586346649047549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395.00000000000017</v>
      </c>
      <c r="O116" s="14">
        <f>N116*VLOOKUP('Données projet'!$B$9,Paramètres!$A$1:$I$89,3,0)*VLOOKUP('Données projet'!$B$9,Paramètres!$A$1:$I$89,5,0)</f>
        <v>236.21000000000009</v>
      </c>
      <c r="P116" s="14">
        <f t="shared" si="87"/>
        <v>57.62333963053878</v>
      </c>
      <c r="Q116" s="22">
        <f t="shared" si="107"/>
        <v>511.75973318985524</v>
      </c>
      <c r="R116" s="62">
        <f t="shared" si="55"/>
        <v>805.09306652318855</v>
      </c>
      <c r="S116" s="62">
        <f ca="1">AVERAGE(OFFSET($R$3,0,0,'Données projet'!$E$9+1,1))-AVERAGE(OFFSET($H$3,0,0,'Données projet'!$E$9+1,1))</f>
        <v>217.62295992724461</v>
      </c>
      <c r="T116" s="62">
        <f t="shared" si="88"/>
        <v>198.62788037979772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13.5234095811921</v>
      </c>
      <c r="AA116" s="23">
        <f>EXP(-LN(2)/25)*AA115+(1-EXP(-LN(2)/25))/(LN(2)/25)*Calculateur!V116*Calculateur!X116*VLOOKUP('Données projet'!$B$9,Paramètres!$A$1:$I$89,3,0)*0.475*44/12</f>
        <v>1.5177577002493641</v>
      </c>
      <c r="AB116" s="23">
        <f>EXP(-LN(2)/2)*AB115+(1-EXP(-LN(2)/2))/(LN(2)/2)*V116*Y116*VLOOKUP('Données projet'!$B$9,Paramètres!$A$1:$I$89,3,0)*0.475*44/12</f>
        <v>2.0970677125130469E-8</v>
      </c>
      <c r="AC116" s="24">
        <f t="shared" si="57"/>
        <v>15.041167302412141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1.5961632016114892E-13</v>
      </c>
      <c r="AK116" s="14">
        <f t="shared" si="89"/>
        <v>2.2708641912150958E-12</v>
      </c>
      <c r="AL116" s="22">
        <f t="shared" si="58"/>
        <v>4.2330868906469593E-12</v>
      </c>
      <c r="AM116" s="62">
        <f t="shared" si="59"/>
        <v>293.33333333333752</v>
      </c>
      <c r="AN116" s="62">
        <f ca="1">AVERAGE(OFFSET($AM$3,0,0,'Données projet'!$E$10+1,1))-AVERAGE(OFFSET($H$3,0,0,'Données projet'!$E$10+1,1))</f>
        <v>201.92726874818067</v>
      </c>
      <c r="AO116" s="62">
        <f t="shared" si="90"/>
        <v>197.16147791248727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129.76564851500936</v>
      </c>
      <c r="AV116" s="23">
        <f>EXP(-LN(2)/25)*AV115+(1-EXP(-LN(2)/25))/(LN(2)/25)*Calculateur!AQ116*Calculateur!AS116*VLOOKUP('Données projet'!$B$10,Paramètres!$A$1:$I$89,3,0)*0.475*44/12</f>
        <v>49.458242843945236</v>
      </c>
      <c r="AW116" s="23">
        <f>EXP(-LN(2)/2)*AW115+(1-EXP(-LN(2)/2))/(LN(2)/2)*AQ116*AT116*VLOOKUP('Données projet'!$B$10,Paramètres!$A$1:$I$89,3,0)*0.475*44/12</f>
        <v>0.95955014899455238</v>
      </c>
      <c r="AX116" s="23">
        <f t="shared" si="60"/>
        <v>180.18344150794917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5.5</v>
      </c>
      <c r="BD116" s="13">
        <f>IF('Données projet'!$A$88&gt;35,BD115+BC116-BL115,IF(A116&lt;'Données projet'!$A$88,$BA$205^A116,IF(A116='Données projet'!$A$88,'Données projet'!$B$88,BD115+BC116-BL115)))</f>
        <v>213.50000000000017</v>
      </c>
      <c r="BE116" s="14">
        <f>BD116*VLOOKUP('Données projet'!$B$11,Paramètres!$A$1:$I$89,3,0)*VLOOKUP('Données projet'!$B$11,Paramètres!$A$1:$I$89,5,0)</f>
        <v>216.4890000000002</v>
      </c>
      <c r="BF116" s="14">
        <f t="shared" si="91"/>
        <v>53.351074192023148</v>
      </c>
      <c r="BG116" s="22">
        <f t="shared" si="61"/>
        <v>469.97146255110721</v>
      </c>
      <c r="BH116" s="62">
        <f t="shared" si="62"/>
        <v>763.30479588444052</v>
      </c>
      <c r="BI116" s="62">
        <f ca="1">AVERAGE(OFFSET($BH$3,0,0,'Données projet'!$E$11+1,1))-AVERAGE(OFFSET($H$3,0,0,'Données projet'!$E$11+1,1))</f>
        <v>234.66244049825644</v>
      </c>
      <c r="BJ116" s="62">
        <f t="shared" si="92"/>
        <v>87.037318032671465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35.234317562514761</v>
      </c>
      <c r="BQ116" s="23">
        <f>EXP(-LN(2)/25)*BQ115+(1-EXP(-LN(2)/25))/(LN(2)/25)*Calculateur!BL116*Calculateur!BN116*VLOOKUP('Données projet'!$B$11,Paramètres!$A$1:$I$89,3,0)*0.475*44/12</f>
        <v>2.9799289881284836</v>
      </c>
      <c r="BR116" s="23">
        <f>EXP(-LN(2)/2)*BR115+(1-EXP(-LN(2)/2))/(LN(2)/2)*BL116*BO116*VLOOKUP('Données projet'!$B$11,Paramètres!$A$1:$I$89,3,0)*0.475*44/12</f>
        <v>0.41265325747370923</v>
      </c>
      <c r="BS116" s="24">
        <f t="shared" si="63"/>
        <v>38.626899808116953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395.00000000000017</v>
      </c>
      <c r="O117" s="14">
        <f>N117*VLOOKUP('Données projet'!$B$9,Paramètres!$A$1:$I$89,3,0)*VLOOKUP('Données projet'!$B$9,Paramètres!$A$1:$I$89,5,0)</f>
        <v>236.21000000000009</v>
      </c>
      <c r="P117" s="14">
        <f t="shared" si="87"/>
        <v>57.62333963053878</v>
      </c>
      <c r="Q117" s="22">
        <f t="shared" si="107"/>
        <v>511.75973318985524</v>
      </c>
      <c r="R117" s="62">
        <f t="shared" si="55"/>
        <v>805.09306652318855</v>
      </c>
      <c r="S117" s="62">
        <f ca="1">AVERAGE(OFFSET($R$3,0,0,'Données projet'!$E$9+1,1))-AVERAGE(OFFSET($H$3,0,0,'Données projet'!$E$9+1,1))</f>
        <v>217.62295992724461</v>
      </c>
      <c r="T117" s="62">
        <f t="shared" si="88"/>
        <v>198.62788037979772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13.258223767770298</v>
      </c>
      <c r="AA117" s="23">
        <f>EXP(-LN(2)/25)*AA116+(1-EXP(-LN(2)/25))/(LN(2)/25)*Calculateur!V117*Calculateur!X117*VLOOKUP('Données projet'!$B$9,Paramètres!$A$1:$I$89,3,0)*0.475*44/12</f>
        <v>1.4762545361206367</v>
      </c>
      <c r="AB117" s="23">
        <f>EXP(-LN(2)/2)*AB116+(1-EXP(-LN(2)/2))/(LN(2)/2)*V117*Y117*VLOOKUP('Données projet'!$B$9,Paramètres!$A$1:$I$89,3,0)*0.475*44/12</f>
        <v>1.4828508001253369E-8</v>
      </c>
      <c r="AC117" s="24">
        <f t="shared" si="57"/>
        <v>14.734478318719443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1.5961632016114892E-13</v>
      </c>
      <c r="AK117" s="14">
        <f t="shared" si="89"/>
        <v>2.2708641912150958E-12</v>
      </c>
      <c r="AL117" s="22">
        <f t="shared" si="58"/>
        <v>4.2330868906469593E-12</v>
      </c>
      <c r="AM117" s="62">
        <f t="shared" si="59"/>
        <v>293.33333333333752</v>
      </c>
      <c r="AN117" s="62">
        <f ca="1">AVERAGE(OFFSET($AM$3,0,0,'Données projet'!$E$10+1,1))-AVERAGE(OFFSET($H$3,0,0,'Données projet'!$E$10+1,1))</f>
        <v>201.92726874818067</v>
      </c>
      <c r="AO117" s="62">
        <f t="shared" si="90"/>
        <v>197.16147791248727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127.22102329686028</v>
      </c>
      <c r="AV117" s="23">
        <f>EXP(-LN(2)/25)*AV116+(1-EXP(-LN(2)/25))/(LN(2)/25)*Calculateur!AQ117*Calculateur!AS117*VLOOKUP('Données projet'!$B$10,Paramètres!$A$1:$I$89,3,0)*0.475*44/12</f>
        <v>48.105804592481597</v>
      </c>
      <c r="AW117" s="23">
        <f>EXP(-LN(2)/2)*AW116+(1-EXP(-LN(2)/2))/(LN(2)/2)*AQ117*AT117*VLOOKUP('Données projet'!$B$10,Paramètres!$A$1:$I$89,3,0)*0.475*44/12</f>
        <v>0.67850441724261001</v>
      </c>
      <c r="AX117" s="23">
        <f t="shared" si="60"/>
        <v>176.00533230658448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5.5</v>
      </c>
      <c r="BD117" s="13">
        <f>IF('Données projet'!$A$88&gt;35,BD116+BC117-BL116,IF(A117&lt;'Données projet'!$A$88,$BA$205^A117,IF(A117='Données projet'!$A$88,'Données projet'!$B$88,BD116+BC117-BL116)))</f>
        <v>219.00000000000017</v>
      </c>
      <c r="BE117" s="14">
        <f>BD117*VLOOKUP('Données projet'!$B$11,Paramètres!$A$1:$I$89,3,0)*VLOOKUP('Données projet'!$B$11,Paramètres!$A$1:$I$89,5,0)</f>
        <v>222.06600000000017</v>
      </c>
      <c r="BF117" s="14">
        <f t="shared" si="91"/>
        <v>54.563676045889387</v>
      </c>
      <c r="BG117" s="22">
        <f t="shared" si="61"/>
        <v>481.79668577992425</v>
      </c>
      <c r="BH117" s="62">
        <f t="shared" si="62"/>
        <v>775.1300191132575</v>
      </c>
      <c r="BI117" s="62">
        <f ca="1">AVERAGE(OFFSET($BH$3,0,0,'Données projet'!$E$11+1,1))-AVERAGE(OFFSET($H$3,0,0,'Données projet'!$E$11+1,1))</f>
        <v>234.66244049825644</v>
      </c>
      <c r="BJ117" s="62">
        <f t="shared" si="92"/>
        <v>87.037318032671465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34.54339408592552</v>
      </c>
      <c r="BQ117" s="23">
        <f>EXP(-LN(2)/25)*BQ116+(1-EXP(-LN(2)/25))/(LN(2)/25)*Calculateur!BL117*Calculateur!BN117*VLOOKUP('Données projet'!$B$11,Paramètres!$A$1:$I$89,3,0)*0.475*44/12</f>
        <v>2.8984426732404556</v>
      </c>
      <c r="BR117" s="23">
        <f>EXP(-LN(2)/2)*BR116+(1-EXP(-LN(2)/2))/(LN(2)/2)*BL117*BO117*VLOOKUP('Données projet'!$B$11,Paramètres!$A$1:$I$89,3,0)*0.475*44/12</f>
        <v>0.29178991663837817</v>
      </c>
      <c r="BS117" s="24">
        <f t="shared" si="63"/>
        <v>37.733626675804352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395.00000000000017</v>
      </c>
      <c r="O118" s="14">
        <f>N118*VLOOKUP('Données projet'!$B$9,Paramètres!$A$1:$I$89,3,0)*VLOOKUP('Données projet'!$B$9,Paramètres!$A$1:$I$89,5,0)</f>
        <v>236.21000000000009</v>
      </c>
      <c r="P118" s="14">
        <f t="shared" si="87"/>
        <v>57.62333963053878</v>
      </c>
      <c r="Q118" s="22">
        <f t="shared" si="107"/>
        <v>511.75973318985524</v>
      </c>
      <c r="R118" s="62">
        <f t="shared" si="55"/>
        <v>805.09306652318855</v>
      </c>
      <c r="S118" s="62">
        <f ca="1">AVERAGE(OFFSET($R$3,0,0,'Données projet'!$E$9+1,1))-AVERAGE(OFFSET($H$3,0,0,'Données projet'!$E$9+1,1))</f>
        <v>217.62295992724461</v>
      </c>
      <c r="T118" s="62">
        <f t="shared" si="88"/>
        <v>198.62788037979772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12.998238086402324</v>
      </c>
      <c r="AA118" s="23">
        <f>EXP(-LN(2)/25)*AA117+(1-EXP(-LN(2)/25))/(LN(2)/25)*Calculateur!V118*Calculateur!X118*VLOOKUP('Données projet'!$B$9,Paramètres!$A$1:$I$89,3,0)*0.475*44/12</f>
        <v>1.4358862781975659</v>
      </c>
      <c r="AB118" s="23">
        <f>EXP(-LN(2)/2)*AB117+(1-EXP(-LN(2)/2))/(LN(2)/2)*V118*Y118*VLOOKUP('Données projet'!$B$9,Paramètres!$A$1:$I$89,3,0)*0.475*44/12</f>
        <v>1.0485338562565236E-8</v>
      </c>
      <c r="AC118" s="24">
        <f t="shared" si="57"/>
        <v>14.434124375085229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1.5961632016114892E-13</v>
      </c>
      <c r="AK118" s="14">
        <f t="shared" si="89"/>
        <v>2.2708641912150958E-12</v>
      </c>
      <c r="AL118" s="22">
        <f t="shared" si="58"/>
        <v>4.2330868906469593E-12</v>
      </c>
      <c r="AM118" s="62">
        <f t="shared" si="59"/>
        <v>293.33333333333752</v>
      </c>
      <c r="AN118" s="62">
        <f ca="1">AVERAGE(OFFSET($AM$3,0,0,'Données projet'!$E$10+1,1))-AVERAGE(OFFSET($H$3,0,0,'Données projet'!$E$10+1,1))</f>
        <v>201.92726874818067</v>
      </c>
      <c r="AO118" s="62">
        <f t="shared" si="90"/>
        <v>197.16147791248727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124.72629662717098</v>
      </c>
      <c r="AV118" s="23">
        <f>EXP(-LN(2)/25)*AV117+(1-EXP(-LN(2)/25))/(LN(2)/25)*Calculateur!AQ118*Calculateur!AS118*VLOOKUP('Données projet'!$B$10,Paramètres!$A$1:$I$89,3,0)*0.475*44/12</f>
        <v>46.790348836125872</v>
      </c>
      <c r="AW118" s="23">
        <f>EXP(-LN(2)/2)*AW117+(1-EXP(-LN(2)/2))/(LN(2)/2)*AQ118*AT118*VLOOKUP('Données projet'!$B$10,Paramètres!$A$1:$I$89,3,0)*0.475*44/12</f>
        <v>0.47977507449727619</v>
      </c>
      <c r="AX118" s="23">
        <f t="shared" si="60"/>
        <v>171.99642053779414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5.5</v>
      </c>
      <c r="BD118" s="13">
        <f>IF('Données projet'!$A$88&gt;35,BD117+BC118-BL117,IF(A118&lt;'Données projet'!$A$88,$BA$205^A118,IF(A118='Données projet'!$A$88,'Données projet'!$B$88,BD117+BC118-BL117)))</f>
        <v>224.50000000000017</v>
      </c>
      <c r="BE118" s="14">
        <f>BD118*VLOOKUP('Données projet'!$B$11,Paramètres!$A$1:$I$89,3,0)*VLOOKUP('Données projet'!$B$11,Paramètres!$A$1:$I$89,5,0)</f>
        <v>227.6430000000002</v>
      </c>
      <c r="BF118" s="14">
        <f t="shared" si="91"/>
        <v>55.772737898604873</v>
      </c>
      <c r="BG118" s="22">
        <f t="shared" si="61"/>
        <v>493.61574350673715</v>
      </c>
      <c r="BH118" s="62">
        <f t="shared" si="62"/>
        <v>786.94907684007046</v>
      </c>
      <c r="BI118" s="62">
        <f ca="1">AVERAGE(OFFSET($BH$3,0,0,'Données projet'!$E$11+1,1))-AVERAGE(OFFSET($H$3,0,0,'Données projet'!$E$11+1,1))</f>
        <v>234.66244049825644</v>
      </c>
      <c r="BJ118" s="62">
        <f t="shared" si="92"/>
        <v>87.037318032671465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33.866019197290484</v>
      </c>
      <c r="BQ118" s="23">
        <f>EXP(-LN(2)/25)*BQ117+(1-EXP(-LN(2)/25))/(LN(2)/25)*Calculateur!BL118*Calculateur!BN118*VLOOKUP('Données projet'!$B$11,Paramètres!$A$1:$I$89,3,0)*0.475*44/12</f>
        <v>2.8191846059182195</v>
      </c>
      <c r="BR118" s="23">
        <f>EXP(-LN(2)/2)*BR117+(1-EXP(-LN(2)/2))/(LN(2)/2)*BL118*BO118*VLOOKUP('Données projet'!$B$11,Paramètres!$A$1:$I$89,3,0)*0.475*44/12</f>
        <v>0.20632662873685462</v>
      </c>
      <c r="BS118" s="24">
        <f t="shared" si="63"/>
        <v>36.891530431945554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395.00000000000017</v>
      </c>
      <c r="O119" s="14">
        <f>N119*VLOOKUP('Données projet'!$B$9,Paramètres!$A$1:$I$89,3,0)*VLOOKUP('Données projet'!$B$9,Paramètres!$A$1:$I$89,5,0)</f>
        <v>236.21000000000009</v>
      </c>
      <c r="P119" s="14">
        <f t="shared" si="87"/>
        <v>57.62333963053878</v>
      </c>
      <c r="Q119" s="22">
        <f t="shared" si="107"/>
        <v>511.75973318985524</v>
      </c>
      <c r="R119" s="62">
        <f t="shared" si="55"/>
        <v>805.09306652318855</v>
      </c>
      <c r="S119" s="62">
        <f ca="1">AVERAGE(OFFSET($R$3,0,0,'Données projet'!$E$9+1,1))-AVERAGE(OFFSET($H$3,0,0,'Données projet'!$E$9+1,1))</f>
        <v>217.62295992724461</v>
      </c>
      <c r="T119" s="62">
        <f t="shared" si="88"/>
        <v>198.62788037979772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12.743350565670369</v>
      </c>
      <c r="AA119" s="23">
        <f>EXP(-LN(2)/25)*AA118+(1-EXP(-LN(2)/25))/(LN(2)/25)*Calculateur!V119*Calculateur!X119*VLOOKUP('Données projet'!$B$9,Paramètres!$A$1:$I$89,3,0)*0.475*44/12</f>
        <v>1.3966218924102758</v>
      </c>
      <c r="AB119" s="23">
        <f>EXP(-LN(2)/2)*AB118+(1-EXP(-LN(2)/2))/(LN(2)/2)*V119*Y119*VLOOKUP('Données projet'!$B$9,Paramètres!$A$1:$I$89,3,0)*0.475*44/12</f>
        <v>7.4142540006266854E-9</v>
      </c>
      <c r="AC119" s="24">
        <f t="shared" si="57"/>
        <v>14.139972465494898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1.5961632016114892E-13</v>
      </c>
      <c r="AK119" s="14">
        <f t="shared" si="89"/>
        <v>2.2708641912150958E-12</v>
      </c>
      <c r="AL119" s="22">
        <f t="shared" si="58"/>
        <v>4.2330868906469593E-12</v>
      </c>
      <c r="AM119" s="62">
        <f t="shared" si="59"/>
        <v>293.33333333333752</v>
      </c>
      <c r="AN119" s="62">
        <f ca="1">AVERAGE(OFFSET($AM$3,0,0,'Données projet'!$E$10+1,1))-AVERAGE(OFFSET($H$3,0,0,'Données projet'!$E$10+1,1))</f>
        <v>201.92726874818067</v>
      </c>
      <c r="AO119" s="62">
        <f t="shared" si="90"/>
        <v>197.16147791248727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122.28049002584126</v>
      </c>
      <c r="AV119" s="23">
        <f>EXP(-LN(2)/25)*AV118+(1-EXP(-LN(2)/25))/(LN(2)/25)*Calculateur!AQ119*Calculateur!AS119*VLOOKUP('Données projet'!$B$10,Paramètres!$A$1:$I$89,3,0)*0.475*44/12</f>
        <v>45.510864286604509</v>
      </c>
      <c r="AW119" s="23">
        <f>EXP(-LN(2)/2)*AW118+(1-EXP(-LN(2)/2))/(LN(2)/2)*AQ119*AT119*VLOOKUP('Données projet'!$B$10,Paramètres!$A$1:$I$89,3,0)*0.475*44/12</f>
        <v>0.33925220862130501</v>
      </c>
      <c r="AX119" s="23">
        <f t="shared" si="60"/>
        <v>168.13060652106708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5.5</v>
      </c>
      <c r="BD119" s="13">
        <f>IF('Données projet'!$A$88&gt;35,BD118+BC119-BL118,IF(A119&lt;'Données projet'!$A$88,$BA$205^A119,IF(A119='Données projet'!$A$88,'Données projet'!$B$88,BD118+BC119-BL118)))</f>
        <v>230.00000000000017</v>
      </c>
      <c r="BE119" s="14">
        <f>BD119*VLOOKUP('Données projet'!$B$11,Paramètres!$A$1:$I$89,3,0)*VLOOKUP('Données projet'!$B$11,Paramètres!$A$1:$I$89,5,0)</f>
        <v>233.2200000000002</v>
      </c>
      <c r="BF119" s="14">
        <f t="shared" si="91"/>
        <v>56.978356452817273</v>
      </c>
      <c r="BG119" s="22">
        <f t="shared" si="61"/>
        <v>505.42880415532369</v>
      </c>
      <c r="BH119" s="62">
        <f t="shared" si="62"/>
        <v>798.762137488657</v>
      </c>
      <c r="BI119" s="62">
        <f ca="1">AVERAGE(OFFSET($BH$3,0,0,'Données projet'!$E$11+1,1))-AVERAGE(OFFSET($H$3,0,0,'Données projet'!$E$11+1,1))</f>
        <v>234.66244049825644</v>
      </c>
      <c r="BJ119" s="62">
        <f t="shared" si="92"/>
        <v>87.037318032671465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33.201927217063691</v>
      </c>
      <c r="BQ119" s="23">
        <f>EXP(-LN(2)/25)*BQ118+(1-EXP(-LN(2)/25))/(LN(2)/25)*Calculateur!BL119*Calculateur!BN119*VLOOKUP('Données projet'!$B$11,Paramètres!$A$1:$I$89,3,0)*0.475*44/12</f>
        <v>2.7420938546149105</v>
      </c>
      <c r="BR119" s="23">
        <f>EXP(-LN(2)/2)*BR118+(1-EXP(-LN(2)/2))/(LN(2)/2)*BL119*BO119*VLOOKUP('Données projet'!$B$11,Paramètres!$A$1:$I$89,3,0)*0.475*44/12</f>
        <v>0.14589495831918908</v>
      </c>
      <c r="BS119" s="24">
        <f t="shared" si="63"/>
        <v>36.089916029997788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395.00000000000017</v>
      </c>
      <c r="O120" s="14">
        <f>N120*VLOOKUP('Données projet'!$B$9,Paramètres!$A$1:$I$89,3,0)*VLOOKUP('Données projet'!$B$9,Paramètres!$A$1:$I$89,5,0)</f>
        <v>236.21000000000009</v>
      </c>
      <c r="P120" s="14">
        <f t="shared" si="87"/>
        <v>57.62333963053878</v>
      </c>
      <c r="Q120" s="22">
        <f t="shared" si="107"/>
        <v>511.75973318985524</v>
      </c>
      <c r="R120" s="62">
        <f t="shared" si="55"/>
        <v>805.09306652318855</v>
      </c>
      <c r="S120" s="62">
        <f ca="1">AVERAGE(OFFSET($R$3,0,0,'Données projet'!$E$9+1,1))-AVERAGE(OFFSET($H$3,0,0,'Données projet'!$E$9+1,1))</f>
        <v>217.62295992724461</v>
      </c>
      <c r="T120" s="62">
        <f t="shared" si="88"/>
        <v>198.62788037979772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12.49346123375393</v>
      </c>
      <c r="AA120" s="23">
        <f>EXP(-LN(2)/25)*AA119+(1-EXP(-LN(2)/25))/(LN(2)/25)*Calculateur!V120*Calculateur!X120*VLOOKUP('Données projet'!$B$9,Paramètres!$A$1:$I$89,3,0)*0.475*44/12</f>
        <v>1.3584311933171636</v>
      </c>
      <c r="AB120" s="23">
        <f>EXP(-LN(2)/2)*AB119+(1-EXP(-LN(2)/2))/(LN(2)/2)*V120*Y120*VLOOKUP('Données projet'!$B$9,Paramètres!$A$1:$I$89,3,0)*0.475*44/12</f>
        <v>5.242669281282619E-9</v>
      </c>
      <c r="AC120" s="24">
        <f t="shared" si="57"/>
        <v>13.851892432313761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1.5961632016114892E-13</v>
      </c>
      <c r="AK120" s="14">
        <f t="shared" si="89"/>
        <v>2.2708641912150958E-12</v>
      </c>
      <c r="AL120" s="22">
        <f t="shared" si="58"/>
        <v>4.2330868906469593E-12</v>
      </c>
      <c r="AM120" s="62">
        <f t="shared" si="59"/>
        <v>293.33333333333752</v>
      </c>
      <c r="AN120" s="62">
        <f ca="1">AVERAGE(OFFSET($AM$3,0,0,'Données projet'!$E$10+1,1))-AVERAGE(OFFSET($H$3,0,0,'Données projet'!$E$10+1,1))</f>
        <v>201.92726874818067</v>
      </c>
      <c r="AO120" s="62">
        <f t="shared" si="90"/>
        <v>197.16147791248727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119.8826442001689</v>
      </c>
      <c r="AV120" s="23">
        <f>EXP(-LN(2)/25)*AV119+(1-EXP(-LN(2)/25))/(LN(2)/25)*Calculateur!AQ120*Calculateur!AS120*VLOOKUP('Données projet'!$B$10,Paramètres!$A$1:$I$89,3,0)*0.475*44/12</f>
        <v>44.266367309374971</v>
      </c>
      <c r="AW120" s="23">
        <f>EXP(-LN(2)/2)*AW119+(1-EXP(-LN(2)/2))/(LN(2)/2)*AQ120*AT120*VLOOKUP('Données projet'!$B$10,Paramètres!$A$1:$I$89,3,0)*0.475*44/12</f>
        <v>0.23988753724863809</v>
      </c>
      <c r="AX120" s="23">
        <f t="shared" si="60"/>
        <v>164.38889904679252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5.5</v>
      </c>
      <c r="BD120" s="13">
        <f>IF('Données projet'!$A$88&gt;35,BD119+BC120-BL119,IF(A120&lt;'Données projet'!$A$88,$BA$205^A120,IF(A120='Données projet'!$A$88,'Données projet'!$B$88,BD119+BC120-BL119)))</f>
        <v>235.50000000000017</v>
      </c>
      <c r="BE120" s="14">
        <f>BD120*VLOOKUP('Données projet'!$B$11,Paramètres!$A$1:$I$89,3,0)*VLOOKUP('Données projet'!$B$11,Paramètres!$A$1:$I$89,5,0)</f>
        <v>238.79700000000017</v>
      </c>
      <c r="BF120" s="14">
        <f t="shared" si="91"/>
        <v>58.180623522497335</v>
      </c>
      <c r="BG120" s="22">
        <f t="shared" si="61"/>
        <v>517.2360276350164</v>
      </c>
      <c r="BH120" s="62">
        <f t="shared" si="62"/>
        <v>810.56936096834966</v>
      </c>
      <c r="BI120" s="62">
        <f ca="1">AVERAGE(OFFSET($BH$3,0,0,'Données projet'!$E$11+1,1))-AVERAGE(OFFSET($H$3,0,0,'Données projet'!$E$11+1,1))</f>
        <v>234.66244049825644</v>
      </c>
      <c r="BJ120" s="62">
        <f t="shared" si="92"/>
        <v>87.037318032671465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32.550857675513036</v>
      </c>
      <c r="BQ120" s="23">
        <f>EXP(-LN(2)/25)*BQ119+(1-EXP(-LN(2)/25))/(LN(2)/25)*Calculateur!BL120*Calculateur!BN120*VLOOKUP('Données projet'!$B$11,Paramètres!$A$1:$I$89,3,0)*0.475*44/12</f>
        <v>2.667111153960017</v>
      </c>
      <c r="BR120" s="23">
        <f>EXP(-LN(2)/2)*BR119+(1-EXP(-LN(2)/2))/(LN(2)/2)*BL120*BO120*VLOOKUP('Données projet'!$B$11,Paramètres!$A$1:$I$89,3,0)*0.475*44/12</f>
        <v>0.10316331436842731</v>
      </c>
      <c r="BS120" s="24">
        <f t="shared" si="63"/>
        <v>35.321132143841481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395.00000000000017</v>
      </c>
      <c r="O121" s="14">
        <f>N121*VLOOKUP('Données projet'!$B$9,Paramètres!$A$1:$I$89,3,0)*VLOOKUP('Données projet'!$B$9,Paramètres!$A$1:$I$89,5,0)</f>
        <v>236.21000000000009</v>
      </c>
      <c r="P121" s="14">
        <f t="shared" si="87"/>
        <v>57.62333963053878</v>
      </c>
      <c r="Q121" s="22">
        <f t="shared" si="107"/>
        <v>511.75973318985524</v>
      </c>
      <c r="R121" s="62">
        <f t="shared" si="55"/>
        <v>805.09306652318855</v>
      </c>
      <c r="S121" s="62">
        <f ca="1">AVERAGE(OFFSET($R$3,0,0,'Données projet'!$E$9+1,1))-AVERAGE(OFFSET($H$3,0,0,'Données projet'!$E$9+1,1))</f>
        <v>217.62295992724461</v>
      </c>
      <c r="T121" s="62">
        <f t="shared" si="88"/>
        <v>198.62788037979772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12.24847207921893</v>
      </c>
      <c r="AA121" s="23">
        <f>EXP(-LN(2)/25)*AA120+(1-EXP(-LN(2)/25))/(LN(2)/25)*Calculateur!V121*Calculateur!X121*VLOOKUP('Données projet'!$B$9,Paramètres!$A$1:$I$89,3,0)*0.475*44/12</f>
        <v>1.3212848208991139</v>
      </c>
      <c r="AB121" s="23">
        <f>EXP(-LN(2)/2)*AB120+(1-EXP(-LN(2)/2))/(LN(2)/2)*V121*Y121*VLOOKUP('Données projet'!$B$9,Paramètres!$A$1:$I$89,3,0)*0.475*44/12</f>
        <v>3.7071270003133435E-9</v>
      </c>
      <c r="AC121" s="24">
        <f t="shared" si="57"/>
        <v>13.569756903825171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1.5961632016114892E-13</v>
      </c>
      <c r="AK121" s="14">
        <f t="shared" si="89"/>
        <v>2.2708641912150958E-12</v>
      </c>
      <c r="AL121" s="22">
        <f t="shared" si="58"/>
        <v>4.2330868906469593E-12</v>
      </c>
      <c r="AM121" s="62">
        <f t="shared" si="59"/>
        <v>293.33333333333752</v>
      </c>
      <c r="AN121" s="62">
        <f ca="1">AVERAGE(OFFSET($AM$3,0,0,'Données projet'!$E$10+1,1))-AVERAGE(OFFSET($H$3,0,0,'Données projet'!$E$10+1,1))</f>
        <v>201.92726874818067</v>
      </c>
      <c r="AO121" s="62">
        <f t="shared" si="90"/>
        <v>197.16147791248727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117.53181866859643</v>
      </c>
      <c r="AV121" s="23">
        <f>EXP(-LN(2)/25)*AV120+(1-EXP(-LN(2)/25))/(LN(2)/25)*Calculateur!AQ121*Calculateur!AS121*VLOOKUP('Données projet'!$B$10,Paramètres!$A$1:$I$89,3,0)*0.475*44/12</f>
        <v>43.055901167433028</v>
      </c>
      <c r="AW121" s="23">
        <f>EXP(-LN(2)/2)*AW120+(1-EXP(-LN(2)/2))/(LN(2)/2)*AQ121*AT121*VLOOKUP('Données projet'!$B$10,Paramètres!$A$1:$I$89,3,0)*0.475*44/12</f>
        <v>0.1696261043106525</v>
      </c>
      <c r="AX121" s="23">
        <f t="shared" si="60"/>
        <v>160.75734594034012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>
        <f>VLOOKUP(A121,'Données projet'!$A$87:$I$107,2,0)</f>
        <v>241</v>
      </c>
      <c r="BB121" s="13">
        <f>VLOOKUP(A121,'Données projet'!$A$87:$I$107,9,0)</f>
        <v>5.5</v>
      </c>
      <c r="BC121" s="13">
        <f t="array" ref="BC121">INDEX(BB:BB,MIN(IF(ISNUMBER(BB121:BB317),ROW(BB121:BB317),"")))</f>
        <v>5.5</v>
      </c>
      <c r="BD121" s="13">
        <f>IF('Données projet'!$A$88&gt;35,BD120+BC121-BL120,IF(A121&lt;'Données projet'!$A$88,$BA$205^A121,IF(A121='Données projet'!$A$88,'Données projet'!$B$88,BD120+BC121-BL120)))</f>
        <v>241.00000000000017</v>
      </c>
      <c r="BE121" s="14">
        <f>BD121*VLOOKUP('Données projet'!$B$11,Paramètres!$A$1:$I$89,3,0)*VLOOKUP('Données projet'!$B$11,Paramètres!$A$1:$I$89,5,0)</f>
        <v>244.37400000000019</v>
      </c>
      <c r="BF121" s="14">
        <f t="shared" si="91"/>
        <v>59.379626388393852</v>
      </c>
      <c r="BG121" s="22">
        <f t="shared" si="61"/>
        <v>529.03756595978621</v>
      </c>
      <c r="BH121" s="62">
        <f t="shared" si="62"/>
        <v>822.37089929311946</v>
      </c>
      <c r="BI121" s="62">
        <f ca="1">AVERAGE(OFFSET($BH$3,0,0,'Données projet'!$E$11+1,1))-AVERAGE(OFFSET($H$3,0,0,'Données projet'!$E$11+1,1))</f>
        <v>234.66244049825644</v>
      </c>
      <c r="BJ121" s="62">
        <f t="shared" si="92"/>
        <v>87.037318032671465</v>
      </c>
      <c r="BK121" s="16">
        <f>IF(ISNA(VLOOKUP(A121,'Données projet'!$A$87:$I$107,3,0)),0,VLOOKUP(A121,'Données projet'!$A$87:$I$107,3,0))</f>
        <v>8</v>
      </c>
      <c r="BL121" s="16">
        <f>IF(ISNA(VLOOKUP(A121,'Données projet'!$A$87:$I$107,4,0)),0,VLOOKUP(A121,'Données projet'!$A$87:$I$107,4,0))</f>
        <v>40</v>
      </c>
      <c r="BM121" s="17">
        <f>IF(ISNA(VLOOKUP(A121,'Données projet'!$A$87:$I$107,5,0)),0%,VLOOKUP(A121,'Données projet'!$A$87:$I$107,5,0)*VLOOKUP('Données projet'!$B$11,Paramètres!$A$1:$I$89,7,0))</f>
        <v>0.34400000000000003</v>
      </c>
      <c r="BN121" s="17">
        <f>IF(ISNA(VLOOKUP(A121,'Données projet'!$A$87:$I$107,6,0)),0%,VLOOKUP(A121,'Données projet'!$A$87:$I$107,6,0)*VLOOKUP('Données projet'!$B$11,Paramètres!$A$1:$I$89,7,0))</f>
        <v>1.72E-2</v>
      </c>
      <c r="BO121" s="17">
        <f>IF(ISNA(VLOOKUP(A121,'Données projet'!$A$87:$I$107,7,0)),0%,VLOOKUP(A121,'Données projet'!$A$87:$I$107,7,0))</f>
        <v>0.06</v>
      </c>
      <c r="BP121" s="23">
        <f>EXP(-LN(2)/35)*BP120+(1-EXP(-LN(2)/35))/(LN(2)/35)*BL121*BM121*VLOOKUP('Données projet'!$B$11,Paramètres!$A$1:$I$89,3,0)*0.475*44/12</f>
        <v>47.33678544684561</v>
      </c>
      <c r="BQ121" s="23">
        <f>EXP(-LN(2)/25)*BQ120+(1-EXP(-LN(2)/25))/(LN(2)/25)*Calculateur!BL121*Calculateur!BN121*VLOOKUP('Données projet'!$B$11,Paramètres!$A$1:$I$89,3,0)*0.475*44/12</f>
        <v>3.3623538174353946</v>
      </c>
      <c r="BR121" s="23">
        <f>EXP(-LN(2)/2)*BR120+(1-EXP(-LN(2)/2))/(LN(2)/2)*BL121*BO121*VLOOKUP('Données projet'!$B$11,Paramètres!$A$1:$I$89,3,0)*0.475*44/12</f>
        <v>2.3691145785432672</v>
      </c>
      <c r="BS121" s="24">
        <f t="shared" si="63"/>
        <v>53.068253842824269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395.00000000000017</v>
      </c>
      <c r="O122" s="14">
        <f>N122*VLOOKUP('Données projet'!$B$9,Paramètres!$A$1:$I$89,3,0)*VLOOKUP('Données projet'!$B$9,Paramètres!$A$1:$I$89,5,0)</f>
        <v>236.21000000000009</v>
      </c>
      <c r="P122" s="14">
        <f t="shared" si="87"/>
        <v>57.62333963053878</v>
      </c>
      <c r="Q122" s="22">
        <f t="shared" si="107"/>
        <v>511.75973318985524</v>
      </c>
      <c r="R122" s="62">
        <f t="shared" si="55"/>
        <v>805.09306652318855</v>
      </c>
      <c r="S122" s="62">
        <f ca="1">AVERAGE(OFFSET($R$3,0,0,'Données projet'!$E$9+1,1))-AVERAGE(OFFSET($H$3,0,0,'Données projet'!$E$9+1,1))</f>
        <v>217.62295992724461</v>
      </c>
      <c r="T122" s="62">
        <f t="shared" si="88"/>
        <v>198.62788037979772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12.008287012575732</v>
      </c>
      <c r="AA122" s="23">
        <f>EXP(-LN(2)/25)*AA121+(1-EXP(-LN(2)/25))/(LN(2)/25)*Calculateur!V122*Calculateur!X122*VLOOKUP('Données projet'!$B$9,Paramètres!$A$1:$I$89,3,0)*0.475*44/12</f>
        <v>1.2851542179882787</v>
      </c>
      <c r="AB122" s="23">
        <f>EXP(-LN(2)/2)*AB121+(1-EXP(-LN(2)/2))/(LN(2)/2)*V122*Y122*VLOOKUP('Données projet'!$B$9,Paramètres!$A$1:$I$89,3,0)*0.475*44/12</f>
        <v>2.6213346406413099E-9</v>
      </c>
      <c r="AC122" s="24">
        <f t="shared" si="57"/>
        <v>13.293441233185344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1.5961632016114892E-13</v>
      </c>
      <c r="AK122" s="14">
        <f t="shared" si="89"/>
        <v>2.2708641912150958E-12</v>
      </c>
      <c r="AL122" s="22">
        <f t="shared" si="58"/>
        <v>4.2330868906469593E-12</v>
      </c>
      <c r="AM122" s="62">
        <f t="shared" si="59"/>
        <v>293.33333333333752</v>
      </c>
      <c r="AN122" s="62">
        <f ca="1">AVERAGE(OFFSET($AM$3,0,0,'Données projet'!$E$10+1,1))-AVERAGE(OFFSET($H$3,0,0,'Données projet'!$E$10+1,1))</f>
        <v>201.92726874818067</v>
      </c>
      <c r="AO122" s="62">
        <f t="shared" si="90"/>
        <v>197.16147791248727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115.22709139183611</v>
      </c>
      <c r="AV122" s="23">
        <f>EXP(-LN(2)/25)*AV121+(1-EXP(-LN(2)/25))/(LN(2)/25)*Calculateur!AQ122*Calculateur!AS122*VLOOKUP('Données projet'!$B$10,Paramètres!$A$1:$I$89,3,0)*0.475*44/12</f>
        <v>41.878535285798137</v>
      </c>
      <c r="AW122" s="23">
        <f>EXP(-LN(2)/2)*AW121+(1-EXP(-LN(2)/2))/(LN(2)/2)*AQ122*AT122*VLOOKUP('Données projet'!$B$10,Paramètres!$A$1:$I$89,3,0)*0.475*44/12</f>
        <v>0.11994376862431905</v>
      </c>
      <c r="AX122" s="23">
        <f t="shared" si="60"/>
        <v>157.22557044625856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5.7</v>
      </c>
      <c r="BD122" s="13">
        <f>IF('Données projet'!$A$88&gt;35,BD121+BC122-BL121,IF(A122&lt;'Données projet'!$A$88,$BA$205^A122,IF(A122='Données projet'!$A$88,'Données projet'!$B$88,BD121+BC122-BL121)))</f>
        <v>206.70000000000016</v>
      </c>
      <c r="BE122" s="14">
        <f>BD122*VLOOKUP('Données projet'!$B$11,Paramètres!$A$1:$I$89,3,0)*VLOOKUP('Données projet'!$B$11,Paramètres!$A$1:$I$89,5,0)</f>
        <v>209.59380000000016</v>
      </c>
      <c r="BF122" s="14">
        <f t="shared" si="91"/>
        <v>51.846810778508733</v>
      </c>
      <c r="BG122" s="22">
        <f t="shared" si="61"/>
        <v>455.34239710590299</v>
      </c>
      <c r="BH122" s="62">
        <f t="shared" si="62"/>
        <v>748.6757304392363</v>
      </c>
      <c r="BI122" s="62">
        <f ca="1">AVERAGE(OFFSET($BH$3,0,0,'Données projet'!$E$11+1,1))-AVERAGE(OFFSET($H$3,0,0,'Données projet'!$E$11+1,1))</f>
        <v>234.66244049825644</v>
      </c>
      <c r="BJ122" s="62">
        <f t="shared" si="92"/>
        <v>87.037318032671465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46.408539956821159</v>
      </c>
      <c r="BQ122" s="23">
        <f>EXP(-LN(2)/25)*BQ121+(1-EXP(-LN(2)/25))/(LN(2)/25)*Calculateur!BL122*Calculateur!BN122*VLOOKUP('Données projet'!$B$11,Paramètres!$A$1:$I$89,3,0)*0.475*44/12</f>
        <v>3.2704100754791212</v>
      </c>
      <c r="BR122" s="23">
        <f>EXP(-LN(2)/2)*BR121+(1-EXP(-LN(2)/2))/(LN(2)/2)*BL122*BO122*VLOOKUP('Données projet'!$B$11,Paramètres!$A$1:$I$89,3,0)*0.475*44/12</f>
        <v>1.6752169838958539</v>
      </c>
      <c r="BS122" s="24">
        <f t="shared" si="63"/>
        <v>51.354167016196129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395.00000000000017</v>
      </c>
      <c r="O123" s="14">
        <f>N123*VLOOKUP('Données projet'!$B$9,Paramètres!$A$1:$I$89,3,0)*VLOOKUP('Données projet'!$B$9,Paramètres!$A$1:$I$89,5,0)</f>
        <v>236.21000000000009</v>
      </c>
      <c r="P123" s="14">
        <f t="shared" si="87"/>
        <v>57.62333963053878</v>
      </c>
      <c r="Q123" s="22">
        <f t="shared" si="107"/>
        <v>511.75973318985524</v>
      </c>
      <c r="R123" s="62">
        <f t="shared" si="55"/>
        <v>805.09306652318855</v>
      </c>
      <c r="S123" s="62">
        <f ca="1">AVERAGE(OFFSET($R$3,0,0,'Données projet'!$E$9+1,1))-AVERAGE(OFFSET($H$3,0,0,'Données projet'!$E$9+1,1))</f>
        <v>217.62295992724461</v>
      </c>
      <c r="T123" s="62">
        <f t="shared" si="88"/>
        <v>198.62788037979772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11.772811828590982</v>
      </c>
      <c r="AA123" s="23">
        <f>EXP(-LN(2)/25)*AA122+(1-EXP(-LN(2)/25))/(LN(2)/25)*Calculateur!V123*Calculateur!X123*VLOOKUP('Données projet'!$B$9,Paramètres!$A$1:$I$89,3,0)*0.475*44/12</f>
        <v>1.2500116083140662</v>
      </c>
      <c r="AB123" s="23">
        <f>EXP(-LN(2)/2)*AB122+(1-EXP(-LN(2)/2))/(LN(2)/2)*V123*Y123*VLOOKUP('Données projet'!$B$9,Paramètres!$A$1:$I$89,3,0)*0.475*44/12</f>
        <v>1.853563500156672E-9</v>
      </c>
      <c r="AC123" s="24">
        <f t="shared" si="57"/>
        <v>13.022823438758611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1.5961632016114892E-13</v>
      </c>
      <c r="AK123" s="14">
        <f t="shared" si="89"/>
        <v>2.2708641912150958E-12</v>
      </c>
      <c r="AL123" s="22">
        <f t="shared" si="58"/>
        <v>4.2330868906469593E-12</v>
      </c>
      <c r="AM123" s="62">
        <f t="shared" si="59"/>
        <v>293.33333333333752</v>
      </c>
      <c r="AN123" s="62">
        <f ca="1">AVERAGE(OFFSET($AM$3,0,0,'Données projet'!$E$10+1,1))-AVERAGE(OFFSET($H$3,0,0,'Données projet'!$E$10+1,1))</f>
        <v>201.92726874818067</v>
      </c>
      <c r="AO123" s="62">
        <f t="shared" si="90"/>
        <v>197.16147791248727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112.96755841122823</v>
      </c>
      <c r="AV123" s="23">
        <f>EXP(-LN(2)/25)*AV122+(1-EXP(-LN(2)/25))/(LN(2)/25)*Calculateur!AQ123*Calculateur!AS123*VLOOKUP('Données projet'!$B$10,Paramètres!$A$1:$I$89,3,0)*0.475*44/12</f>
        <v>40.73336453611153</v>
      </c>
      <c r="AW123" s="23">
        <f>EXP(-LN(2)/2)*AW122+(1-EXP(-LN(2)/2))/(LN(2)/2)*AQ123*AT123*VLOOKUP('Données projet'!$B$10,Paramètres!$A$1:$I$89,3,0)*0.475*44/12</f>
        <v>8.4813052155326252E-2</v>
      </c>
      <c r="AX123" s="23">
        <f t="shared" si="60"/>
        <v>153.7857359994951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5.7</v>
      </c>
      <c r="BD123" s="13">
        <f>IF('Données projet'!$A$88&gt;35,BD122+BC123-BL122,IF(A123&lt;'Données projet'!$A$88,$BA$205^A123,IF(A123='Données projet'!$A$88,'Données projet'!$B$88,BD122+BC123-BL122)))</f>
        <v>212.40000000000015</v>
      </c>
      <c r="BE123" s="14">
        <f>BD123*VLOOKUP('Données projet'!$B$11,Paramètres!$A$1:$I$89,3,0)*VLOOKUP('Données projet'!$B$11,Paramètres!$A$1:$I$89,5,0)</f>
        <v>215.37360000000015</v>
      </c>
      <c r="BF123" s="14">
        <f t="shared" si="91"/>
        <v>53.108120144188966</v>
      </c>
      <c r="BG123" s="22">
        <f t="shared" si="61"/>
        <v>467.60566258446266</v>
      </c>
      <c r="BH123" s="62">
        <f t="shared" si="62"/>
        <v>760.93899591779598</v>
      </c>
      <c r="BI123" s="62">
        <f ca="1">AVERAGE(OFFSET($BH$3,0,0,'Données projet'!$E$11+1,1))-AVERAGE(OFFSET($H$3,0,0,'Données projet'!$E$11+1,1))</f>
        <v>234.66244049825644</v>
      </c>
      <c r="BJ123" s="62">
        <f t="shared" si="92"/>
        <v>87.037318032671465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45.498496794682247</v>
      </c>
      <c r="BQ123" s="23">
        <f>EXP(-LN(2)/25)*BQ122+(1-EXP(-LN(2)/25))/(LN(2)/25)*Calculateur!BL123*Calculateur!BN123*VLOOKUP('Données projet'!$B$11,Paramètres!$A$1:$I$89,3,0)*0.475*44/12</f>
        <v>3.1809805399817535</v>
      </c>
      <c r="BR123" s="23">
        <f>EXP(-LN(2)/2)*BR122+(1-EXP(-LN(2)/2))/(LN(2)/2)*BL123*BO123*VLOOKUP('Données projet'!$B$11,Paramètres!$A$1:$I$89,3,0)*0.475*44/12</f>
        <v>1.1845572892716338</v>
      </c>
      <c r="BS123" s="24">
        <f t="shared" si="63"/>
        <v>49.86403462393563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395.00000000000017</v>
      </c>
      <c r="O124" s="14">
        <f>N124*VLOOKUP('Données projet'!$B$9,Paramètres!$A$1:$I$89,3,0)*VLOOKUP('Données projet'!$B$9,Paramètres!$A$1:$I$89,5,0)</f>
        <v>236.21000000000009</v>
      </c>
      <c r="P124" s="14">
        <f t="shared" si="87"/>
        <v>57.62333963053878</v>
      </c>
      <c r="Q124" s="22">
        <f t="shared" si="107"/>
        <v>511.75973318985524</v>
      </c>
      <c r="R124" s="62">
        <f t="shared" si="55"/>
        <v>805.09306652318855</v>
      </c>
      <c r="S124" s="62">
        <f ca="1">AVERAGE(OFFSET($R$3,0,0,'Données projet'!$E$9+1,1))-AVERAGE(OFFSET($H$3,0,0,'Données projet'!$E$9+1,1))</f>
        <v>217.62295992724461</v>
      </c>
      <c r="T124" s="62">
        <f t="shared" si="88"/>
        <v>198.62788037979772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11.541954169338492</v>
      </c>
      <c r="AA124" s="23">
        <f>EXP(-LN(2)/25)*AA123+(1-EXP(-LN(2)/25))/(LN(2)/25)*Calculateur!V124*Calculateur!X124*VLOOKUP('Données projet'!$B$9,Paramètres!$A$1:$I$89,3,0)*0.475*44/12</f>
        <v>1.2158299751494646</v>
      </c>
      <c r="AB124" s="23">
        <f>EXP(-LN(2)/2)*AB123+(1-EXP(-LN(2)/2))/(LN(2)/2)*V124*Y124*VLOOKUP('Données projet'!$B$9,Paramètres!$A$1:$I$89,3,0)*0.475*44/12</f>
        <v>1.3106673203206552E-9</v>
      </c>
      <c r="AC124" s="24">
        <f t="shared" si="57"/>
        <v>12.757784145798624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1.5961632016114892E-13</v>
      </c>
      <c r="AK124" s="14">
        <f t="shared" si="89"/>
        <v>2.2708641912150958E-12</v>
      </c>
      <c r="AL124" s="22">
        <f t="shared" si="58"/>
        <v>4.2330868906469593E-12</v>
      </c>
      <c r="AM124" s="62">
        <f t="shared" si="59"/>
        <v>293.33333333333752</v>
      </c>
      <c r="AN124" s="62">
        <f ca="1">AVERAGE(OFFSET($AM$3,0,0,'Données projet'!$E$10+1,1))-AVERAGE(OFFSET($H$3,0,0,'Données projet'!$E$10+1,1))</f>
        <v>201.92726874818067</v>
      </c>
      <c r="AO124" s="62">
        <f t="shared" si="90"/>
        <v>197.16147791248727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110.75233349419102</v>
      </c>
      <c r="AV124" s="23">
        <f>EXP(-LN(2)/25)*AV123+(1-EXP(-LN(2)/25))/(LN(2)/25)*Calculateur!AQ124*Calculateur!AS124*VLOOKUP('Données projet'!$B$10,Paramètres!$A$1:$I$89,3,0)*0.475*44/12</f>
        <v>39.619508540797014</v>
      </c>
      <c r="AW124" s="23">
        <f>EXP(-LN(2)/2)*AW123+(1-EXP(-LN(2)/2))/(LN(2)/2)*AQ124*AT124*VLOOKUP('Données projet'!$B$10,Paramètres!$A$1:$I$89,3,0)*0.475*44/12</f>
        <v>5.9971884312159524E-2</v>
      </c>
      <c r="AX124" s="23">
        <f t="shared" si="60"/>
        <v>150.4318139193002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5.7</v>
      </c>
      <c r="BD124" s="13">
        <f>IF('Données projet'!$A$88&gt;35,BD123+BC124-BL123,IF(A124&lt;'Données projet'!$A$88,$BA$205^A124,IF(A124='Données projet'!$A$88,'Données projet'!$B$88,BD123+BC124-BL123)))</f>
        <v>218.10000000000014</v>
      </c>
      <c r="BE124" s="14">
        <f>BD124*VLOOKUP('Données projet'!$B$11,Paramètres!$A$1:$I$89,3,0)*VLOOKUP('Données projet'!$B$11,Paramètres!$A$1:$I$89,5,0)</f>
        <v>221.15340000000018</v>
      </c>
      <c r="BF124" s="14">
        <f t="shared" si="91"/>
        <v>54.365495169756251</v>
      </c>
      <c r="BG124" s="22">
        <f t="shared" si="61"/>
        <v>479.86207575399249</v>
      </c>
      <c r="BH124" s="62">
        <f t="shared" si="62"/>
        <v>773.19540908732574</v>
      </c>
      <c r="BI124" s="62">
        <f ca="1">AVERAGE(OFFSET($BH$3,0,0,'Données projet'!$E$11+1,1))-AVERAGE(OFFSET($H$3,0,0,'Données projet'!$E$11+1,1))</f>
        <v>234.66244049825644</v>
      </c>
      <c r="BJ124" s="62">
        <f t="shared" si="92"/>
        <v>87.037318032671465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44.606299023881355</v>
      </c>
      <c r="BQ124" s="23">
        <f>EXP(-LN(2)/25)*BQ123+(1-EXP(-LN(2)/25))/(LN(2)/25)*Calculateur!BL124*Calculateur!BN124*VLOOKUP('Données projet'!$B$11,Paramètres!$A$1:$I$89,3,0)*0.475*44/12</f>
        <v>3.0939964598354561</v>
      </c>
      <c r="BR124" s="23">
        <f>EXP(-LN(2)/2)*BR123+(1-EXP(-LN(2)/2))/(LN(2)/2)*BL124*BO124*VLOOKUP('Données projet'!$B$11,Paramètres!$A$1:$I$89,3,0)*0.475*44/12</f>
        <v>0.83760849194792708</v>
      </c>
      <c r="BS124" s="24">
        <f t="shared" si="63"/>
        <v>48.53790397566474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395.00000000000017</v>
      </c>
      <c r="O125" s="14">
        <f>N125*VLOOKUP('Données projet'!$B$9,Paramètres!$A$1:$I$89,3,0)*VLOOKUP('Données projet'!$B$9,Paramètres!$A$1:$I$89,5,0)</f>
        <v>236.21000000000009</v>
      </c>
      <c r="P125" s="14">
        <f t="shared" si="87"/>
        <v>57.62333963053878</v>
      </c>
      <c r="Q125" s="22">
        <f t="shared" si="107"/>
        <v>511.75973318985524</v>
      </c>
      <c r="R125" s="62">
        <f t="shared" si="55"/>
        <v>805.09306652318855</v>
      </c>
      <c r="S125" s="62">
        <f ca="1">AVERAGE(OFFSET($R$3,0,0,'Données projet'!$E$9+1,1))-AVERAGE(OFFSET($H$3,0,0,'Données projet'!$E$9+1,1))</f>
        <v>217.62295992724461</v>
      </c>
      <c r="T125" s="62">
        <f t="shared" si="88"/>
        <v>198.62788037979772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11.315623487974676</v>
      </c>
      <c r="AA125" s="23">
        <f>EXP(-LN(2)/25)*AA124+(1-EXP(-LN(2)/25))/(LN(2)/25)*Calculateur!V125*Calculateur!X125*VLOOKUP('Données projet'!$B$9,Paramètres!$A$1:$I$89,3,0)*0.475*44/12</f>
        <v>1.1825830405412829</v>
      </c>
      <c r="AB125" s="23">
        <f>EXP(-LN(2)/2)*AB124+(1-EXP(-LN(2)/2))/(LN(2)/2)*V125*Y125*VLOOKUP('Données projet'!$B$9,Paramètres!$A$1:$I$89,3,0)*0.475*44/12</f>
        <v>9.2678175007833619E-10</v>
      </c>
      <c r="AC125" s="24">
        <f t="shared" si="57"/>
        <v>12.498206529442742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1.5961632016114892E-13</v>
      </c>
      <c r="AK125" s="14">
        <f t="shared" si="89"/>
        <v>2.2708641912150958E-12</v>
      </c>
      <c r="AL125" s="22">
        <f t="shared" si="58"/>
        <v>4.2330868906469593E-12</v>
      </c>
      <c r="AM125" s="62">
        <f t="shared" si="59"/>
        <v>293.33333333333752</v>
      </c>
      <c r="AN125" s="62">
        <f ca="1">AVERAGE(OFFSET($AM$3,0,0,'Données projet'!$E$10+1,1))-AVERAGE(OFFSET($H$3,0,0,'Données projet'!$E$10+1,1))</f>
        <v>201.92726874818067</v>
      </c>
      <c r="AO125" s="62">
        <f t="shared" si="90"/>
        <v>197.16147791248727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108.58054778662313</v>
      </c>
      <c r="AV125" s="23">
        <f>EXP(-LN(2)/25)*AV124+(1-EXP(-LN(2)/25))/(LN(2)/25)*Calculateur!AQ125*Calculateur!AS125*VLOOKUP('Données projet'!$B$10,Paramètres!$A$1:$I$89,3,0)*0.475*44/12</f>
        <v>38.536110996249519</v>
      </c>
      <c r="AW125" s="23">
        <f>EXP(-LN(2)/2)*AW124+(1-EXP(-LN(2)/2))/(LN(2)/2)*AQ125*AT125*VLOOKUP('Données projet'!$B$10,Paramètres!$A$1:$I$89,3,0)*0.475*44/12</f>
        <v>4.2406526077663126E-2</v>
      </c>
      <c r="AX125" s="23">
        <f t="shared" si="60"/>
        <v>147.15906530895032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5.7</v>
      </c>
      <c r="BD125" s="13">
        <f>IF('Données projet'!$A$88&gt;35,BD124+BC125-BL124,IF(A125&lt;'Données projet'!$A$88,$BA$205^A125,IF(A125='Données projet'!$A$88,'Données projet'!$B$88,BD124+BC125-BL124)))</f>
        <v>223.80000000000013</v>
      </c>
      <c r="BE125" s="14">
        <f>BD125*VLOOKUP('Données projet'!$B$11,Paramètres!$A$1:$I$89,3,0)*VLOOKUP('Données projet'!$B$11,Paramètres!$A$1:$I$89,5,0)</f>
        <v>226.93320000000014</v>
      </c>
      <c r="BF125" s="14">
        <f t="shared" si="91"/>
        <v>55.619050499014108</v>
      </c>
      <c r="BG125" s="22">
        <f t="shared" si="61"/>
        <v>492.11183628578306</v>
      </c>
      <c r="BH125" s="62">
        <f t="shared" si="62"/>
        <v>785.44516961911631</v>
      </c>
      <c r="BI125" s="62">
        <f ca="1">AVERAGE(OFFSET($BH$3,0,0,'Données projet'!$E$11+1,1))-AVERAGE(OFFSET($H$3,0,0,'Données projet'!$E$11+1,1))</f>
        <v>234.66244049825644</v>
      </c>
      <c r="BJ125" s="62">
        <f t="shared" si="92"/>
        <v>87.037318032671465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43.731596707178966</v>
      </c>
      <c r="BQ125" s="23">
        <f>EXP(-LN(2)/25)*BQ124+(1-EXP(-LN(2)/25))/(LN(2)/25)*Calculateur!BL125*Calculateur!BN125*VLOOKUP('Données projet'!$B$11,Paramètres!$A$1:$I$89,3,0)*0.475*44/12</f>
        <v>3.0093909639350533</v>
      </c>
      <c r="BR125" s="23">
        <f>EXP(-LN(2)/2)*BR124+(1-EXP(-LN(2)/2))/(LN(2)/2)*BL125*BO125*VLOOKUP('Données projet'!$B$11,Paramètres!$A$1:$I$89,3,0)*0.475*44/12</f>
        <v>0.59227864463581692</v>
      </c>
      <c r="BS125" s="24">
        <f t="shared" si="63"/>
        <v>47.333266315749839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395.00000000000017</v>
      </c>
      <c r="O126" s="14">
        <f>N126*VLOOKUP('Données projet'!$B$9,Paramètres!$A$1:$I$89,3,0)*VLOOKUP('Données projet'!$B$9,Paramètres!$A$1:$I$89,5,0)</f>
        <v>236.21000000000009</v>
      </c>
      <c r="P126" s="14">
        <f t="shared" si="87"/>
        <v>57.62333963053878</v>
      </c>
      <c r="Q126" s="22">
        <f t="shared" si="107"/>
        <v>511.75973318985524</v>
      </c>
      <c r="R126" s="62">
        <f t="shared" si="55"/>
        <v>805.09306652318855</v>
      </c>
      <c r="S126" s="62">
        <f ca="1">AVERAGE(OFFSET($R$3,0,0,'Données projet'!$E$9+1,1))-AVERAGE(OFFSET($H$3,0,0,'Données projet'!$E$9+1,1))</f>
        <v>217.62295992724461</v>
      </c>
      <c r="T126" s="62">
        <f t="shared" si="88"/>
        <v>198.62788037979772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11.093731013224319</v>
      </c>
      <c r="AA126" s="23">
        <f>EXP(-LN(2)/25)*AA125+(1-EXP(-LN(2)/25))/(LN(2)/25)*Calculateur!V126*Calculateur!X126*VLOOKUP('Données projet'!$B$9,Paramètres!$A$1:$I$89,3,0)*0.475*44/12</f>
        <v>1.1502452451083423</v>
      </c>
      <c r="AB126" s="23">
        <f>EXP(-LN(2)/2)*AB125+(1-EXP(-LN(2)/2))/(LN(2)/2)*V126*Y126*VLOOKUP('Données projet'!$B$9,Paramètres!$A$1:$I$89,3,0)*0.475*44/12</f>
        <v>6.5533366016032768E-10</v>
      </c>
      <c r="AC126" s="24">
        <f t="shared" si="57"/>
        <v>12.243976258987995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1.5961632016114892E-13</v>
      </c>
      <c r="AK126" s="14">
        <f t="shared" si="89"/>
        <v>2.2708641912150958E-12</v>
      </c>
      <c r="AL126" s="22">
        <f t="shared" si="58"/>
        <v>4.2330868906469593E-12</v>
      </c>
      <c r="AM126" s="62">
        <f t="shared" si="59"/>
        <v>293.33333333333752</v>
      </c>
      <c r="AN126" s="62">
        <f ca="1">AVERAGE(OFFSET($AM$3,0,0,'Données projet'!$E$10+1,1))-AVERAGE(OFFSET($H$3,0,0,'Données projet'!$E$10+1,1))</f>
        <v>201.92726874818067</v>
      </c>
      <c r="AO126" s="62">
        <f t="shared" si="90"/>
        <v>197.16147791248727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106.45134947212216</v>
      </c>
      <c r="AV126" s="23">
        <f>EXP(-LN(2)/25)*AV125+(1-EXP(-LN(2)/25))/(LN(2)/25)*Calculateur!AQ126*Calculateur!AS126*VLOOKUP('Données projet'!$B$10,Paramètres!$A$1:$I$89,3,0)*0.475*44/12</f>
        <v>37.482339014531071</v>
      </c>
      <c r="AW126" s="23">
        <f>EXP(-LN(2)/2)*AW125+(1-EXP(-LN(2)/2))/(LN(2)/2)*AQ126*AT126*VLOOKUP('Données projet'!$B$10,Paramètres!$A$1:$I$89,3,0)*0.475*44/12</f>
        <v>2.9985942156079762E-2</v>
      </c>
      <c r="AX126" s="23">
        <f t="shared" si="60"/>
        <v>143.96367442880933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5.7</v>
      </c>
      <c r="BD126" s="13">
        <f>IF('Données projet'!$A$88&gt;35,BD125+BC126-BL125,IF(A126&lt;'Données projet'!$A$88,$BA$205^A126,IF(A126='Données projet'!$A$88,'Données projet'!$B$88,BD125+BC126-BL125)))</f>
        <v>229.50000000000011</v>
      </c>
      <c r="BE126" s="14">
        <f>BD126*VLOOKUP('Données projet'!$B$11,Paramètres!$A$1:$I$89,3,0)*VLOOKUP('Données projet'!$B$11,Paramètres!$A$1:$I$89,5,0)</f>
        <v>232.71300000000011</v>
      </c>
      <c r="BF126" s="14">
        <f t="shared" si="91"/>
        <v>56.868894603265446</v>
      </c>
      <c r="BG126" s="22">
        <f t="shared" si="61"/>
        <v>504.35513310068745</v>
      </c>
      <c r="BH126" s="62">
        <f t="shared" si="62"/>
        <v>797.68846643402071</v>
      </c>
      <c r="BI126" s="62">
        <f ca="1">AVERAGE(OFFSET($BH$3,0,0,'Données projet'!$E$11+1,1))-AVERAGE(OFFSET($H$3,0,0,'Données projet'!$E$11+1,1))</f>
        <v>234.66244049825644</v>
      </c>
      <c r="BJ126" s="62">
        <f t="shared" si="92"/>
        <v>87.037318032671465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42.874046769391377</v>
      </c>
      <c r="BQ126" s="23">
        <f>EXP(-LN(2)/25)*BQ125+(1-EXP(-LN(2)/25))/(LN(2)/25)*Calculateur!BL126*Calculateur!BN126*VLOOKUP('Données projet'!$B$11,Paramètres!$A$1:$I$89,3,0)*0.475*44/12</f>
        <v>2.9270990097692566</v>
      </c>
      <c r="BR126" s="23">
        <f>EXP(-LN(2)/2)*BR125+(1-EXP(-LN(2)/2))/(LN(2)/2)*BL126*BO126*VLOOKUP('Données projet'!$B$11,Paramètres!$A$1:$I$89,3,0)*0.475*44/12</f>
        <v>0.41880424597396354</v>
      </c>
      <c r="BS126" s="24">
        <f t="shared" si="63"/>
        <v>46.219950025134601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395.00000000000017</v>
      </c>
      <c r="O127" s="14">
        <f>N127*VLOOKUP('Données projet'!$B$9,Paramètres!$A$1:$I$89,3,0)*VLOOKUP('Données projet'!$B$9,Paramètres!$A$1:$I$89,5,0)</f>
        <v>236.21000000000009</v>
      </c>
      <c r="P127" s="14">
        <f t="shared" si="87"/>
        <v>57.62333963053878</v>
      </c>
      <c r="Q127" s="22">
        <f t="shared" si="107"/>
        <v>511.75973318985524</v>
      </c>
      <c r="R127" s="62">
        <f t="shared" si="55"/>
        <v>805.09306652318855</v>
      </c>
      <c r="S127" s="62">
        <f ca="1">AVERAGE(OFFSET($R$3,0,0,'Données projet'!$E$9+1,1))-AVERAGE(OFFSET($H$3,0,0,'Données projet'!$E$9+1,1))</f>
        <v>217.62295992724461</v>
      </c>
      <c r="T127" s="62">
        <f t="shared" si="88"/>
        <v>198.62788037979772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10.876189714562772</v>
      </c>
      <c r="AA127" s="23">
        <f>EXP(-LN(2)/25)*AA126+(1-EXP(-LN(2)/25))/(LN(2)/25)*Calculateur!V127*Calculateur!X127*VLOOKUP('Données projet'!$B$9,Paramètres!$A$1:$I$89,3,0)*0.475*44/12</f>
        <v>1.1187917283920861</v>
      </c>
      <c r="AB127" s="23">
        <f>EXP(-LN(2)/2)*AB126+(1-EXP(-LN(2)/2))/(LN(2)/2)*V127*Y127*VLOOKUP('Données projet'!$B$9,Paramètres!$A$1:$I$89,3,0)*0.475*44/12</f>
        <v>4.6339087503916815E-10</v>
      </c>
      <c r="AC127" s="24">
        <f t="shared" si="57"/>
        <v>11.994981443418249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1.5961632016114892E-13</v>
      </c>
      <c r="AK127" s="14">
        <f t="shared" si="89"/>
        <v>2.2708641912150958E-12</v>
      </c>
      <c r="AL127" s="22">
        <f t="shared" si="58"/>
        <v>4.2330868906469593E-12</v>
      </c>
      <c r="AM127" s="62">
        <f t="shared" si="59"/>
        <v>293.33333333333752</v>
      </c>
      <c r="AN127" s="62">
        <f ca="1">AVERAGE(OFFSET($AM$3,0,0,'Données projet'!$E$10+1,1))-AVERAGE(OFFSET($H$3,0,0,'Données projet'!$E$10+1,1))</f>
        <v>201.92726874818067</v>
      </c>
      <c r="AO127" s="62">
        <f t="shared" si="90"/>
        <v>197.16147791248727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104.36390343788582</v>
      </c>
      <c r="AV127" s="23">
        <f>EXP(-LN(2)/25)*AV126+(1-EXP(-LN(2)/25))/(LN(2)/25)*Calculateur!AQ127*Calculateur!AS127*VLOOKUP('Données projet'!$B$10,Paramètres!$A$1:$I$89,3,0)*0.475*44/12</f>
        <v>36.45738248306818</v>
      </c>
      <c r="AW127" s="23">
        <f>EXP(-LN(2)/2)*AW126+(1-EXP(-LN(2)/2))/(LN(2)/2)*AQ127*AT127*VLOOKUP('Données projet'!$B$10,Paramètres!$A$1:$I$89,3,0)*0.475*44/12</f>
        <v>2.1203263038831563E-2</v>
      </c>
      <c r="AX127" s="23">
        <f t="shared" si="60"/>
        <v>140.84248918399285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5.7</v>
      </c>
      <c r="BD127" s="13">
        <f>IF('Données projet'!$A$88&gt;35,BD126+BC127-BL126,IF(A127&lt;'Données projet'!$A$88,$BA$205^A127,IF(A127='Données projet'!$A$88,'Données projet'!$B$88,BD126+BC127-BL126)))</f>
        <v>235.2000000000001</v>
      </c>
      <c r="BE127" s="14">
        <f>BD127*VLOOKUP('Données projet'!$B$11,Paramètres!$A$1:$I$89,3,0)*VLOOKUP('Données projet'!$B$11,Paramètres!$A$1:$I$89,5,0)</f>
        <v>238.49280000000013</v>
      </c>
      <c r="BF127" s="14">
        <f t="shared" si="91"/>
        <v>58.115130258576592</v>
      </c>
      <c r="BG127" s="22">
        <f t="shared" si="61"/>
        <v>516.59214520035437</v>
      </c>
      <c r="BH127" s="62">
        <f t="shared" si="62"/>
        <v>809.92547853368774</v>
      </c>
      <c r="BI127" s="62">
        <f ca="1">AVERAGE(OFFSET($BH$3,0,0,'Données projet'!$E$11+1,1))-AVERAGE(OFFSET($H$3,0,0,'Données projet'!$E$11+1,1))</f>
        <v>234.66244049825644</v>
      </c>
      <c r="BJ127" s="62">
        <f t="shared" si="92"/>
        <v>87.037318032671465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42.033312862829987</v>
      </c>
      <c r="BQ127" s="23">
        <f>EXP(-LN(2)/25)*BQ126+(1-EXP(-LN(2)/25))/(LN(2)/25)*Calculateur!BL127*Calculateur!BN127*VLOOKUP('Données projet'!$B$11,Paramètres!$A$1:$I$89,3,0)*0.475*44/12</f>
        <v>2.8470573334176694</v>
      </c>
      <c r="BR127" s="23">
        <f>EXP(-LN(2)/2)*BR126+(1-EXP(-LN(2)/2))/(LN(2)/2)*BL127*BO127*VLOOKUP('Données projet'!$B$11,Paramètres!$A$1:$I$89,3,0)*0.475*44/12</f>
        <v>0.29613932231790846</v>
      </c>
      <c r="BS127" s="24">
        <f t="shared" si="63"/>
        <v>45.17650951856556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395.00000000000017</v>
      </c>
      <c r="O128" s="14">
        <f>N128*VLOOKUP('Données projet'!$B$9,Paramètres!$A$1:$I$89,3,0)*VLOOKUP('Données projet'!$B$9,Paramètres!$A$1:$I$89,5,0)</f>
        <v>236.21000000000009</v>
      </c>
      <c r="P128" s="14">
        <f t="shared" si="87"/>
        <v>57.62333963053878</v>
      </c>
      <c r="Q128" s="22">
        <f t="shared" si="107"/>
        <v>511.75973318985524</v>
      </c>
      <c r="R128" s="62">
        <f t="shared" si="55"/>
        <v>805.09306652318855</v>
      </c>
      <c r="S128" s="62">
        <f ca="1">AVERAGE(OFFSET($R$3,0,0,'Données projet'!$E$9+1,1))-AVERAGE(OFFSET($H$3,0,0,'Données projet'!$E$9+1,1))</f>
        <v>217.62295992724461</v>
      </c>
      <c r="T128" s="62">
        <f t="shared" si="88"/>
        <v>198.62788037979772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10.662914268080886</v>
      </c>
      <c r="AA128" s="23">
        <f>EXP(-LN(2)/25)*AA127+(1-EXP(-LN(2)/25))/(LN(2)/25)*Calculateur!V128*Calculateur!X128*VLOOKUP('Données projet'!$B$9,Paramètres!$A$1:$I$89,3,0)*0.475*44/12</f>
        <v>1.0881983097445045</v>
      </c>
      <c r="AB128" s="23">
        <f>EXP(-LN(2)/2)*AB127+(1-EXP(-LN(2)/2))/(LN(2)/2)*V128*Y128*VLOOKUP('Données projet'!$B$9,Paramètres!$A$1:$I$89,3,0)*0.475*44/12</f>
        <v>3.2766683008016389E-10</v>
      </c>
      <c r="AC128" s="24">
        <f t="shared" si="57"/>
        <v>11.751112578153057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1.5961632016114892E-13</v>
      </c>
      <c r="AK128" s="14">
        <f t="shared" si="89"/>
        <v>2.2708641912150958E-12</v>
      </c>
      <c r="AL128" s="22">
        <f t="shared" si="58"/>
        <v>4.2330868906469593E-12</v>
      </c>
      <c r="AM128" s="62">
        <f t="shared" si="59"/>
        <v>293.33333333333752</v>
      </c>
      <c r="AN128" s="62">
        <f ca="1">AVERAGE(OFFSET($AM$3,0,0,'Données projet'!$E$10+1,1))-AVERAGE(OFFSET($H$3,0,0,'Données projet'!$E$10+1,1))</f>
        <v>201.92726874818067</v>
      </c>
      <c r="AO128" s="62">
        <f t="shared" si="90"/>
        <v>197.16147791248727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102.3173909471645</v>
      </c>
      <c r="AV128" s="23">
        <f>EXP(-LN(2)/25)*AV127+(1-EXP(-LN(2)/25))/(LN(2)/25)*Calculateur!AQ128*Calculateur!AS128*VLOOKUP('Données projet'!$B$10,Paramètres!$A$1:$I$89,3,0)*0.475*44/12</f>
        <v>35.460453441858263</v>
      </c>
      <c r="AW128" s="23">
        <f>EXP(-LN(2)/2)*AW127+(1-EXP(-LN(2)/2))/(LN(2)/2)*AQ128*AT128*VLOOKUP('Données projet'!$B$10,Paramètres!$A$1:$I$89,3,0)*0.475*44/12</f>
        <v>1.4992971078039881E-2</v>
      </c>
      <c r="AX128" s="23">
        <f t="shared" si="60"/>
        <v>137.7928373601008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5.7</v>
      </c>
      <c r="BD128" s="13">
        <f>IF('Données projet'!$A$88&gt;35,BD127+BC128-BL127,IF(A128&lt;'Données projet'!$A$88,$BA$205^A128,IF(A128='Données projet'!$A$88,'Données projet'!$B$88,BD127+BC128-BL127)))</f>
        <v>240.90000000000009</v>
      </c>
      <c r="BE128" s="14">
        <f>BD128*VLOOKUP('Données projet'!$B$11,Paramètres!$A$1:$I$89,3,0)*VLOOKUP('Données projet'!$B$11,Paramètres!$A$1:$I$89,5,0)</f>
        <v>244.2726000000001</v>
      </c>
      <c r="BF128" s="14">
        <f t="shared" si="91"/>
        <v>59.357854975473522</v>
      </c>
      <c r="BG128" s="22">
        <f t="shared" si="61"/>
        <v>528.82304241561656</v>
      </c>
      <c r="BH128" s="62">
        <f t="shared" si="62"/>
        <v>822.15637574894981</v>
      </c>
      <c r="BI128" s="62">
        <f ca="1">AVERAGE(OFFSET($BH$3,0,0,'Données projet'!$E$11+1,1))-AVERAGE(OFFSET($H$3,0,0,'Données projet'!$E$11+1,1))</f>
        <v>234.66244049825644</v>
      </c>
      <c r="BJ128" s="62">
        <f t="shared" si="92"/>
        <v>87.037318032671465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41.209065235379214</v>
      </c>
      <c r="BQ128" s="23">
        <f>EXP(-LN(2)/25)*BQ127+(1-EXP(-LN(2)/25))/(LN(2)/25)*Calculateur!BL128*Calculateur!BN128*VLOOKUP('Données projet'!$B$11,Paramètres!$A$1:$I$89,3,0)*0.475*44/12</f>
        <v>2.7692044009151253</v>
      </c>
      <c r="BR128" s="23">
        <f>EXP(-LN(2)/2)*BR127+(1-EXP(-LN(2)/2))/(LN(2)/2)*BL128*BO128*VLOOKUP('Données projet'!$B$11,Paramètres!$A$1:$I$89,3,0)*0.475*44/12</f>
        <v>0.20940212298698177</v>
      </c>
      <c r="BS128" s="24">
        <f t="shared" si="63"/>
        <v>44.187671759281322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395.00000000000017</v>
      </c>
      <c r="O129" s="14">
        <f>N129*VLOOKUP('Données projet'!$B$9,Paramètres!$A$1:$I$89,3,0)*VLOOKUP('Données projet'!$B$9,Paramètres!$A$1:$I$89,5,0)</f>
        <v>236.21000000000009</v>
      </c>
      <c r="P129" s="14">
        <f t="shared" si="87"/>
        <v>57.62333963053878</v>
      </c>
      <c r="Q129" s="22">
        <f t="shared" si="107"/>
        <v>511.75973318985524</v>
      </c>
      <c r="R129" s="62">
        <f t="shared" si="55"/>
        <v>805.09306652318855</v>
      </c>
      <c r="S129" s="62">
        <f ca="1">AVERAGE(OFFSET($R$3,0,0,'Données projet'!$E$9+1,1))-AVERAGE(OFFSET($H$3,0,0,'Données projet'!$E$9+1,1))</f>
        <v>217.62295992724461</v>
      </c>
      <c r="T129" s="62">
        <f t="shared" si="88"/>
        <v>198.62788037979772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10.453821023019334</v>
      </c>
      <c r="AA129" s="23">
        <f>EXP(-LN(2)/25)*AA128+(1-EXP(-LN(2)/25))/(LN(2)/25)*Calculateur!V129*Calculateur!X129*VLOOKUP('Données projet'!$B$9,Paramètres!$A$1:$I$89,3,0)*0.475*44/12</f>
        <v>1.058441469738679</v>
      </c>
      <c r="AB129" s="23">
        <f>EXP(-LN(2)/2)*AB128+(1-EXP(-LN(2)/2))/(LN(2)/2)*V129*Y129*VLOOKUP('Données projet'!$B$9,Paramètres!$A$1:$I$89,3,0)*0.475*44/12</f>
        <v>2.3169543751958413E-10</v>
      </c>
      <c r="AC129" s="24">
        <f t="shared" si="57"/>
        <v>11.512262492989707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1.5961632016114892E-13</v>
      </c>
      <c r="AK129" s="14">
        <f t="shared" si="89"/>
        <v>2.2708641912150958E-12</v>
      </c>
      <c r="AL129" s="22">
        <f t="shared" si="58"/>
        <v>4.2330868906469593E-12</v>
      </c>
      <c r="AM129" s="62">
        <f t="shared" si="59"/>
        <v>293.33333333333752</v>
      </c>
      <c r="AN129" s="62">
        <f ca="1">AVERAGE(OFFSET($AM$3,0,0,'Données projet'!$E$10+1,1))-AVERAGE(OFFSET($H$3,0,0,'Données projet'!$E$10+1,1))</f>
        <v>201.92726874818067</v>
      </c>
      <c r="AO129" s="62">
        <f t="shared" si="90"/>
        <v>197.16147791248727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100.31100931813685</v>
      </c>
      <c r="AV129" s="23">
        <f>EXP(-LN(2)/25)*AV128+(1-EXP(-LN(2)/25))/(LN(2)/25)*Calculateur!AQ129*Calculateur!AS129*VLOOKUP('Données projet'!$B$10,Paramètres!$A$1:$I$89,3,0)*0.475*44/12</f>
        <v>34.490785477706446</v>
      </c>
      <c r="AW129" s="23">
        <f>EXP(-LN(2)/2)*AW128+(1-EXP(-LN(2)/2))/(LN(2)/2)*AQ129*AT129*VLOOKUP('Données projet'!$B$10,Paramètres!$A$1:$I$89,3,0)*0.475*44/12</f>
        <v>1.0601631519415781E-2</v>
      </c>
      <c r="AX129" s="23">
        <f t="shared" si="60"/>
        <v>134.81239642736273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5.7</v>
      </c>
      <c r="BD129" s="13">
        <f>IF('Données projet'!$A$88&gt;35,BD128+BC129-BL128,IF(A129&lt;'Données projet'!$A$88,$BA$205^A129,IF(A129='Données projet'!$A$88,'Données projet'!$B$88,BD128+BC129-BL128)))</f>
        <v>246.60000000000008</v>
      </c>
      <c r="BE129" s="14">
        <f>BD129*VLOOKUP('Données projet'!$B$11,Paramètres!$A$1:$I$89,3,0)*VLOOKUP('Données projet'!$B$11,Paramètres!$A$1:$I$89,5,0)</f>
        <v>250.05240000000009</v>
      </c>
      <c r="BF129" s="14">
        <f t="shared" si="91"/>
        <v>60.597161386823522</v>
      </c>
      <c r="BG129" s="22">
        <f t="shared" si="61"/>
        <v>541.04798608205112</v>
      </c>
      <c r="BH129" s="62">
        <f t="shared" si="62"/>
        <v>834.3813194153845</v>
      </c>
      <c r="BI129" s="62">
        <f ca="1">AVERAGE(OFFSET($BH$3,0,0,'Données projet'!$E$11+1,1))-AVERAGE(OFFSET($H$3,0,0,'Données projet'!$E$11+1,1))</f>
        <v>234.66244049825644</v>
      </c>
      <c r="BJ129" s="62">
        <f t="shared" si="92"/>
        <v>87.037318032671465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40.400980601161343</v>
      </c>
      <c r="BQ129" s="23">
        <f>EXP(-LN(2)/25)*BQ128+(1-EXP(-LN(2)/25))/(LN(2)/25)*Calculateur!BL129*Calculateur!BN129*VLOOKUP('Données projet'!$B$11,Paramètres!$A$1:$I$89,3,0)*0.475*44/12</f>
        <v>2.693480360945971</v>
      </c>
      <c r="BR129" s="23">
        <f>EXP(-LN(2)/2)*BR128+(1-EXP(-LN(2)/2))/(LN(2)/2)*BL129*BO129*VLOOKUP('Données projet'!$B$11,Paramètres!$A$1:$I$89,3,0)*0.475*44/12</f>
        <v>0.14806966115895423</v>
      </c>
      <c r="BS129" s="24">
        <f t="shared" si="63"/>
        <v>43.242530623266269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395.00000000000017</v>
      </c>
      <c r="O130" s="14">
        <f>N130*VLOOKUP('Données projet'!$B$9,Paramètres!$A$1:$I$89,3,0)*VLOOKUP('Données projet'!$B$9,Paramètres!$A$1:$I$89,5,0)</f>
        <v>236.21000000000009</v>
      </c>
      <c r="P130" s="14">
        <f t="shared" si="87"/>
        <v>57.62333963053878</v>
      </c>
      <c r="Q130" s="22">
        <f t="shared" si="107"/>
        <v>511.75973318985524</v>
      </c>
      <c r="R130" s="62">
        <f t="shared" si="55"/>
        <v>805.09306652318855</v>
      </c>
      <c r="S130" s="62">
        <f ca="1">AVERAGE(OFFSET($R$3,0,0,'Données projet'!$E$9+1,1))-AVERAGE(OFFSET($H$3,0,0,'Données projet'!$E$9+1,1))</f>
        <v>217.62295992724461</v>
      </c>
      <c r="T130" s="62">
        <f t="shared" si="88"/>
        <v>198.62788037979772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10.248827968959151</v>
      </c>
      <c r="AA130" s="23">
        <f>EXP(-LN(2)/25)*AA129+(1-EXP(-LN(2)/25))/(LN(2)/25)*Calculateur!V130*Calculateur!X130*VLOOKUP('Données projet'!$B$9,Paramètres!$A$1:$I$89,3,0)*0.475*44/12</f>
        <v>1.029498332087657</v>
      </c>
      <c r="AB130" s="23">
        <f>EXP(-LN(2)/2)*AB129+(1-EXP(-LN(2)/2))/(LN(2)/2)*V130*Y130*VLOOKUP('Données projet'!$B$9,Paramètres!$A$1:$I$89,3,0)*0.475*44/12</f>
        <v>1.6383341504008197E-10</v>
      </c>
      <c r="AC130" s="24">
        <f t="shared" si="57"/>
        <v>11.278326301210642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1.5961632016114892E-13</v>
      </c>
      <c r="AK130" s="14">
        <f t="shared" si="89"/>
        <v>2.2708641912150958E-12</v>
      </c>
      <c r="AL130" s="22">
        <f t="shared" si="58"/>
        <v>4.2330868906469593E-12</v>
      </c>
      <c r="AM130" s="62">
        <f t="shared" si="59"/>
        <v>293.33333333333752</v>
      </c>
      <c r="AN130" s="62">
        <f ca="1">AVERAGE(OFFSET($AM$3,0,0,'Données projet'!$E$10+1,1))-AVERAGE(OFFSET($H$3,0,0,'Données projet'!$E$10+1,1))</f>
        <v>201.92726874818067</v>
      </c>
      <c r="AO130" s="62">
        <f t="shared" si="90"/>
        <v>197.16147791248727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98.343971609082487</v>
      </c>
      <c r="AV130" s="23">
        <f>EXP(-LN(2)/25)*AV129+(1-EXP(-LN(2)/25))/(LN(2)/25)*Calculateur!AQ130*Calculateur!AS130*VLOOKUP('Données projet'!$B$10,Paramètres!$A$1:$I$89,3,0)*0.475*44/12</f>
        <v>33.547633135026985</v>
      </c>
      <c r="AW130" s="23">
        <f>EXP(-LN(2)/2)*AW129+(1-EXP(-LN(2)/2))/(LN(2)/2)*AQ130*AT130*VLOOKUP('Données projet'!$B$10,Paramètres!$A$1:$I$89,3,0)*0.475*44/12</f>
        <v>7.4964855390199404E-3</v>
      </c>
      <c r="AX130" s="23">
        <f t="shared" si="60"/>
        <v>131.89910122964849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5.7</v>
      </c>
      <c r="BD130" s="13">
        <f>IF('Données projet'!$A$88&gt;35,BD129+BC130-BL129,IF(A130&lt;'Données projet'!$A$88,$BA$205^A130,IF(A130='Données projet'!$A$88,'Données projet'!$B$88,BD129+BC130-BL129)))</f>
        <v>252.30000000000007</v>
      </c>
      <c r="BE130" s="14">
        <f>BD130*VLOOKUP('Données projet'!$B$11,Paramètres!$A$1:$I$89,3,0)*VLOOKUP('Données projet'!$B$11,Paramètres!$A$1:$I$89,5,0)</f>
        <v>255.83220000000011</v>
      </c>
      <c r="BF130" s="14">
        <f t="shared" si="91"/>
        <v>61.833137598843905</v>
      </c>
      <c r="BG130" s="22">
        <f t="shared" si="61"/>
        <v>553.26712965132003</v>
      </c>
      <c r="BH130" s="62">
        <f t="shared" si="62"/>
        <v>846.6004629846534</v>
      </c>
      <c r="BI130" s="62">
        <f ca="1">AVERAGE(OFFSET($BH$3,0,0,'Données projet'!$E$11+1,1))-AVERAGE(OFFSET($H$3,0,0,'Données projet'!$E$11+1,1))</f>
        <v>234.66244049825644</v>
      </c>
      <c r="BJ130" s="62">
        <f t="shared" si="92"/>
        <v>87.037318032671465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39.608742013737526</v>
      </c>
      <c r="BQ130" s="23">
        <f>EXP(-LN(2)/25)*BQ129+(1-EXP(-LN(2)/25))/(LN(2)/25)*Calculateur!BL130*Calculateur!BN130*VLOOKUP('Données projet'!$B$11,Paramètres!$A$1:$I$89,3,0)*0.475*44/12</f>
        <v>2.6198269988319272</v>
      </c>
      <c r="BR130" s="23">
        <f>EXP(-LN(2)/2)*BR129+(1-EXP(-LN(2)/2))/(LN(2)/2)*BL130*BO130*VLOOKUP('Données projet'!$B$11,Paramètres!$A$1:$I$89,3,0)*0.475*44/12</f>
        <v>0.10470106149349089</v>
      </c>
      <c r="BS130" s="24">
        <f t="shared" si="63"/>
        <v>42.333270074062945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395.00000000000017</v>
      </c>
      <c r="O131" s="14">
        <f>N131*VLOOKUP('Données projet'!$B$9,Paramètres!$A$1:$I$89,3,0)*VLOOKUP('Données projet'!$B$9,Paramètres!$A$1:$I$89,5,0)</f>
        <v>236.21000000000009</v>
      </c>
      <c r="P131" s="14">
        <f t="shared" si="87"/>
        <v>57.62333963053878</v>
      </c>
      <c r="Q131" s="22">
        <f t="shared" ref="Q131:Q153" si="108">(O131+P131)*0.475*44/12</f>
        <v>511.75973318985524</v>
      </c>
      <c r="R131" s="62">
        <f t="shared" ref="R131:R194" si="109">Q131+(I131+J131)*44/12</f>
        <v>805.09306652318855</v>
      </c>
      <c r="S131" s="62">
        <f ca="1">AVERAGE(OFFSET($R$3,0,0,'Données projet'!$E$9+1,1))-AVERAGE(OFFSET($H$3,0,0,'Données projet'!$E$9+1,1))</f>
        <v>217.62295992724461</v>
      </c>
      <c r="T131" s="62">
        <f t="shared" si="88"/>
        <v>198.62788037979772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10.047854703655672</v>
      </c>
      <c r="AA131" s="23">
        <f>EXP(-LN(2)/25)*AA130+(1-EXP(-LN(2)/25))/(LN(2)/25)*Calculateur!V131*Calculateur!X131*VLOOKUP('Données projet'!$B$9,Paramètres!$A$1:$I$89,3,0)*0.475*44/12</f>
        <v>1.0013466460577556</v>
      </c>
      <c r="AB131" s="23">
        <f>EXP(-LN(2)/2)*AB130+(1-EXP(-LN(2)/2))/(LN(2)/2)*V131*Y131*VLOOKUP('Données projet'!$B$9,Paramètres!$A$1:$I$89,3,0)*0.475*44/12</f>
        <v>1.1584771875979208E-10</v>
      </c>
      <c r="AC131" s="24">
        <f t="shared" si="57"/>
        <v>11.049201349829275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1.5961632016114892E-13</v>
      </c>
      <c r="AK131" s="14">
        <f t="shared" si="89"/>
        <v>2.2708641912150958E-12</v>
      </c>
      <c r="AL131" s="22">
        <f t="shared" si="58"/>
        <v>4.2330868906469593E-12</v>
      </c>
      <c r="AM131" s="62">
        <f t="shared" si="59"/>
        <v>293.33333333333752</v>
      </c>
      <c r="AN131" s="62">
        <f ca="1">AVERAGE(OFFSET($AM$3,0,0,'Données projet'!$E$10+1,1))-AVERAGE(OFFSET($H$3,0,0,'Données projet'!$E$10+1,1))</f>
        <v>201.92726874818067</v>
      </c>
      <c r="AO131" s="62">
        <f t="shared" si="90"/>
        <v>197.16147791248727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96.415506309728144</v>
      </c>
      <c r="AV131" s="23">
        <f>EXP(-LN(2)/25)*AV130+(1-EXP(-LN(2)/25))/(LN(2)/25)*Calculateur!AQ131*Calculateur!AS131*VLOOKUP('Données projet'!$B$10,Paramètres!$A$1:$I$89,3,0)*0.475*44/12</f>
        <v>32.630271342756316</v>
      </c>
      <c r="AW131" s="23">
        <f>EXP(-LN(2)/2)*AW130+(1-EXP(-LN(2)/2))/(LN(2)/2)*AQ131*AT131*VLOOKUP('Données projet'!$B$10,Paramètres!$A$1:$I$89,3,0)*0.475*44/12</f>
        <v>5.3008157597078907E-3</v>
      </c>
      <c r="AX131" s="23">
        <f t="shared" si="60"/>
        <v>129.05107846824416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>
        <f>VLOOKUP(A131,'Données projet'!$A$87:$I$107,2,0)</f>
        <v>258</v>
      </c>
      <c r="BB131" s="13">
        <f>VLOOKUP(A131,'Données projet'!$A$87:$I$107,9,0)</f>
        <v>5.7</v>
      </c>
      <c r="BC131" s="13">
        <f t="array" ref="BC131">INDEX(BB:BB,MIN(IF(ISNUMBER(BB131:BB327),ROW(BB131:BB327),"")))</f>
        <v>5.7</v>
      </c>
      <c r="BD131" s="13">
        <f>IF('Données projet'!$A$88&gt;35,BD130+BC131-BL130,IF(A131&lt;'Données projet'!$A$88,$BA$205^A131,IF(A131='Données projet'!$A$88,'Données projet'!$B$88,BD130+BC131-BL130)))</f>
        <v>258.00000000000006</v>
      </c>
      <c r="BE131" s="14">
        <f>BD131*VLOOKUP('Données projet'!$B$11,Paramètres!$A$1:$I$89,3,0)*VLOOKUP('Données projet'!$B$11,Paramètres!$A$1:$I$89,5,0)</f>
        <v>261.61200000000008</v>
      </c>
      <c r="BF131" s="14">
        <f t="shared" si="91"/>
        <v>63.065867509496499</v>
      </c>
      <c r="BG131" s="22">
        <f t="shared" si="61"/>
        <v>565.48061924570652</v>
      </c>
      <c r="BH131" s="62">
        <f t="shared" si="62"/>
        <v>858.81395257903978</v>
      </c>
      <c r="BI131" s="62">
        <f ca="1">AVERAGE(OFFSET($BH$3,0,0,'Données projet'!$E$11+1,1))-AVERAGE(OFFSET($H$3,0,0,'Données projet'!$E$11+1,1))</f>
        <v>234.66244049825644</v>
      </c>
      <c r="BJ131" s="62">
        <f t="shared" si="92"/>
        <v>87.037318032671465</v>
      </c>
      <c r="BK131" s="16">
        <f>IF(ISNA(VLOOKUP(A131,'Données projet'!$A$87:$I$107,3,0)),0,VLOOKUP(A131,'Données projet'!$A$87:$I$107,3,0))</f>
        <v>9</v>
      </c>
      <c r="BL131" s="16">
        <f>IF(ISNA(VLOOKUP(A131,'Données projet'!$A$87:$I$107,4,0)),0,VLOOKUP(A131,'Données projet'!$A$87:$I$107,4,0))</f>
        <v>39</v>
      </c>
      <c r="BM131" s="17">
        <f>IF(ISNA(VLOOKUP(A131,'Données projet'!$A$87:$I$107,5,0)),0%,VLOOKUP(A131,'Données projet'!$A$87:$I$107,5,0)*VLOOKUP('Données projet'!$B$11,Paramètres!$A$1:$I$89,7,0))</f>
        <v>0.34400000000000003</v>
      </c>
      <c r="BN131" s="17">
        <f>IF(ISNA(VLOOKUP(A131,'Données projet'!$A$87:$I$107,6,0)),0%,VLOOKUP(A131,'Données projet'!$A$87:$I$107,6,0)*VLOOKUP('Données projet'!$B$11,Paramètres!$A$1:$I$89,7,0))</f>
        <v>1.72E-2</v>
      </c>
      <c r="BO131" s="17">
        <f>IF(ISNA(VLOOKUP(A131,'Données projet'!$A$87:$I$107,7,0)),0%,VLOOKUP(A131,'Données projet'!$A$87:$I$107,7,0))</f>
        <v>0.06</v>
      </c>
      <c r="BP131" s="23">
        <f>EXP(-LN(2)/35)*BP130+(1-EXP(-LN(2)/35))/(LN(2)/35)*BL131*BM131*VLOOKUP('Données projet'!$B$11,Paramètres!$A$1:$I$89,3,0)*0.475*44/12</f>
        <v>53.870663222174727</v>
      </c>
      <c r="BQ131" s="23">
        <f>EXP(-LN(2)/25)*BQ130+(1-EXP(-LN(2)/25))/(LN(2)/25)*Calculateur!BL131*Calculateur!BN131*VLOOKUP('Données projet'!$B$11,Paramètres!$A$1:$I$89,3,0)*0.475*44/12</f>
        <v>3.2971582760599056</v>
      </c>
      <c r="BR131" s="23">
        <f>EXP(-LN(2)/2)*BR130+(1-EXP(-LN(2)/2))/(LN(2)/2)*BL131*BO131*VLOOKUP('Données projet'!$B$11,Paramètres!$A$1:$I$89,3,0)*0.475*44/12</f>
        <v>2.3127977524785579</v>
      </c>
      <c r="BS131" s="24">
        <f t="shared" si="63"/>
        <v>59.48061925071319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395.00000000000017</v>
      </c>
      <c r="O132" s="14">
        <f>N132*VLOOKUP('Données projet'!$B$9,Paramètres!$A$1:$I$89,3,0)*VLOOKUP('Données projet'!$B$9,Paramètres!$A$1:$I$89,5,0)</f>
        <v>236.21000000000009</v>
      </c>
      <c r="P132" s="14">
        <f t="shared" si="87"/>
        <v>57.62333963053878</v>
      </c>
      <c r="Q132" s="22">
        <f t="shared" si="108"/>
        <v>511.75973318985524</v>
      </c>
      <c r="R132" s="62">
        <f t="shared" si="109"/>
        <v>805.09306652318855</v>
      </c>
      <c r="S132" s="62">
        <f ca="1">AVERAGE(OFFSET($R$3,0,0,'Données projet'!$E$9+1,1))-AVERAGE(OFFSET($H$3,0,0,'Données projet'!$E$9+1,1))</f>
        <v>217.62295992724461</v>
      </c>
      <c r="T132" s="62">
        <f t="shared" si="88"/>
        <v>198.62788037979772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9.8508224015032049</v>
      </c>
      <c r="AA132" s="23">
        <f>EXP(-LN(2)/25)*AA131+(1-EXP(-LN(2)/25))/(LN(2)/25)*Calculateur!V132*Calculateur!X132*VLOOKUP('Données projet'!$B$9,Paramètres!$A$1:$I$89,3,0)*0.475*44/12</f>
        <v>0.97396476936277476</v>
      </c>
      <c r="AB132" s="23">
        <f>EXP(-LN(2)/2)*AB131+(1-EXP(-LN(2)/2))/(LN(2)/2)*V132*Y132*VLOOKUP('Données projet'!$B$9,Paramètres!$A$1:$I$89,3,0)*0.475*44/12</f>
        <v>8.1916707520040999E-11</v>
      </c>
      <c r="AC132" s="24">
        <f t="shared" ref="AC132:AC153" si="111">SUM(Z132:AB132)</f>
        <v>10.824787170947896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1.5961632016114892E-13</v>
      </c>
      <c r="AK132" s="14">
        <f t="shared" si="89"/>
        <v>2.2708641912150958E-12</v>
      </c>
      <c r="AL132" s="22">
        <f t="shared" ref="AL132:AL153" si="112">(AJ132+AK132)*0.475*44/12</f>
        <v>4.2330868906469593E-12</v>
      </c>
      <c r="AM132" s="62">
        <f t="shared" ref="AM132:AM195" si="113">AL132+(AD132+AE132)*44/12</f>
        <v>293.33333333333752</v>
      </c>
      <c r="AN132" s="62">
        <f ca="1">AVERAGE(OFFSET($AM$3,0,0,'Données projet'!$E$10+1,1))-AVERAGE(OFFSET($H$3,0,0,'Données projet'!$E$10+1,1))</f>
        <v>201.92726874818067</v>
      </c>
      <c r="AO132" s="62">
        <f t="shared" si="90"/>
        <v>197.16147791248727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94.524857038646445</v>
      </c>
      <c r="AV132" s="23">
        <f>EXP(-LN(2)/25)*AV131+(1-EXP(-LN(2)/25))/(LN(2)/25)*Calculateur!AQ132*Calculateur!AS132*VLOOKUP('Données projet'!$B$10,Paramètres!$A$1:$I$89,3,0)*0.475*44/12</f>
        <v>31.737994856937252</v>
      </c>
      <c r="AW132" s="23">
        <f>EXP(-LN(2)/2)*AW131+(1-EXP(-LN(2)/2))/(LN(2)/2)*AQ132*AT132*VLOOKUP('Données projet'!$B$10,Paramètres!$A$1:$I$89,3,0)*0.475*44/12</f>
        <v>3.7482427695099702E-3</v>
      </c>
      <c r="AX132" s="23">
        <f t="shared" ref="AX132:AX153" si="114">SUM(AU132:AW132)</f>
        <v>126.2666001383532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5.7</v>
      </c>
      <c r="BD132" s="13">
        <f>IF('Données projet'!$A$88&gt;35,BD131+BC132-BL131,IF(A132&lt;'Données projet'!$A$88,$BA$205^A132,IF(A132='Données projet'!$A$88,'Données projet'!$B$88,BD131+BC132-BL131)))</f>
        <v>224.70000000000005</v>
      </c>
      <c r="BE132" s="14">
        <f>BD132*VLOOKUP('Données projet'!$B$11,Paramètres!$A$1:$I$89,3,0)*VLOOKUP('Données projet'!$B$11,Paramètres!$A$1:$I$89,5,0)</f>
        <v>227.84580000000005</v>
      </c>
      <c r="BF132" s="14">
        <f t="shared" si="91"/>
        <v>55.816638332383214</v>
      </c>
      <c r="BG132" s="22">
        <f t="shared" ref="BG132:BG153" si="115">(BE132+BF132)*0.475*44/12</f>
        <v>494.04541342890076</v>
      </c>
      <c r="BH132" s="62">
        <f t="shared" ref="BH132:BH195" si="116">BG132+(AY132+AZ132)*44/12</f>
        <v>787.37874676223407</v>
      </c>
      <c r="BI132" s="62">
        <f ca="1">AVERAGE(OFFSET($BH$3,0,0,'Données projet'!$E$11+1,1))-AVERAGE(OFFSET($H$3,0,0,'Données projet'!$E$11+1,1))</f>
        <v>234.66244049825644</v>
      </c>
      <c r="BJ132" s="62">
        <f t="shared" si="92"/>
        <v>87.037318032671465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52.814292374248005</v>
      </c>
      <c r="BQ132" s="23">
        <f>EXP(-LN(2)/25)*BQ131+(1-EXP(-LN(2)/25))/(LN(2)/25)*Calculateur!BL132*Calculateur!BN132*VLOOKUP('Données projet'!$B$11,Paramètres!$A$1:$I$89,3,0)*0.475*44/12</f>
        <v>3.2069973096110296</v>
      </c>
      <c r="BR132" s="23">
        <f>EXP(-LN(2)/2)*BR131+(1-EXP(-LN(2)/2))/(LN(2)/2)*BL132*BO132*VLOOKUP('Données projet'!$B$11,Paramètres!$A$1:$I$89,3,0)*0.475*44/12</f>
        <v>1.6353949742905947</v>
      </c>
      <c r="BS132" s="24">
        <f t="shared" ref="BS132:BS153" si="117">SUM(BP132:BR132)</f>
        <v>57.656684658149629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395.00000000000017</v>
      </c>
      <c r="O133" s="14">
        <f>N133*VLOOKUP('Données projet'!$B$9,Paramètres!$A$1:$I$89,3,0)*VLOOKUP('Données projet'!$B$9,Paramètres!$A$1:$I$89,5,0)</f>
        <v>236.21000000000009</v>
      </c>
      <c r="P133" s="14">
        <f t="shared" ref="P133:P196" si="141">EXP(-1.0587+0.8836*LN(O133)+0.284)</f>
        <v>57.62333963053878</v>
      </c>
      <c r="Q133" s="22">
        <f t="shared" si="108"/>
        <v>511.75973318985524</v>
      </c>
      <c r="R133" s="62">
        <f t="shared" si="109"/>
        <v>805.09306652318855</v>
      </c>
      <c r="S133" s="62">
        <f ca="1">AVERAGE(OFFSET($R$3,0,0,'Données projet'!$E$9+1,1))-AVERAGE(OFFSET($H$3,0,0,'Données projet'!$E$9+1,1))</f>
        <v>217.62295992724461</v>
      </c>
      <c r="T133" s="62">
        <f t="shared" ref="T133:T196" si="142">$T$3</f>
        <v>198.62788037979772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9.6576537826181106</v>
      </c>
      <c r="AA133" s="23">
        <f>EXP(-LN(2)/25)*AA132+(1-EXP(-LN(2)/25))/(LN(2)/25)*Calculateur!V133*Calculateur!X133*VLOOKUP('Données projet'!$B$9,Paramètres!$A$1:$I$89,3,0)*0.475*44/12</f>
        <v>0.94733165152596854</v>
      </c>
      <c r="AB133" s="23">
        <f>EXP(-LN(2)/2)*AB132+(1-EXP(-LN(2)/2))/(LN(2)/2)*V133*Y133*VLOOKUP('Données projet'!$B$9,Paramètres!$A$1:$I$89,3,0)*0.475*44/12</f>
        <v>5.7923859379896044E-11</v>
      </c>
      <c r="AC133" s="24">
        <f t="shared" si="111"/>
        <v>10.604985434202003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1.5961632016114892E-13</v>
      </c>
      <c r="AK133" s="14">
        <f t="shared" ref="AK133:AK153" si="143">EXP(-1.0587+0.8836*LN(AJ133)+0.284)</f>
        <v>2.2708641912150958E-12</v>
      </c>
      <c r="AL133" s="22">
        <f t="shared" si="112"/>
        <v>4.2330868906469593E-12</v>
      </c>
      <c r="AM133" s="62">
        <f t="shared" si="113"/>
        <v>293.33333333333752</v>
      </c>
      <c r="AN133" s="62">
        <f ca="1">AVERAGE(OFFSET($AM$3,0,0,'Données projet'!$E$10+1,1))-AVERAGE(OFFSET($H$3,0,0,'Données projet'!$E$10+1,1))</f>
        <v>201.92726874818067</v>
      </c>
      <c r="AO133" s="62">
        <f t="shared" ref="AO133:AO196" si="144">$AO$3</f>
        <v>197.16147791248727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92.671282246588476</v>
      </c>
      <c r="AV133" s="23">
        <f>EXP(-LN(2)/25)*AV132+(1-EXP(-LN(2)/25))/(LN(2)/25)*Calculateur!AQ133*Calculateur!AS133*VLOOKUP('Données projet'!$B$10,Paramètres!$A$1:$I$89,3,0)*0.475*44/12</f>
        <v>30.870117718545693</v>
      </c>
      <c r="AW133" s="23">
        <f>EXP(-LN(2)/2)*AW132+(1-EXP(-LN(2)/2))/(LN(2)/2)*AQ133*AT133*VLOOKUP('Données projet'!$B$10,Paramètres!$A$1:$I$89,3,0)*0.475*44/12</f>
        <v>2.6504078798539454E-3</v>
      </c>
      <c r="AX133" s="23">
        <f t="shared" si="114"/>
        <v>123.54405037301402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5.7</v>
      </c>
      <c r="BD133" s="13">
        <f>IF('Données projet'!$A$88&gt;35,BD132+BC133-BL132,IF(A133&lt;'Données projet'!$A$88,$BA$205^A133,IF(A133='Données projet'!$A$88,'Données projet'!$B$88,BD132+BC133-BL132)))</f>
        <v>230.40000000000003</v>
      </c>
      <c r="BE133" s="14">
        <f>BD133*VLOOKUP('Données projet'!$B$11,Paramètres!$A$1:$I$89,3,0)*VLOOKUP('Données projet'!$B$11,Paramètres!$A$1:$I$89,5,0)</f>
        <v>233.62560000000005</v>
      </c>
      <c r="BF133" s="14">
        <f t="shared" ref="BF133:BF153" si="145">EXP(-1.0587+0.8836*LN(BE133)+0.284)</f>
        <v>57.065905988744611</v>
      </c>
      <c r="BG133" s="22">
        <f t="shared" si="115"/>
        <v>506.28770626373034</v>
      </c>
      <c r="BH133" s="62">
        <f t="shared" si="116"/>
        <v>799.6210395970636</v>
      </c>
      <c r="BI133" s="62">
        <f ca="1">AVERAGE(OFFSET($BH$3,0,0,'Données projet'!$E$11+1,1))-AVERAGE(OFFSET($H$3,0,0,'Données projet'!$E$11+1,1))</f>
        <v>234.66244049825644</v>
      </c>
      <c r="BJ133" s="62">
        <f t="shared" ref="BJ133:BJ196" si="146">$BJ$3</f>
        <v>87.037318032671465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51.778636314326526</v>
      </c>
      <c r="BQ133" s="23">
        <f>EXP(-LN(2)/25)*BQ132+(1-EXP(-LN(2)/25))/(LN(2)/25)*Calculateur!BL133*Calculateur!BN133*VLOOKUP('Données projet'!$B$11,Paramètres!$A$1:$I$89,3,0)*0.475*44/12</f>
        <v>3.119301799531057</v>
      </c>
      <c r="BR133" s="23">
        <f>EXP(-LN(2)/2)*BR132+(1-EXP(-LN(2)/2))/(LN(2)/2)*BL133*BO133*VLOOKUP('Données projet'!$B$11,Paramètres!$A$1:$I$89,3,0)*0.475*44/12</f>
        <v>1.1563988762392792</v>
      </c>
      <c r="BS133" s="24">
        <f t="shared" si="117"/>
        <v>56.054336990096864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395.00000000000017</v>
      </c>
      <c r="O134" s="14">
        <f>N134*VLOOKUP('Données projet'!$B$9,Paramètres!$A$1:$I$89,3,0)*VLOOKUP('Données projet'!$B$9,Paramètres!$A$1:$I$89,5,0)</f>
        <v>236.21000000000009</v>
      </c>
      <c r="P134" s="14">
        <f t="shared" si="141"/>
        <v>57.62333963053878</v>
      </c>
      <c r="Q134" s="22">
        <f t="shared" si="108"/>
        <v>511.75973318985524</v>
      </c>
      <c r="R134" s="62">
        <f t="shared" si="109"/>
        <v>805.09306652318855</v>
      </c>
      <c r="S134" s="62">
        <f ca="1">AVERAGE(OFFSET($R$3,0,0,'Données projet'!$E$9+1,1))-AVERAGE(OFFSET($H$3,0,0,'Données projet'!$E$9+1,1))</f>
        <v>217.62295992724461</v>
      </c>
      <c r="T134" s="62">
        <f t="shared" si="142"/>
        <v>198.62788037979772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9.46827308252813</v>
      </c>
      <c r="AA134" s="23">
        <f>EXP(-LN(2)/25)*AA133+(1-EXP(-LN(2)/25))/(LN(2)/25)*Calculateur!V134*Calculateur!X134*VLOOKUP('Données projet'!$B$9,Paramètres!$A$1:$I$89,3,0)*0.475*44/12</f>
        <v>0.92142681769698453</v>
      </c>
      <c r="AB134" s="23">
        <f>EXP(-LN(2)/2)*AB133+(1-EXP(-LN(2)/2))/(LN(2)/2)*V134*Y134*VLOOKUP('Données projet'!$B$9,Paramètres!$A$1:$I$89,3,0)*0.475*44/12</f>
        <v>4.0958353760020506E-11</v>
      </c>
      <c r="AC134" s="24">
        <f t="shared" si="111"/>
        <v>10.389699900266073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1.5961632016114892E-13</v>
      </c>
      <c r="AK134" s="14">
        <f t="shared" si="143"/>
        <v>2.2708641912150958E-12</v>
      </c>
      <c r="AL134" s="22">
        <f t="shared" si="112"/>
        <v>4.2330868906469593E-12</v>
      </c>
      <c r="AM134" s="62">
        <f t="shared" si="113"/>
        <v>293.33333333333752</v>
      </c>
      <c r="AN134" s="62">
        <f ca="1">AVERAGE(OFFSET($AM$3,0,0,'Données projet'!$E$10+1,1))-AVERAGE(OFFSET($H$3,0,0,'Données projet'!$E$10+1,1))</f>
        <v>201.92726874818067</v>
      </c>
      <c r="AO134" s="62">
        <f t="shared" si="144"/>
        <v>197.16147791248727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90.854054925633775</v>
      </c>
      <c r="AV134" s="23">
        <f>EXP(-LN(2)/25)*AV133+(1-EXP(-LN(2)/25))/(LN(2)/25)*Calculateur!AQ134*Calculateur!AS134*VLOOKUP('Données projet'!$B$10,Paramètres!$A$1:$I$89,3,0)*0.475*44/12</f>
        <v>30.025972726143124</v>
      </c>
      <c r="AW134" s="23">
        <f>EXP(-LN(2)/2)*AW133+(1-EXP(-LN(2)/2))/(LN(2)/2)*AQ134*AT134*VLOOKUP('Données projet'!$B$10,Paramètres!$A$1:$I$89,3,0)*0.475*44/12</f>
        <v>1.8741213847549851E-3</v>
      </c>
      <c r="AX134" s="23">
        <f t="shared" si="114"/>
        <v>120.88190177316166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5.7</v>
      </c>
      <c r="BD134" s="13">
        <f>IF('Données projet'!$A$88&gt;35,BD133+BC134-BL133,IF(A134&lt;'Données projet'!$A$88,$BA$205^A134,IF(A134='Données projet'!$A$88,'Données projet'!$B$88,BD133+BC134-BL133)))</f>
        <v>236.10000000000002</v>
      </c>
      <c r="BE134" s="14">
        <f>BD134*VLOOKUP('Données projet'!$B$11,Paramètres!$A$1:$I$89,3,0)*VLOOKUP('Données projet'!$B$11,Paramètres!$A$1:$I$89,5,0)</f>
        <v>239.40540000000007</v>
      </c>
      <c r="BF134" s="14">
        <f t="shared" si="145"/>
        <v>58.311580932208287</v>
      </c>
      <c r="BG134" s="22">
        <f t="shared" si="115"/>
        <v>518.52374179026287</v>
      </c>
      <c r="BH134" s="62">
        <f t="shared" si="116"/>
        <v>811.85707512359613</v>
      </c>
      <c r="BI134" s="62">
        <f ca="1">AVERAGE(OFFSET($BH$3,0,0,'Données projet'!$E$11+1,1))-AVERAGE(OFFSET($H$3,0,0,'Données projet'!$E$11+1,1))</f>
        <v>234.66244049825644</v>
      </c>
      <c r="BJ134" s="62">
        <f t="shared" si="146"/>
        <v>87.037318032671465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50.763288838052283</v>
      </c>
      <c r="BQ134" s="23">
        <f>EXP(-LN(2)/25)*BQ133+(1-EXP(-LN(2)/25))/(LN(2)/25)*Calculateur!BL134*Calculateur!BN134*VLOOKUP('Données projet'!$B$11,Paramètres!$A$1:$I$89,3,0)*0.475*44/12</f>
        <v>3.0340043277859281</v>
      </c>
      <c r="BR134" s="23">
        <f>EXP(-LN(2)/2)*BR133+(1-EXP(-LN(2)/2))/(LN(2)/2)*BL134*BO134*VLOOKUP('Données projet'!$B$11,Paramètres!$A$1:$I$89,3,0)*0.475*44/12</f>
        <v>0.81769748714529744</v>
      </c>
      <c r="BS134" s="24">
        <f t="shared" si="117"/>
        <v>54.614990652983508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395.00000000000017</v>
      </c>
      <c r="O135" s="14">
        <f>N135*VLOOKUP('Données projet'!$B$9,Paramètres!$A$1:$I$89,3,0)*VLOOKUP('Données projet'!$B$9,Paramètres!$A$1:$I$89,5,0)</f>
        <v>236.21000000000009</v>
      </c>
      <c r="P135" s="14">
        <f t="shared" si="141"/>
        <v>57.62333963053878</v>
      </c>
      <c r="Q135" s="22">
        <f t="shared" si="108"/>
        <v>511.75973318985524</v>
      </c>
      <c r="R135" s="62">
        <f t="shared" si="109"/>
        <v>805.09306652318855</v>
      </c>
      <c r="S135" s="62">
        <f ca="1">AVERAGE(OFFSET($R$3,0,0,'Données projet'!$E$9+1,1))-AVERAGE(OFFSET($H$3,0,0,'Données projet'!$E$9+1,1))</f>
        <v>217.62295992724461</v>
      </c>
      <c r="T135" s="62">
        <f t="shared" si="142"/>
        <v>198.62788037979772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9.2826060224560916</v>
      </c>
      <c r="AA135" s="23">
        <f>EXP(-LN(2)/25)*AA134+(1-EXP(-LN(2)/25))/(LN(2)/25)*Calculateur!V135*Calculateur!X135*VLOOKUP('Données projet'!$B$9,Paramètres!$A$1:$I$89,3,0)*0.475*44/12</f>
        <v>0.89623035291133013</v>
      </c>
      <c r="AB135" s="23">
        <f>EXP(-LN(2)/2)*AB134+(1-EXP(-LN(2)/2))/(LN(2)/2)*V135*Y135*VLOOKUP('Données projet'!$B$9,Paramètres!$A$1:$I$89,3,0)*0.475*44/12</f>
        <v>2.8961929689948029E-11</v>
      </c>
      <c r="AC135" s="24">
        <f t="shared" si="111"/>
        <v>10.178836375396383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1.5961632016114892E-13</v>
      </c>
      <c r="AK135" s="14">
        <f t="shared" si="143"/>
        <v>2.2708641912150958E-12</v>
      </c>
      <c r="AL135" s="22">
        <f t="shared" si="112"/>
        <v>4.2330868906469593E-12</v>
      </c>
      <c r="AM135" s="62">
        <f t="shared" si="113"/>
        <v>293.33333333333752</v>
      </c>
      <c r="AN135" s="62">
        <f ca="1">AVERAGE(OFFSET($AM$3,0,0,'Données projet'!$E$10+1,1))-AVERAGE(OFFSET($H$3,0,0,'Données projet'!$E$10+1,1))</f>
        <v>201.92726874818067</v>
      </c>
      <c r="AO135" s="62">
        <f t="shared" si="144"/>
        <v>197.16147791248727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89.072462324043769</v>
      </c>
      <c r="AV135" s="23">
        <f>EXP(-LN(2)/25)*AV134+(1-EXP(-LN(2)/25))/(LN(2)/25)*Calculateur!AQ135*Calculateur!AS135*VLOOKUP('Données projet'!$B$10,Paramètres!$A$1:$I$89,3,0)*0.475*44/12</f>
        <v>29.204910922949459</v>
      </c>
      <c r="AW135" s="23">
        <f>EXP(-LN(2)/2)*AW134+(1-EXP(-LN(2)/2))/(LN(2)/2)*AQ135*AT135*VLOOKUP('Données projet'!$B$10,Paramètres!$A$1:$I$89,3,0)*0.475*44/12</f>
        <v>1.3252039399269727E-3</v>
      </c>
      <c r="AX135" s="23">
        <f t="shared" si="114"/>
        <v>118.27869845093315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5.7</v>
      </c>
      <c r="BD135" s="13">
        <f>IF('Données projet'!$A$88&gt;35,BD134+BC135-BL134,IF(A135&lt;'Données projet'!$A$88,$BA$205^A135,IF(A135='Données projet'!$A$88,'Données projet'!$B$88,BD134+BC135-BL134)))</f>
        <v>241.8</v>
      </c>
      <c r="BE135" s="14">
        <f>BD135*VLOOKUP('Données projet'!$B$11,Paramètres!$A$1:$I$89,3,0)*VLOOKUP('Données projet'!$B$11,Paramètres!$A$1:$I$89,5,0)</f>
        <v>245.18520000000004</v>
      </c>
      <c r="BF135" s="14">
        <f t="shared" si="145"/>
        <v>59.553759878357127</v>
      </c>
      <c r="BG135" s="22">
        <f t="shared" si="115"/>
        <v>530.75368845480534</v>
      </c>
      <c r="BH135" s="62">
        <f t="shared" si="116"/>
        <v>824.0870217881386</v>
      </c>
      <c r="BI135" s="62">
        <f ca="1">AVERAGE(OFFSET($BH$3,0,0,'Données projet'!$E$11+1,1))-AVERAGE(OFFSET($H$3,0,0,'Données projet'!$E$11+1,1))</f>
        <v>234.66244049825644</v>
      </c>
      <c r="BJ135" s="62">
        <f t="shared" si="146"/>
        <v>87.037318032671465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49.767851706486972</v>
      </c>
      <c r="BQ135" s="23">
        <f>EXP(-LN(2)/25)*BQ134+(1-EXP(-LN(2)/25))/(LN(2)/25)*Calculateur!BL135*Calculateur!BN135*VLOOKUP('Données projet'!$B$11,Paramètres!$A$1:$I$89,3,0)*0.475*44/12</f>
        <v>2.9510393198912688</v>
      </c>
      <c r="BR135" s="23">
        <f>EXP(-LN(2)/2)*BR134+(1-EXP(-LN(2)/2))/(LN(2)/2)*BL135*BO135*VLOOKUP('Données projet'!$B$11,Paramètres!$A$1:$I$89,3,0)*0.475*44/12</f>
        <v>0.57819943811963959</v>
      </c>
      <c r="BS135" s="24">
        <f t="shared" si="117"/>
        <v>53.297090464497884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395.00000000000017</v>
      </c>
      <c r="O136" s="14">
        <f>N136*VLOOKUP('Données projet'!$B$9,Paramètres!$A$1:$I$89,3,0)*VLOOKUP('Données projet'!$B$9,Paramètres!$A$1:$I$89,5,0)</f>
        <v>236.21000000000009</v>
      </c>
      <c r="P136" s="14">
        <f t="shared" si="141"/>
        <v>57.62333963053878</v>
      </c>
      <c r="Q136" s="22">
        <f t="shared" si="108"/>
        <v>511.75973318985524</v>
      </c>
      <c r="R136" s="62">
        <f t="shared" si="109"/>
        <v>805.09306652318855</v>
      </c>
      <c r="S136" s="62">
        <f ca="1">AVERAGE(OFFSET($R$3,0,0,'Données projet'!$E$9+1,1))-AVERAGE(OFFSET($H$3,0,0,'Données projet'!$E$9+1,1))</f>
        <v>217.62295992724461</v>
      </c>
      <c r="T136" s="62">
        <f t="shared" si="142"/>
        <v>198.62788037979772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9.1005797801863419</v>
      </c>
      <c r="AA136" s="23">
        <f>EXP(-LN(2)/25)*AA135+(1-EXP(-LN(2)/25))/(LN(2)/25)*Calculateur!V136*Calculateur!X136*VLOOKUP('Données projet'!$B$9,Paramètres!$A$1:$I$89,3,0)*0.475*44/12</f>
        <v>0.87172288678026388</v>
      </c>
      <c r="AB136" s="23">
        <f>EXP(-LN(2)/2)*AB135+(1-EXP(-LN(2)/2))/(LN(2)/2)*V136*Y136*VLOOKUP('Données projet'!$B$9,Paramètres!$A$1:$I$89,3,0)*0.475*44/12</f>
        <v>2.0479176880010256E-11</v>
      </c>
      <c r="AC136" s="24">
        <f t="shared" si="111"/>
        <v>9.9723026669870851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1.5961632016114892E-13</v>
      </c>
      <c r="AK136" s="14">
        <f t="shared" si="143"/>
        <v>2.2708641912150958E-12</v>
      </c>
      <c r="AL136" s="22">
        <f t="shared" si="112"/>
        <v>4.2330868906469593E-12</v>
      </c>
      <c r="AM136" s="62">
        <f t="shared" si="113"/>
        <v>293.33333333333752</v>
      </c>
      <c r="AN136" s="62">
        <f ca="1">AVERAGE(OFFSET($AM$3,0,0,'Données projet'!$E$10+1,1))-AVERAGE(OFFSET($H$3,0,0,'Données projet'!$E$10+1,1))</f>
        <v>201.92726874818067</v>
      </c>
      <c r="AO136" s="62">
        <f t="shared" si="144"/>
        <v>197.16147791248727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87.325805666706756</v>
      </c>
      <c r="AV136" s="23">
        <f>EXP(-LN(2)/25)*AV135+(1-EXP(-LN(2)/25))/(LN(2)/25)*Calculateur!AQ136*Calculateur!AS136*VLOOKUP('Données projet'!$B$10,Paramètres!$A$1:$I$89,3,0)*0.475*44/12</f>
        <v>28.406301097941888</v>
      </c>
      <c r="AW136" s="23">
        <f>EXP(-LN(2)/2)*AW135+(1-EXP(-LN(2)/2))/(LN(2)/2)*AQ136*AT136*VLOOKUP('Données projet'!$B$10,Paramètres!$A$1:$I$89,3,0)*0.475*44/12</f>
        <v>9.3706069237749256E-4</v>
      </c>
      <c r="AX136" s="23">
        <f t="shared" si="114"/>
        <v>115.73304382534103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5.7</v>
      </c>
      <c r="BD136" s="13">
        <f>IF('Données projet'!$A$88&gt;35,BD135+BC136-BL135,IF(A136&lt;'Données projet'!$A$88,$BA$205^A136,IF(A136='Données projet'!$A$88,'Données projet'!$B$88,BD135+BC136-BL135)))</f>
        <v>247.5</v>
      </c>
      <c r="BE136" s="14">
        <f>BD136*VLOOKUP('Données projet'!$B$11,Paramètres!$A$1:$I$89,3,0)*VLOOKUP('Données projet'!$B$11,Paramètres!$A$1:$I$89,5,0)</f>
        <v>250.965</v>
      </c>
      <c r="BF136" s="14">
        <f t="shared" si="145"/>
        <v>60.792534722872482</v>
      </c>
      <c r="BG136" s="22">
        <f t="shared" si="115"/>
        <v>542.97770630900288</v>
      </c>
      <c r="BH136" s="62">
        <f t="shared" si="116"/>
        <v>836.31103964233625</v>
      </c>
      <c r="BI136" s="62">
        <f ca="1">AVERAGE(OFFSET($BH$3,0,0,'Données projet'!$E$11+1,1))-AVERAGE(OFFSET($H$3,0,0,'Données projet'!$E$11+1,1))</f>
        <v>234.66244049825644</v>
      </c>
      <c r="BJ136" s="62">
        <f t="shared" si="146"/>
        <v>87.037318032671465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48.791934489914958</v>
      </c>
      <c r="BQ136" s="23">
        <f>EXP(-LN(2)/25)*BQ135+(1-EXP(-LN(2)/25))/(LN(2)/25)*Calculateur!BL136*Calculateur!BN136*VLOOKUP('Données projet'!$B$11,Paramètres!$A$1:$I$89,3,0)*0.475*44/12</f>
        <v>2.8703429945004291</v>
      </c>
      <c r="BR136" s="23">
        <f>EXP(-LN(2)/2)*BR135+(1-EXP(-LN(2)/2))/(LN(2)/2)*BL136*BO136*VLOOKUP('Données projet'!$B$11,Paramètres!$A$1:$I$89,3,0)*0.475*44/12</f>
        <v>0.40884874357264872</v>
      </c>
      <c r="BS136" s="24">
        <f t="shared" si="117"/>
        <v>52.071126227988032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395.00000000000017</v>
      </c>
      <c r="O137" s="14">
        <f>N137*VLOOKUP('Données projet'!$B$9,Paramètres!$A$1:$I$89,3,0)*VLOOKUP('Données projet'!$B$9,Paramètres!$A$1:$I$89,5,0)</f>
        <v>236.21000000000009</v>
      </c>
      <c r="P137" s="14">
        <f t="shared" si="141"/>
        <v>57.62333963053878</v>
      </c>
      <c r="Q137" s="22">
        <f t="shared" si="108"/>
        <v>511.75973318985524</v>
      </c>
      <c r="R137" s="62">
        <f t="shared" si="109"/>
        <v>805.09306652318855</v>
      </c>
      <c r="S137" s="62">
        <f ca="1">AVERAGE(OFFSET($R$3,0,0,'Données projet'!$E$9+1,1))-AVERAGE(OFFSET($H$3,0,0,'Données projet'!$E$9+1,1))</f>
        <v>217.62295992724461</v>
      </c>
      <c r="T137" s="62">
        <f t="shared" si="142"/>
        <v>198.62788037979772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8.922122961502458</v>
      </c>
      <c r="AA137" s="23">
        <f>EXP(-LN(2)/25)*AA136+(1-EXP(-LN(2)/25))/(LN(2)/25)*Calculateur!V137*Calculateur!X137*VLOOKUP('Données projet'!$B$9,Paramètres!$A$1:$I$89,3,0)*0.475*44/12</f>
        <v>0.84788557859934333</v>
      </c>
      <c r="AB137" s="23">
        <f>EXP(-LN(2)/2)*AB136+(1-EXP(-LN(2)/2))/(LN(2)/2)*V137*Y137*VLOOKUP('Données projet'!$B$9,Paramètres!$A$1:$I$89,3,0)*0.475*44/12</f>
        <v>1.4480964844974016E-11</v>
      </c>
      <c r="AC137" s="24">
        <f t="shared" si="111"/>
        <v>9.7700085401162831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1.5961632016114892E-13</v>
      </c>
      <c r="AK137" s="14">
        <f t="shared" si="143"/>
        <v>2.2708641912150958E-12</v>
      </c>
      <c r="AL137" s="22">
        <f t="shared" si="112"/>
        <v>4.2330868906469593E-12</v>
      </c>
      <c r="AM137" s="62">
        <f t="shared" si="113"/>
        <v>293.33333333333752</v>
      </c>
      <c r="AN137" s="62">
        <f ca="1">AVERAGE(OFFSET($AM$3,0,0,'Données projet'!$E$10+1,1))-AVERAGE(OFFSET($H$3,0,0,'Données projet'!$E$10+1,1))</f>
        <v>201.92726874818067</v>
      </c>
      <c r="AO137" s="62">
        <f t="shared" si="144"/>
        <v>197.16147791248727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85.613399881064765</v>
      </c>
      <c r="AV137" s="23">
        <f>EXP(-LN(2)/25)*AV136+(1-EXP(-LN(2)/25))/(LN(2)/25)*Calculateur!AQ137*Calculateur!AS137*VLOOKUP('Données projet'!$B$10,Paramètres!$A$1:$I$89,3,0)*0.475*44/12</f>
        <v>27.629529300596218</v>
      </c>
      <c r="AW137" s="23">
        <f>EXP(-LN(2)/2)*AW136+(1-EXP(-LN(2)/2))/(LN(2)/2)*AQ137*AT137*VLOOKUP('Données projet'!$B$10,Paramètres!$A$1:$I$89,3,0)*0.475*44/12</f>
        <v>6.6260196996348634E-4</v>
      </c>
      <c r="AX137" s="23">
        <f t="shared" si="114"/>
        <v>113.24359178363095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5.7</v>
      </c>
      <c r="BD137" s="13">
        <f>IF('Données projet'!$A$88&gt;35,BD136+BC137-BL136,IF(A137&lt;'Données projet'!$A$88,$BA$205^A137,IF(A137='Données projet'!$A$88,'Données projet'!$B$88,BD136+BC137-BL136)))</f>
        <v>253.2</v>
      </c>
      <c r="BE137" s="14">
        <f>BD137*VLOOKUP('Données projet'!$B$11,Paramètres!$A$1:$I$89,3,0)*VLOOKUP('Données projet'!$B$11,Paramètres!$A$1:$I$89,5,0)</f>
        <v>256.7448</v>
      </c>
      <c r="BF137" s="14">
        <f t="shared" si="145"/>
        <v>62.02799288712616</v>
      </c>
      <c r="BG137" s="22">
        <f t="shared" si="115"/>
        <v>555.19594761174471</v>
      </c>
      <c r="BH137" s="62">
        <f t="shared" si="116"/>
        <v>848.52928094507797</v>
      </c>
      <c r="BI137" s="62">
        <f ca="1">AVERAGE(OFFSET($BH$3,0,0,'Données projet'!$E$11+1,1))-AVERAGE(OFFSET($H$3,0,0,'Données projet'!$E$11+1,1))</f>
        <v>234.66244049825644</v>
      </c>
      <c r="BJ137" s="62">
        <f t="shared" si="146"/>
        <v>87.037318032671465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47.835154414709194</v>
      </c>
      <c r="BQ137" s="23">
        <f>EXP(-LN(2)/25)*BQ136+(1-EXP(-LN(2)/25))/(LN(2)/25)*Calculateur!BL137*Calculateur!BN137*VLOOKUP('Données projet'!$B$11,Paramètres!$A$1:$I$89,3,0)*0.475*44/12</f>
        <v>2.7918533143710369</v>
      </c>
      <c r="BR137" s="23">
        <f>EXP(-LN(2)/2)*BR136+(1-EXP(-LN(2)/2))/(LN(2)/2)*BL137*BO137*VLOOKUP('Données projet'!$B$11,Paramètres!$A$1:$I$89,3,0)*0.475*44/12</f>
        <v>0.28909971905981979</v>
      </c>
      <c r="BS137" s="24">
        <f t="shared" si="117"/>
        <v>50.916107448140053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395.00000000000017</v>
      </c>
      <c r="O138" s="14">
        <f>N138*VLOOKUP('Données projet'!$B$9,Paramètres!$A$1:$I$89,3,0)*VLOOKUP('Données projet'!$B$9,Paramètres!$A$1:$I$89,5,0)</f>
        <v>236.21000000000009</v>
      </c>
      <c r="P138" s="14">
        <f t="shared" si="141"/>
        <v>57.62333963053878</v>
      </c>
      <c r="Q138" s="22">
        <f t="shared" si="108"/>
        <v>511.75973318985524</v>
      </c>
      <c r="R138" s="62">
        <f t="shared" si="109"/>
        <v>805.09306652318855</v>
      </c>
      <c r="S138" s="62">
        <f ca="1">AVERAGE(OFFSET($R$3,0,0,'Données projet'!$E$9+1,1))-AVERAGE(OFFSET($H$3,0,0,'Données projet'!$E$9+1,1))</f>
        <v>217.62295992724461</v>
      </c>
      <c r="T138" s="62">
        <f t="shared" si="142"/>
        <v>198.62788037979772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8.7471655721850521</v>
      </c>
      <c r="AA138" s="23">
        <f>EXP(-LN(2)/25)*AA137+(1-EXP(-LN(2)/25))/(LN(2)/25)*Calculateur!V138*Calculateur!X138*VLOOKUP('Données projet'!$B$9,Paramètres!$A$1:$I$89,3,0)*0.475*44/12</f>
        <v>0.82470010286417961</v>
      </c>
      <c r="AB138" s="23">
        <f>EXP(-LN(2)/2)*AB137+(1-EXP(-LN(2)/2))/(LN(2)/2)*V138*Y138*VLOOKUP('Données projet'!$B$9,Paramètres!$A$1:$I$89,3,0)*0.475*44/12</f>
        <v>1.023958844000513E-11</v>
      </c>
      <c r="AC138" s="24">
        <f t="shared" si="111"/>
        <v>9.5718656750594704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1.5961632016114892E-13</v>
      </c>
      <c r="AK138" s="14">
        <f t="shared" si="143"/>
        <v>2.2708641912150958E-12</v>
      </c>
      <c r="AL138" s="22">
        <f t="shared" si="112"/>
        <v>4.2330868906469593E-12</v>
      </c>
      <c r="AM138" s="62">
        <f t="shared" si="113"/>
        <v>293.33333333333752</v>
      </c>
      <c r="AN138" s="62">
        <f ca="1">AVERAGE(OFFSET($AM$3,0,0,'Données projet'!$E$10+1,1))-AVERAGE(OFFSET($H$3,0,0,'Données projet'!$E$10+1,1))</f>
        <v>201.92726874818067</v>
      </c>
      <c r="AO138" s="62">
        <f t="shared" si="144"/>
        <v>197.16147791248727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83.934573328414814</v>
      </c>
      <c r="AV138" s="23">
        <f>EXP(-LN(2)/25)*AV137+(1-EXP(-LN(2)/25))/(LN(2)/25)*Calculateur!AQ138*Calculateur!AS138*VLOOKUP('Données projet'!$B$10,Paramètres!$A$1:$I$89,3,0)*0.475*44/12</f>
        <v>26.873998368897617</v>
      </c>
      <c r="AW138" s="23">
        <f>EXP(-LN(2)/2)*AW137+(1-EXP(-LN(2)/2))/(LN(2)/2)*AQ138*AT138*VLOOKUP('Données projet'!$B$10,Paramètres!$A$1:$I$89,3,0)*0.475*44/12</f>
        <v>4.6853034618874628E-4</v>
      </c>
      <c r="AX138" s="23">
        <f t="shared" si="114"/>
        <v>110.80904022765861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5.7</v>
      </c>
      <c r="BD138" s="13">
        <f>IF('Données projet'!$A$88&gt;35,BD137+BC138-BL137,IF(A138&lt;'Données projet'!$A$88,$BA$205^A138,IF(A138='Données projet'!$A$88,'Données projet'!$B$88,BD137+BC138-BL137)))</f>
        <v>258.89999999999998</v>
      </c>
      <c r="BE138" s="14">
        <f>BD138*VLOOKUP('Données projet'!$B$11,Paramètres!$A$1:$I$89,3,0)*VLOOKUP('Données projet'!$B$11,Paramètres!$A$1:$I$89,5,0)</f>
        <v>262.52460000000002</v>
      </c>
      <c r="BF138" s="14">
        <f t="shared" si="145"/>
        <v>63.260217631774687</v>
      </c>
      <c r="BG138" s="22">
        <f t="shared" si="115"/>
        <v>567.40855737534105</v>
      </c>
      <c r="BH138" s="62">
        <f t="shared" si="116"/>
        <v>860.74189070867442</v>
      </c>
      <c r="BI138" s="62">
        <f ca="1">AVERAGE(OFFSET($BH$3,0,0,'Données projet'!$E$11+1,1))-AVERAGE(OFFSET($H$3,0,0,'Données projet'!$E$11+1,1))</f>
        <v>234.66244049825644</v>
      </c>
      <c r="BJ138" s="62">
        <f t="shared" si="146"/>
        <v>87.037318032671465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46.897136213199992</v>
      </c>
      <c r="BQ138" s="23">
        <f>EXP(-LN(2)/25)*BQ137+(1-EXP(-LN(2)/25))/(LN(2)/25)*Calculateur!BL138*Calculateur!BN138*VLOOKUP('Données projet'!$B$11,Paramètres!$A$1:$I$89,3,0)*0.475*44/12</f>
        <v>2.7155099386723758</v>
      </c>
      <c r="BR138" s="23">
        <f>EXP(-LN(2)/2)*BR137+(1-EXP(-LN(2)/2))/(LN(2)/2)*BL138*BO138*VLOOKUP('Données projet'!$B$11,Paramètres!$A$1:$I$89,3,0)*0.475*44/12</f>
        <v>0.20442437178632436</v>
      </c>
      <c r="BS138" s="24">
        <f t="shared" si="117"/>
        <v>49.817070523658693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395.00000000000017</v>
      </c>
      <c r="O139" s="14">
        <f>N139*VLOOKUP('Données projet'!$B$9,Paramètres!$A$1:$I$89,3,0)*VLOOKUP('Données projet'!$B$9,Paramètres!$A$1:$I$89,5,0)</f>
        <v>236.21000000000009</v>
      </c>
      <c r="P139" s="14">
        <f t="shared" si="141"/>
        <v>57.62333963053878</v>
      </c>
      <c r="Q139" s="22">
        <f t="shared" si="108"/>
        <v>511.75973318985524</v>
      </c>
      <c r="R139" s="62">
        <f t="shared" si="109"/>
        <v>805.09306652318855</v>
      </c>
      <c r="S139" s="62">
        <f ca="1">AVERAGE(OFFSET($R$3,0,0,'Données projet'!$E$9+1,1))-AVERAGE(OFFSET($H$3,0,0,'Données projet'!$E$9+1,1))</f>
        <v>217.62295992724461</v>
      </c>
      <c r="T139" s="62">
        <f t="shared" si="142"/>
        <v>198.62788037979772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8.5756389905586907</v>
      </c>
      <c r="AA139" s="23">
        <f>EXP(-LN(2)/25)*AA138+(1-EXP(-LN(2)/25))/(LN(2)/25)*Calculateur!V139*Calculateur!X139*VLOOKUP('Données projet'!$B$9,Paramètres!$A$1:$I$89,3,0)*0.475*44/12</f>
        <v>0.80214863518226509</v>
      </c>
      <c r="AB139" s="23">
        <f>EXP(-LN(2)/2)*AB138+(1-EXP(-LN(2)/2))/(LN(2)/2)*V139*Y139*VLOOKUP('Données projet'!$B$9,Paramètres!$A$1:$I$89,3,0)*0.475*44/12</f>
        <v>7.2404824224870096E-12</v>
      </c>
      <c r="AC139" s="24">
        <f t="shared" si="111"/>
        <v>9.377787625748196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1.5961632016114892E-13</v>
      </c>
      <c r="AK139" s="14">
        <f t="shared" si="143"/>
        <v>2.2708641912150958E-12</v>
      </c>
      <c r="AL139" s="22">
        <f t="shared" si="112"/>
        <v>4.2330868906469593E-12</v>
      </c>
      <c r="AM139" s="62">
        <f t="shared" si="113"/>
        <v>293.33333333333752</v>
      </c>
      <c r="AN139" s="62">
        <f ca="1">AVERAGE(OFFSET($AM$3,0,0,'Données projet'!$E$10+1,1))-AVERAGE(OFFSET($H$3,0,0,'Données projet'!$E$10+1,1))</f>
        <v>201.92726874818067</v>
      </c>
      <c r="AO139" s="62">
        <f t="shared" si="144"/>
        <v>197.16147791248727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82.288667540479238</v>
      </c>
      <c r="AV139" s="23">
        <f>EXP(-LN(2)/25)*AV138+(1-EXP(-LN(2)/25))/(LN(2)/25)*Calculateur!AQ139*Calculateur!AS139*VLOOKUP('Données projet'!$B$10,Paramètres!$A$1:$I$89,3,0)*0.475*44/12</f>
        <v>26.139127470257957</v>
      </c>
      <c r="AW139" s="23">
        <f>EXP(-LN(2)/2)*AW138+(1-EXP(-LN(2)/2))/(LN(2)/2)*AQ139*AT139*VLOOKUP('Données projet'!$B$10,Paramètres!$A$1:$I$89,3,0)*0.475*44/12</f>
        <v>3.3130098498174317E-4</v>
      </c>
      <c r="AX139" s="23">
        <f t="shared" si="114"/>
        <v>108.42812631172218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5.7</v>
      </c>
      <c r="BD139" s="13">
        <f>IF('Données projet'!$A$88&gt;35,BD138+BC139-BL138,IF(A139&lt;'Données projet'!$A$88,$BA$205^A139,IF(A139='Données projet'!$A$88,'Données projet'!$B$88,BD138+BC139-BL138)))</f>
        <v>264.59999999999997</v>
      </c>
      <c r="BE139" s="14">
        <f>BD139*VLOOKUP('Données projet'!$B$11,Paramètres!$A$1:$I$89,3,0)*VLOOKUP('Données projet'!$B$11,Paramètres!$A$1:$I$89,5,0)</f>
        <v>268.30439999999999</v>
      </c>
      <c r="BF139" s="14">
        <f t="shared" si="145"/>
        <v>64.489288341959366</v>
      </c>
      <c r="BG139" s="22">
        <f t="shared" si="115"/>
        <v>579.61567386224579</v>
      </c>
      <c r="BH139" s="62">
        <f t="shared" si="116"/>
        <v>872.94900719557904</v>
      </c>
      <c r="BI139" s="62">
        <f ca="1">AVERAGE(OFFSET($BH$3,0,0,'Données projet'!$E$11+1,1))-AVERAGE(OFFSET($H$3,0,0,'Données projet'!$E$11+1,1))</f>
        <v>234.66244049825644</v>
      </c>
      <c r="BJ139" s="62">
        <f t="shared" si="146"/>
        <v>87.037318032671465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45.977511976487776</v>
      </c>
      <c r="BQ139" s="23">
        <f>EXP(-LN(2)/25)*BQ138+(1-EXP(-LN(2)/25))/(LN(2)/25)*Calculateur!BL139*Calculateur!BN139*VLOOKUP('Données projet'!$B$11,Paramètres!$A$1:$I$89,3,0)*0.475*44/12</f>
        <v>2.6412541765969184</v>
      </c>
      <c r="BR139" s="23">
        <f>EXP(-LN(2)/2)*BR138+(1-EXP(-LN(2)/2))/(LN(2)/2)*BL139*BO139*VLOOKUP('Données projet'!$B$11,Paramètres!$A$1:$I$89,3,0)*0.475*44/12</f>
        <v>0.1445498595299099</v>
      </c>
      <c r="BS139" s="24">
        <f t="shared" si="117"/>
        <v>48.763316012614602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395.00000000000017</v>
      </c>
      <c r="O140" s="14">
        <f>N140*VLOOKUP('Données projet'!$B$9,Paramètres!$A$1:$I$89,3,0)*VLOOKUP('Données projet'!$B$9,Paramètres!$A$1:$I$89,5,0)</f>
        <v>236.21000000000009</v>
      </c>
      <c r="P140" s="14">
        <f t="shared" si="141"/>
        <v>57.62333963053878</v>
      </c>
      <c r="Q140" s="22">
        <f t="shared" si="108"/>
        <v>511.75973318985524</v>
      </c>
      <c r="R140" s="62">
        <f t="shared" si="109"/>
        <v>805.09306652318855</v>
      </c>
      <c r="S140" s="62">
        <f ca="1">AVERAGE(OFFSET($R$3,0,0,'Données projet'!$E$9+1,1))-AVERAGE(OFFSET($H$3,0,0,'Données projet'!$E$9+1,1))</f>
        <v>217.62295992724461</v>
      </c>
      <c r="T140" s="62">
        <f t="shared" si="142"/>
        <v>198.62788037979772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8.4074759405771378</v>
      </c>
      <c r="AA140" s="23">
        <f>EXP(-LN(2)/25)*AA139+(1-EXP(-LN(2)/25))/(LN(2)/25)*Calculateur!V140*Calculateur!X140*VLOOKUP('Données projet'!$B$9,Paramètres!$A$1:$I$89,3,0)*0.475*44/12</f>
        <v>0.78021383857004267</v>
      </c>
      <c r="AB140" s="23">
        <f>EXP(-LN(2)/2)*AB139+(1-EXP(-LN(2)/2))/(LN(2)/2)*V140*Y140*VLOOKUP('Données projet'!$B$9,Paramètres!$A$1:$I$89,3,0)*0.475*44/12</f>
        <v>5.1197942200025657E-12</v>
      </c>
      <c r="AC140" s="24">
        <f t="shared" si="111"/>
        <v>9.1876897791523007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1.5961632016114892E-13</v>
      </c>
      <c r="AK140" s="14">
        <f t="shared" si="143"/>
        <v>2.2708641912150958E-12</v>
      </c>
      <c r="AL140" s="22">
        <f t="shared" si="112"/>
        <v>4.2330868906469593E-12</v>
      </c>
      <c r="AM140" s="62">
        <f t="shared" si="113"/>
        <v>293.33333333333752</v>
      </c>
      <c r="AN140" s="62">
        <f ca="1">AVERAGE(OFFSET($AM$3,0,0,'Données projet'!$E$10+1,1))-AVERAGE(OFFSET($H$3,0,0,'Données projet'!$E$10+1,1))</f>
        <v>201.92726874818067</v>
      </c>
      <c r="AO140" s="62">
        <f t="shared" si="144"/>
        <v>197.16147791248727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80.675036961141672</v>
      </c>
      <c r="AV140" s="23">
        <f>EXP(-LN(2)/25)*AV139+(1-EXP(-LN(2)/25))/(LN(2)/25)*Calculateur!AQ140*Calculateur!AS140*VLOOKUP('Données projet'!$B$10,Paramètres!$A$1:$I$89,3,0)*0.475*44/12</f>
        <v>25.424351654986783</v>
      </c>
      <c r="AW140" s="23">
        <f>EXP(-LN(2)/2)*AW139+(1-EXP(-LN(2)/2))/(LN(2)/2)*AQ140*AT140*VLOOKUP('Données projet'!$B$10,Paramètres!$A$1:$I$89,3,0)*0.475*44/12</f>
        <v>2.3426517309437314E-4</v>
      </c>
      <c r="AX140" s="23">
        <f t="shared" si="114"/>
        <v>106.09962288130154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5.7</v>
      </c>
      <c r="BD140" s="13">
        <f>IF('Données projet'!$A$88&gt;35,BD139+BC140-BL139,IF(A140&lt;'Données projet'!$A$88,$BA$205^A140,IF(A140='Données projet'!$A$88,'Données projet'!$B$88,BD139+BC140-BL139)))</f>
        <v>270.29999999999995</v>
      </c>
      <c r="BE140" s="14">
        <f>BD140*VLOOKUP('Données projet'!$B$11,Paramètres!$A$1:$I$89,3,0)*VLOOKUP('Données projet'!$B$11,Paramètres!$A$1:$I$89,5,0)</f>
        <v>274.08419999999995</v>
      </c>
      <c r="BF140" s="14">
        <f t="shared" si="145"/>
        <v>65.715280787236537</v>
      </c>
      <c r="BG140" s="22">
        <f t="shared" si="115"/>
        <v>591.81742903777024</v>
      </c>
      <c r="BH140" s="62">
        <f t="shared" si="116"/>
        <v>885.15076237110361</v>
      </c>
      <c r="BI140" s="62">
        <f ca="1">AVERAGE(OFFSET($BH$3,0,0,'Données projet'!$E$11+1,1))-AVERAGE(OFFSET($H$3,0,0,'Données projet'!$E$11+1,1))</f>
        <v>234.66244049825644</v>
      </c>
      <c r="BJ140" s="62">
        <f t="shared" si="146"/>
        <v>87.037318032671465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45.075921010142089</v>
      </c>
      <c r="BQ140" s="23">
        <f>EXP(-LN(2)/25)*BQ139+(1-EXP(-LN(2)/25))/(LN(2)/25)*Calculateur!BL140*Calculateur!BN140*VLOOKUP('Données projet'!$B$11,Paramètres!$A$1:$I$89,3,0)*0.475*44/12</f>
        <v>2.5690289422403554</v>
      </c>
      <c r="BR140" s="23">
        <f>EXP(-LN(2)/2)*BR139+(1-EXP(-LN(2)/2))/(LN(2)/2)*BL140*BO140*VLOOKUP('Données projet'!$B$11,Paramètres!$A$1:$I$89,3,0)*0.475*44/12</f>
        <v>0.10221218589316218</v>
      </c>
      <c r="BS140" s="24">
        <f t="shared" si="117"/>
        <v>47.747162138275613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395.00000000000017</v>
      </c>
      <c r="O141" s="14">
        <f>N141*VLOOKUP('Données projet'!$B$9,Paramètres!$A$1:$I$89,3,0)*VLOOKUP('Données projet'!$B$9,Paramètres!$A$1:$I$89,5,0)</f>
        <v>236.21000000000009</v>
      </c>
      <c r="P141" s="14">
        <f t="shared" si="141"/>
        <v>57.62333963053878</v>
      </c>
      <c r="Q141" s="22">
        <f t="shared" si="108"/>
        <v>511.75973318985524</v>
      </c>
      <c r="R141" s="62">
        <f t="shared" si="109"/>
        <v>805.09306652318855</v>
      </c>
      <c r="S141" s="62">
        <f ca="1">AVERAGE(OFFSET($R$3,0,0,'Données projet'!$E$9+1,1))-AVERAGE(OFFSET($H$3,0,0,'Données projet'!$E$9+1,1))</f>
        <v>217.62295992724461</v>
      </c>
      <c r="T141" s="62">
        <f t="shared" si="142"/>
        <v>198.62788037979772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8.2426104654363908</v>
      </c>
      <c r="AA141" s="23">
        <f>EXP(-LN(2)/25)*AA140+(1-EXP(-LN(2)/25))/(LN(2)/25)*Calculateur!V141*Calculateur!X141*VLOOKUP('Données projet'!$B$9,Paramètres!$A$1:$I$89,3,0)*0.475*44/12</f>
        <v>0.75887885012468226</v>
      </c>
      <c r="AB141" s="23">
        <f>EXP(-LN(2)/2)*AB140+(1-EXP(-LN(2)/2))/(LN(2)/2)*V141*Y141*VLOOKUP('Données projet'!$B$9,Paramètres!$A$1:$I$89,3,0)*0.475*44/12</f>
        <v>3.6202412112435052E-12</v>
      </c>
      <c r="AC141" s="24">
        <f t="shared" si="111"/>
        <v>9.0014893155646938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1.5961632016114892E-13</v>
      </c>
      <c r="AK141" s="14">
        <f t="shared" si="143"/>
        <v>2.2708641912150958E-12</v>
      </c>
      <c r="AL141" s="22">
        <f t="shared" si="112"/>
        <v>4.2330868906469593E-12</v>
      </c>
      <c r="AM141" s="62">
        <f t="shared" si="113"/>
        <v>293.33333333333752</v>
      </c>
      <c r="AN141" s="62">
        <f ca="1">AVERAGE(OFFSET($AM$3,0,0,'Données projet'!$E$10+1,1))-AVERAGE(OFFSET($H$3,0,0,'Données projet'!$E$10+1,1))</f>
        <v>201.92726874818067</v>
      </c>
      <c r="AO141" s="62">
        <f t="shared" si="144"/>
        <v>197.16147791248727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79.093048693247454</v>
      </c>
      <c r="AV141" s="23">
        <f>EXP(-LN(2)/25)*AV140+(1-EXP(-LN(2)/25))/(LN(2)/25)*Calculateur!AQ141*Calculateur!AS141*VLOOKUP('Données projet'!$B$10,Paramètres!$A$1:$I$89,3,0)*0.475*44/12</f>
        <v>24.729121421972625</v>
      </c>
      <c r="AW141" s="23">
        <f>EXP(-LN(2)/2)*AW140+(1-EXP(-LN(2)/2))/(LN(2)/2)*AQ141*AT141*VLOOKUP('Données projet'!$B$10,Paramètres!$A$1:$I$89,3,0)*0.475*44/12</f>
        <v>1.6565049249087159E-4</v>
      </c>
      <c r="AX141" s="23">
        <f t="shared" si="114"/>
        <v>103.82233576571257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>
        <f>VLOOKUP(A141,'Données projet'!$A$87:$I$107,2,0)</f>
        <v>276</v>
      </c>
      <c r="BB141" s="13">
        <f>VLOOKUP(A141,'Données projet'!$A$87:$I$107,9,0)</f>
        <v>5.7</v>
      </c>
      <c r="BC141" s="13">
        <f t="array" ref="BC141">INDEX(BB:BB,MIN(IF(ISNUMBER(BB141:BB337),ROW(BB141:BB337),"")))</f>
        <v>5.7</v>
      </c>
      <c r="BD141" s="13">
        <f>IF('Données projet'!$A$88&gt;35,BD140+BC141-BL140,IF(A141&lt;'Données projet'!$A$88,$BA$205^A141,IF(A141='Données projet'!$A$88,'Données projet'!$B$88,BD140+BC141-BL140)))</f>
        <v>275.99999999999994</v>
      </c>
      <c r="BE141" s="14">
        <f>BD141*VLOOKUP('Données projet'!$B$11,Paramètres!$A$1:$I$89,3,0)*VLOOKUP('Données projet'!$B$11,Paramètres!$A$1:$I$89,5,0)</f>
        <v>279.86399999999998</v>
      </c>
      <c r="BF141" s="14">
        <f t="shared" si="145"/>
        <v>66.938267358965064</v>
      </c>
      <c r="BG141" s="22">
        <f t="shared" si="115"/>
        <v>604.01394898353067</v>
      </c>
      <c r="BH141" s="62">
        <f t="shared" si="116"/>
        <v>897.34728231686404</v>
      </c>
      <c r="BI141" s="62">
        <f ca="1">AVERAGE(OFFSET($BH$3,0,0,'Données projet'!$E$11+1,1))-AVERAGE(OFFSET($H$3,0,0,'Données projet'!$E$11+1,1))</f>
        <v>234.66244049825644</v>
      </c>
      <c r="BJ141" s="62">
        <f t="shared" si="146"/>
        <v>87.037318032671465</v>
      </c>
      <c r="BK141" s="16">
        <f>IF(ISNA(VLOOKUP(A141,'Données projet'!$A$87:$I$107,3,0)),0,VLOOKUP(A141,'Données projet'!$A$87:$I$107,3,0))</f>
        <v>10</v>
      </c>
      <c r="BL141" s="16">
        <f>IF(ISNA(VLOOKUP(A141,'Données projet'!$A$87:$I$107,4,0)),0,VLOOKUP(A141,'Données projet'!$A$87:$I$107,4,0))</f>
        <v>39</v>
      </c>
      <c r="BM141" s="17">
        <f>IF(ISNA(VLOOKUP(A141,'Données projet'!$A$87:$I$107,5,0)),0%,VLOOKUP(A141,'Données projet'!$A$87:$I$107,5,0)*VLOOKUP('Données projet'!$B$11,Paramètres!$A$1:$I$89,7,0))</f>
        <v>0.34400000000000003</v>
      </c>
      <c r="BN141" s="17">
        <f>IF(ISNA(VLOOKUP(A141,'Données projet'!$A$87:$I$107,6,0)),0%,VLOOKUP(A141,'Données projet'!$A$87:$I$107,6,0)*VLOOKUP('Données projet'!$B$11,Paramètres!$A$1:$I$89,7,0))</f>
        <v>1.72E-2</v>
      </c>
      <c r="BO141" s="17">
        <f>IF(ISNA(VLOOKUP(A141,'Données projet'!$A$87:$I$107,7,0)),0%,VLOOKUP(A141,'Données projet'!$A$87:$I$107,7,0))</f>
        <v>0.06</v>
      </c>
      <c r="BP141" s="23">
        <f>EXP(-LN(2)/35)*BP140+(1-EXP(-LN(2)/35))/(LN(2)/35)*BL141*BM141*VLOOKUP('Données projet'!$B$11,Paramètres!$A$1:$I$89,3,0)*0.475*44/12</f>
        <v>59.230634173109713</v>
      </c>
      <c r="BQ141" s="23">
        <f>EXP(-LN(2)/25)*BQ140+(1-EXP(-LN(2)/25))/(LN(2)/25)*Calculateur!BL141*Calculateur!BN141*VLOOKUP('Données projet'!$B$11,Paramètres!$A$1:$I$89,3,0)*0.475*44/12</f>
        <v>3.2477492949971842</v>
      </c>
      <c r="BR141" s="23">
        <f>EXP(-LN(2)/2)*BR140+(1-EXP(-LN(2)/2))/(LN(2)/2)*BL141*BO141*VLOOKUP('Données projet'!$B$11,Paramètres!$A$1:$I$89,3,0)*0.475*44/12</f>
        <v>2.311037851664036</v>
      </c>
      <c r="BS141" s="24">
        <f t="shared" si="117"/>
        <v>64.789421319770938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395.00000000000017</v>
      </c>
      <c r="O142" s="14">
        <f>N142*VLOOKUP('Données projet'!$B$9,Paramètres!$A$1:$I$89,3,0)*VLOOKUP('Données projet'!$B$9,Paramètres!$A$1:$I$89,5,0)</f>
        <v>236.21000000000009</v>
      </c>
      <c r="P142" s="14">
        <f t="shared" si="141"/>
        <v>57.62333963053878</v>
      </c>
      <c r="Q142" s="22">
        <f t="shared" si="108"/>
        <v>511.75973318985524</v>
      </c>
      <c r="R142" s="62">
        <f t="shared" si="109"/>
        <v>805.09306652318855</v>
      </c>
      <c r="S142" s="62">
        <f ca="1">AVERAGE(OFFSET($R$3,0,0,'Données projet'!$E$9+1,1))-AVERAGE(OFFSET($H$3,0,0,'Données projet'!$E$9+1,1))</f>
        <v>217.62295992724461</v>
      </c>
      <c r="T142" s="62">
        <f t="shared" si="142"/>
        <v>198.62788037979772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8.0809779017051433</v>
      </c>
      <c r="AA142" s="23">
        <f>EXP(-LN(2)/25)*AA141+(1-EXP(-LN(2)/25))/(LN(2)/25)*Calculateur!V142*Calculateur!X142*VLOOKUP('Données projet'!$B$9,Paramètres!$A$1:$I$89,3,0)*0.475*44/12</f>
        <v>0.73812726806031859</v>
      </c>
      <c r="AB142" s="23">
        <f>EXP(-LN(2)/2)*AB141+(1-EXP(-LN(2)/2))/(LN(2)/2)*V142*Y142*VLOOKUP('Données projet'!$B$9,Paramètres!$A$1:$I$89,3,0)*0.475*44/12</f>
        <v>2.5598971100012832E-12</v>
      </c>
      <c r="AC142" s="24">
        <f t="shared" si="111"/>
        <v>8.8191051697680223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1.5961632016114892E-13</v>
      </c>
      <c r="AK142" s="14">
        <f t="shared" si="143"/>
        <v>2.2708641912150958E-12</v>
      </c>
      <c r="AL142" s="22">
        <f t="shared" si="112"/>
        <v>4.2330868906469593E-12</v>
      </c>
      <c r="AM142" s="62">
        <f t="shared" si="113"/>
        <v>293.33333333333752</v>
      </c>
      <c r="AN142" s="62">
        <f ca="1">AVERAGE(OFFSET($AM$3,0,0,'Données projet'!$E$10+1,1))-AVERAGE(OFFSET($H$3,0,0,'Données projet'!$E$10+1,1))</f>
        <v>201.92726874818067</v>
      </c>
      <c r="AO142" s="62">
        <f t="shared" si="144"/>
        <v>197.16147791248727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77.542082250369077</v>
      </c>
      <c r="AV142" s="23">
        <f>EXP(-LN(2)/25)*AV141+(1-EXP(-LN(2)/25))/(LN(2)/25)*Calculateur!AQ142*Calculateur!AS142*VLOOKUP('Données projet'!$B$10,Paramètres!$A$1:$I$89,3,0)*0.475*44/12</f>
        <v>24.052902296240806</v>
      </c>
      <c r="AW142" s="23">
        <f>EXP(-LN(2)/2)*AW141+(1-EXP(-LN(2)/2))/(LN(2)/2)*AQ142*AT142*VLOOKUP('Données projet'!$B$10,Paramètres!$A$1:$I$89,3,0)*0.475*44/12</f>
        <v>1.1713258654718657E-4</v>
      </c>
      <c r="AX142" s="23">
        <f t="shared" si="114"/>
        <v>101.59510167919643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5.6</v>
      </c>
      <c r="BD142" s="13">
        <f>IF('Données projet'!$A$88&gt;35,BD141+BC142-BL141,IF(A142&lt;'Données projet'!$A$88,$BA$205^A142,IF(A142='Données projet'!$A$88,'Données projet'!$B$88,BD141+BC142-BL141)))</f>
        <v>242.59999999999997</v>
      </c>
      <c r="BE142" s="14">
        <f>BD142*VLOOKUP('Données projet'!$B$11,Paramètres!$A$1:$I$89,3,0)*VLOOKUP('Données projet'!$B$11,Paramètres!$A$1:$I$89,5,0)</f>
        <v>245.99639999999997</v>
      </c>
      <c r="BF142" s="14">
        <f t="shared" si="145"/>
        <v>59.72782632026442</v>
      </c>
      <c r="BG142" s="22">
        <f t="shared" si="115"/>
        <v>532.46969417446041</v>
      </c>
      <c r="BH142" s="62">
        <f t="shared" si="116"/>
        <v>825.80302750779379</v>
      </c>
      <c r="BI142" s="62">
        <f ca="1">AVERAGE(OFFSET($BH$3,0,0,'Données projet'!$E$11+1,1))-AVERAGE(OFFSET($H$3,0,0,'Données projet'!$E$11+1,1))</f>
        <v>234.66244049825644</v>
      </c>
      <c r="BJ142" s="62">
        <f t="shared" si="146"/>
        <v>87.037318032671465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58.069157564094624</v>
      </c>
      <c r="BQ142" s="23">
        <f>EXP(-LN(2)/25)*BQ141+(1-EXP(-LN(2)/25))/(LN(2)/25)*Calculateur!BL142*Calculateur!BN142*VLOOKUP('Données projet'!$B$11,Paramètres!$A$1:$I$89,3,0)*0.475*44/12</f>
        <v>3.1589394197337737</v>
      </c>
      <c r="BR142" s="23">
        <f>EXP(-LN(2)/2)*BR141+(1-EXP(-LN(2)/2))/(LN(2)/2)*BL142*BO142*VLOOKUP('Données projet'!$B$11,Paramètres!$A$1:$I$89,3,0)*0.475*44/12</f>
        <v>1.6341505364904305</v>
      </c>
      <c r="BS142" s="24">
        <f t="shared" si="117"/>
        <v>62.862247520318832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395.00000000000017</v>
      </c>
      <c r="O143" s="14">
        <f>N143*VLOOKUP('Données projet'!$B$9,Paramètres!$A$1:$I$89,3,0)*VLOOKUP('Données projet'!$B$9,Paramètres!$A$1:$I$89,5,0)</f>
        <v>236.21000000000009</v>
      </c>
      <c r="P143" s="14">
        <f t="shared" si="141"/>
        <v>57.62333963053878</v>
      </c>
      <c r="Q143" s="22">
        <f t="shared" si="108"/>
        <v>511.75973318985524</v>
      </c>
      <c r="R143" s="62">
        <f t="shared" si="109"/>
        <v>805.09306652318855</v>
      </c>
      <c r="S143" s="62">
        <f ca="1">AVERAGE(OFFSET($R$3,0,0,'Données projet'!$E$9+1,1))-AVERAGE(OFFSET($H$3,0,0,'Données projet'!$E$9+1,1))</f>
        <v>217.62295992724461</v>
      </c>
      <c r="T143" s="62">
        <f t="shared" si="142"/>
        <v>198.62788037979772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7.9225148539625359</v>
      </c>
      <c r="AA143" s="23">
        <f>EXP(-LN(2)/25)*AA142+(1-EXP(-LN(2)/25))/(LN(2)/25)*Calculateur!V143*Calculateur!X143*VLOOKUP('Données projet'!$B$9,Paramètres!$A$1:$I$89,3,0)*0.475*44/12</f>
        <v>0.71794313909878316</v>
      </c>
      <c r="AB143" s="23">
        <f>EXP(-LN(2)/2)*AB142+(1-EXP(-LN(2)/2))/(LN(2)/2)*V143*Y143*VLOOKUP('Données projet'!$B$9,Paramètres!$A$1:$I$89,3,0)*0.475*44/12</f>
        <v>1.8101206056217528E-12</v>
      </c>
      <c r="AC143" s="24">
        <f t="shared" si="111"/>
        <v>8.6404579930631282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1.5961632016114892E-13</v>
      </c>
      <c r="AK143" s="14">
        <f t="shared" si="143"/>
        <v>2.2708641912150958E-12</v>
      </c>
      <c r="AL143" s="22">
        <f t="shared" si="112"/>
        <v>4.2330868906469593E-12</v>
      </c>
      <c r="AM143" s="62">
        <f t="shared" si="113"/>
        <v>293.33333333333752</v>
      </c>
      <c r="AN143" s="62">
        <f ca="1">AVERAGE(OFFSET($AM$3,0,0,'Données projet'!$E$10+1,1))-AVERAGE(OFFSET($H$3,0,0,'Données projet'!$E$10+1,1))</f>
        <v>201.92726874818067</v>
      </c>
      <c r="AO143" s="62">
        <f t="shared" si="144"/>
        <v>197.16147791248727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76.021529313439416</v>
      </c>
      <c r="AV143" s="23">
        <f>EXP(-LN(2)/25)*AV142+(1-EXP(-LN(2)/25))/(LN(2)/25)*Calculateur!AQ143*Calculateur!AS143*VLOOKUP('Données projet'!$B$10,Paramètres!$A$1:$I$89,3,0)*0.475*44/12</f>
        <v>23.395174418062943</v>
      </c>
      <c r="AW143" s="23">
        <f>EXP(-LN(2)/2)*AW142+(1-EXP(-LN(2)/2))/(LN(2)/2)*AQ143*AT143*VLOOKUP('Données projet'!$B$10,Paramètres!$A$1:$I$89,3,0)*0.475*44/12</f>
        <v>8.2825246245435793E-5</v>
      </c>
      <c r="AX143" s="23">
        <f t="shared" si="114"/>
        <v>99.416786556748605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5.6</v>
      </c>
      <c r="BD143" s="13">
        <f>IF('Données projet'!$A$88&gt;35,BD142+BC143-BL142,IF(A143&lt;'Données projet'!$A$88,$BA$205^A143,IF(A143='Données projet'!$A$88,'Données projet'!$B$88,BD142+BC143-BL142)))</f>
        <v>248.19999999999996</v>
      </c>
      <c r="BE143" s="14">
        <f>BD143*VLOOKUP('Données projet'!$B$11,Paramètres!$A$1:$I$89,3,0)*VLOOKUP('Données projet'!$B$11,Paramètres!$A$1:$I$89,5,0)</f>
        <v>251.67479999999998</v>
      </c>
      <c r="BF143" s="14">
        <f t="shared" si="145"/>
        <v>60.944434584138449</v>
      </c>
      <c r="BG143" s="22">
        <f t="shared" si="115"/>
        <v>544.47850023404101</v>
      </c>
      <c r="BH143" s="62">
        <f t="shared" si="116"/>
        <v>837.81183356737438</v>
      </c>
      <c r="BI143" s="62">
        <f ca="1">AVERAGE(OFFSET($BH$3,0,0,'Données projet'!$E$11+1,1))-AVERAGE(OFFSET($H$3,0,0,'Données projet'!$E$11+1,1))</f>
        <v>234.66244049825644</v>
      </c>
      <c r="BJ143" s="62">
        <f t="shared" si="146"/>
        <v>87.037318032671465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56.930456802951539</v>
      </c>
      <c r="BQ143" s="23">
        <f>EXP(-LN(2)/25)*BQ142+(1-EXP(-LN(2)/25))/(LN(2)/25)*Calculateur!BL143*Calculateur!BN143*VLOOKUP('Données projet'!$B$11,Paramètres!$A$1:$I$89,3,0)*0.475*44/12</f>
        <v>3.0725580551797496</v>
      </c>
      <c r="BR143" s="23">
        <f>EXP(-LN(2)/2)*BR142+(1-EXP(-LN(2)/2))/(LN(2)/2)*BL143*BO143*VLOOKUP('Données projet'!$B$11,Paramètres!$A$1:$I$89,3,0)*0.475*44/12</f>
        <v>1.1555189258320182</v>
      </c>
      <c r="BS143" s="24">
        <f t="shared" si="117"/>
        <v>61.158533783963307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395.00000000000017</v>
      </c>
      <c r="O144" s="14">
        <f>N144*VLOOKUP('Données projet'!$B$9,Paramètres!$A$1:$I$89,3,0)*VLOOKUP('Données projet'!$B$9,Paramètres!$A$1:$I$89,5,0)</f>
        <v>236.21000000000009</v>
      </c>
      <c r="P144" s="14">
        <f t="shared" si="141"/>
        <v>57.62333963053878</v>
      </c>
      <c r="Q144" s="22">
        <f t="shared" si="108"/>
        <v>511.75973318985524</v>
      </c>
      <c r="R144" s="62">
        <f t="shared" si="109"/>
        <v>805.09306652318855</v>
      </c>
      <c r="S144" s="62">
        <f ca="1">AVERAGE(OFFSET($R$3,0,0,'Données projet'!$E$9+1,1))-AVERAGE(OFFSET($H$3,0,0,'Données projet'!$E$9+1,1))</f>
        <v>217.62295992724461</v>
      </c>
      <c r="T144" s="62">
        <f t="shared" si="142"/>
        <v>198.62788037979772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7.7671591699332456</v>
      </c>
      <c r="AA144" s="23">
        <f>EXP(-LN(2)/25)*AA143+(1-EXP(-LN(2)/25))/(LN(2)/25)*Calculateur!V144*Calculateur!X144*VLOOKUP('Données projet'!$B$9,Paramètres!$A$1:$I$89,3,0)*0.475*44/12</f>
        <v>0.69831094620513812</v>
      </c>
      <c r="AB144" s="23">
        <f>EXP(-LN(2)/2)*AB143+(1-EXP(-LN(2)/2))/(LN(2)/2)*V144*Y144*VLOOKUP('Données projet'!$B$9,Paramètres!$A$1:$I$89,3,0)*0.475*44/12</f>
        <v>1.2799485550006418E-12</v>
      </c>
      <c r="AC144" s="24">
        <f t="shared" si="111"/>
        <v>8.4654701161396648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1.5961632016114892E-13</v>
      </c>
      <c r="AK144" s="14">
        <f t="shared" si="143"/>
        <v>2.2708641912150958E-12</v>
      </c>
      <c r="AL144" s="22">
        <f t="shared" si="112"/>
        <v>4.2330868906469593E-12</v>
      </c>
      <c r="AM144" s="62">
        <f t="shared" si="113"/>
        <v>293.33333333333752</v>
      </c>
      <c r="AN144" s="62">
        <f ca="1">AVERAGE(OFFSET($AM$3,0,0,'Données projet'!$E$10+1,1))-AVERAGE(OFFSET($H$3,0,0,'Données projet'!$E$10+1,1))</f>
        <v>201.92726874818067</v>
      </c>
      <c r="AO144" s="62">
        <f t="shared" si="144"/>
        <v>197.16147791248727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74.53079349215723</v>
      </c>
      <c r="AV144" s="23">
        <f>EXP(-LN(2)/25)*AV143+(1-EXP(-LN(2)/25))/(LN(2)/25)*Calculateur!AQ144*Calculateur!AS144*VLOOKUP('Données projet'!$B$10,Paramètres!$A$1:$I$89,3,0)*0.475*44/12</f>
        <v>22.755432143302261</v>
      </c>
      <c r="AW144" s="23">
        <f>EXP(-LN(2)/2)*AW143+(1-EXP(-LN(2)/2))/(LN(2)/2)*AQ144*AT144*VLOOKUP('Données projet'!$B$10,Paramètres!$A$1:$I$89,3,0)*0.475*44/12</f>
        <v>5.8566293273593285E-5</v>
      </c>
      <c r="AX144" s="23">
        <f t="shared" si="114"/>
        <v>97.286284201752764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5.6</v>
      </c>
      <c r="BD144" s="13">
        <f>IF('Données projet'!$A$88&gt;35,BD143+BC144-BL143,IF(A144&lt;'Données projet'!$A$88,$BA$205^A144,IF(A144='Données projet'!$A$88,'Données projet'!$B$88,BD143+BC144-BL143)))</f>
        <v>253.79999999999995</v>
      </c>
      <c r="BE144" s="14">
        <f>BD144*VLOOKUP('Données projet'!$B$11,Paramètres!$A$1:$I$89,3,0)*VLOOKUP('Données projet'!$B$11,Paramètres!$A$1:$I$89,5,0)</f>
        <v>257.35319999999996</v>
      </c>
      <c r="BF144" s="14">
        <f t="shared" si="145"/>
        <v>62.157851613080908</v>
      </c>
      <c r="BG144" s="22">
        <f t="shared" si="115"/>
        <v>556.48174822611588</v>
      </c>
      <c r="BH144" s="62">
        <f t="shared" si="116"/>
        <v>849.81508155944925</v>
      </c>
      <c r="BI144" s="62">
        <f ca="1">AVERAGE(OFFSET($BH$3,0,0,'Données projet'!$E$11+1,1))-AVERAGE(OFFSET($H$3,0,0,'Données projet'!$E$11+1,1))</f>
        <v>234.66244049825644</v>
      </c>
      <c r="BJ144" s="62">
        <f t="shared" si="146"/>
        <v>87.037318032671465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55.814085269195587</v>
      </c>
      <c r="BQ144" s="23">
        <f>EXP(-LN(2)/25)*BQ143+(1-EXP(-LN(2)/25))/(LN(2)/25)*Calculateur!BL144*Calculateur!BN144*VLOOKUP('Données projet'!$B$11,Paramètres!$A$1:$I$89,3,0)*0.475*44/12</f>
        <v>2.9885387935820535</v>
      </c>
      <c r="BR144" s="23">
        <f>EXP(-LN(2)/2)*BR143+(1-EXP(-LN(2)/2))/(LN(2)/2)*BL144*BO144*VLOOKUP('Données projet'!$B$11,Paramètres!$A$1:$I$89,3,0)*0.475*44/12</f>
        <v>0.81707526824521537</v>
      </c>
      <c r="BS144" s="24">
        <f t="shared" si="117"/>
        <v>59.619699331022858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395.00000000000017</v>
      </c>
      <c r="O145" s="14">
        <f>N145*VLOOKUP('Données projet'!$B$9,Paramètres!$A$1:$I$89,3,0)*VLOOKUP('Données projet'!$B$9,Paramètres!$A$1:$I$89,5,0)</f>
        <v>236.21000000000009</v>
      </c>
      <c r="P145" s="14">
        <f t="shared" si="141"/>
        <v>57.62333963053878</v>
      </c>
      <c r="Q145" s="22">
        <f t="shared" si="108"/>
        <v>511.75973318985524</v>
      </c>
      <c r="R145" s="62">
        <f t="shared" si="109"/>
        <v>805.09306652318855</v>
      </c>
      <c r="S145" s="62">
        <f ca="1">AVERAGE(OFFSET($R$3,0,0,'Données projet'!$E$9+1,1))-AVERAGE(OFFSET($H$3,0,0,'Données projet'!$E$9+1,1))</f>
        <v>217.62295992724461</v>
      </c>
      <c r="T145" s="62">
        <f t="shared" si="142"/>
        <v>198.62788037979772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7.6148499161101588</v>
      </c>
      <c r="AA145" s="23">
        <f>EXP(-LN(2)/25)*AA144+(1-EXP(-LN(2)/25))/(LN(2)/25)*Calculateur!V145*Calculateur!X145*VLOOKUP('Données projet'!$B$9,Paramètres!$A$1:$I$89,3,0)*0.475*44/12</f>
        <v>0.679215596658582</v>
      </c>
      <c r="AB145" s="23">
        <f>EXP(-LN(2)/2)*AB144+(1-EXP(-LN(2)/2))/(LN(2)/2)*V145*Y145*VLOOKUP('Données projet'!$B$9,Paramètres!$A$1:$I$89,3,0)*0.475*44/12</f>
        <v>9.050603028108766E-13</v>
      </c>
      <c r="AC145" s="24">
        <f t="shared" si="111"/>
        <v>8.294065512769647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1.5961632016114892E-13</v>
      </c>
      <c r="AK145" s="14">
        <f t="shared" si="143"/>
        <v>2.2708641912150958E-12</v>
      </c>
      <c r="AL145" s="22">
        <f t="shared" si="112"/>
        <v>4.2330868906469593E-12</v>
      </c>
      <c r="AM145" s="62">
        <f t="shared" si="113"/>
        <v>293.33333333333752</v>
      </c>
      <c r="AN145" s="62">
        <f ca="1">AVERAGE(OFFSET($AM$3,0,0,'Données projet'!$E$10+1,1))-AVERAGE(OFFSET($H$3,0,0,'Données projet'!$E$10+1,1))</f>
        <v>201.92726874818067</v>
      </c>
      <c r="AO145" s="62">
        <f t="shared" si="144"/>
        <v>197.16147791248727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73.069290091071323</v>
      </c>
      <c r="AV145" s="23">
        <f>EXP(-LN(2)/25)*AV144+(1-EXP(-LN(2)/25))/(LN(2)/25)*Calculateur!AQ145*Calculateur!AS145*VLOOKUP('Données projet'!$B$10,Paramètres!$A$1:$I$89,3,0)*0.475*44/12</f>
        <v>22.133183654687492</v>
      </c>
      <c r="AW145" s="23">
        <f>EXP(-LN(2)/2)*AW144+(1-EXP(-LN(2)/2))/(LN(2)/2)*AQ145*AT145*VLOOKUP('Données projet'!$B$10,Paramètres!$A$1:$I$89,3,0)*0.475*44/12</f>
        <v>4.1412623122717896E-5</v>
      </c>
      <c r="AX145" s="23">
        <f t="shared" si="114"/>
        <v>95.202515158381942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5.6</v>
      </c>
      <c r="BD145" s="13">
        <f>IF('Données projet'!$A$88&gt;35,BD144+BC145-BL144,IF(A145&lt;'Données projet'!$A$88,$BA$205^A145,IF(A145='Données projet'!$A$88,'Données projet'!$B$88,BD144+BC145-BL144)))</f>
        <v>259.39999999999998</v>
      </c>
      <c r="BE145" s="14">
        <f>BD145*VLOOKUP('Données projet'!$B$11,Paramètres!$A$1:$I$89,3,0)*VLOOKUP('Données projet'!$B$11,Paramètres!$A$1:$I$89,5,0)</f>
        <v>263.03159999999997</v>
      </c>
      <c r="BF145" s="14">
        <f t="shared" si="145"/>
        <v>63.368155928598917</v>
      </c>
      <c r="BG145" s="22">
        <f t="shared" si="115"/>
        <v>568.47957490897636</v>
      </c>
      <c r="BH145" s="62">
        <f t="shared" si="116"/>
        <v>861.81290824230973</v>
      </c>
      <c r="BI145" s="62">
        <f ca="1">AVERAGE(OFFSET($BH$3,0,0,'Données projet'!$E$11+1,1))-AVERAGE(OFFSET($H$3,0,0,'Données projet'!$E$11+1,1))</f>
        <v>234.66244049825644</v>
      </c>
      <c r="BJ145" s="62">
        <f t="shared" si="146"/>
        <v>87.037318032671465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54.719605100297187</v>
      </c>
      <c r="BQ145" s="23">
        <f>EXP(-LN(2)/25)*BQ144+(1-EXP(-LN(2)/25))/(LN(2)/25)*Calculateur!BL145*Calculateur!BN145*VLOOKUP('Données projet'!$B$11,Paramètres!$A$1:$I$89,3,0)*0.475*44/12</f>
        <v>2.9068170431111273</v>
      </c>
      <c r="BR145" s="23">
        <f>EXP(-LN(2)/2)*BR144+(1-EXP(-LN(2)/2))/(LN(2)/2)*BL145*BO145*VLOOKUP('Données projet'!$B$11,Paramètres!$A$1:$I$89,3,0)*0.475*44/12</f>
        <v>0.57775946291600921</v>
      </c>
      <c r="BS145" s="24">
        <f t="shared" si="117"/>
        <v>58.204181606324319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395.00000000000017</v>
      </c>
      <c r="O146" s="14">
        <f>N146*VLOOKUP('Données projet'!$B$9,Paramètres!$A$1:$I$89,3,0)*VLOOKUP('Données projet'!$B$9,Paramètres!$A$1:$I$89,5,0)</f>
        <v>236.21000000000009</v>
      </c>
      <c r="P146" s="14">
        <f t="shared" si="141"/>
        <v>57.62333963053878</v>
      </c>
      <c r="Q146" s="22">
        <f t="shared" si="108"/>
        <v>511.75973318985524</v>
      </c>
      <c r="R146" s="62">
        <f t="shared" si="109"/>
        <v>805.09306652318855</v>
      </c>
      <c r="S146" s="62">
        <f ca="1">AVERAGE(OFFSET($R$3,0,0,'Données projet'!$E$9+1,1))-AVERAGE(OFFSET($H$3,0,0,'Données projet'!$E$9+1,1))</f>
        <v>217.62295992724461</v>
      </c>
      <c r="T146" s="62">
        <f t="shared" si="142"/>
        <v>198.62788037979772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7.4655273538550713</v>
      </c>
      <c r="AA146" s="23">
        <f>EXP(-LN(2)/25)*AA145+(1-EXP(-LN(2)/25))/(LN(2)/25)*Calculateur!V146*Calculateur!X146*VLOOKUP('Données projet'!$B$9,Paramètres!$A$1:$I$89,3,0)*0.475*44/12</f>
        <v>0.66064241044955718</v>
      </c>
      <c r="AB146" s="23">
        <f>EXP(-LN(2)/2)*AB145+(1-EXP(-LN(2)/2))/(LN(2)/2)*V146*Y146*VLOOKUP('Données projet'!$B$9,Paramètres!$A$1:$I$89,3,0)*0.475*44/12</f>
        <v>6.3997427750032101E-13</v>
      </c>
      <c r="AC146" s="24">
        <f t="shared" si="111"/>
        <v>8.1261697643052671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1.5961632016114892E-13</v>
      </c>
      <c r="AK146" s="14">
        <f t="shared" si="143"/>
        <v>2.2708641912150958E-12</v>
      </c>
      <c r="AL146" s="22">
        <f t="shared" si="112"/>
        <v>4.2330868906469593E-12</v>
      </c>
      <c r="AM146" s="62">
        <f t="shared" si="113"/>
        <v>293.33333333333752</v>
      </c>
      <c r="AN146" s="62">
        <f ca="1">AVERAGE(OFFSET($AM$3,0,0,'Données projet'!$E$10+1,1))-AVERAGE(OFFSET($H$3,0,0,'Données projet'!$E$10+1,1))</f>
        <v>201.92726874818067</v>
      </c>
      <c r="AO146" s="62">
        <f t="shared" si="144"/>
        <v>197.16147791248727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71.636445880251657</v>
      </c>
      <c r="AV146" s="23">
        <f>EXP(-LN(2)/25)*AV145+(1-EXP(-LN(2)/25))/(LN(2)/25)*Calculateur!AQ146*Calculateur!AS146*VLOOKUP('Données projet'!$B$10,Paramètres!$A$1:$I$89,3,0)*0.475*44/12</f>
        <v>21.527950583716521</v>
      </c>
      <c r="AW146" s="23">
        <f>EXP(-LN(2)/2)*AW145+(1-EXP(-LN(2)/2))/(LN(2)/2)*AQ146*AT146*VLOOKUP('Données projet'!$B$10,Paramètres!$A$1:$I$89,3,0)*0.475*44/12</f>
        <v>2.9283146636796642E-5</v>
      </c>
      <c r="AX146" s="23">
        <f t="shared" si="114"/>
        <v>93.164425747114805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5.6</v>
      </c>
      <c r="BD146" s="13">
        <f>IF('Données projet'!$A$88&gt;35,BD145+BC146-BL145,IF(A146&lt;'Données projet'!$A$88,$BA$205^A146,IF(A146='Données projet'!$A$88,'Données projet'!$B$88,BD145+BC146-BL145)))</f>
        <v>265</v>
      </c>
      <c r="BE146" s="14">
        <f>BD146*VLOOKUP('Données projet'!$B$11,Paramètres!$A$1:$I$89,3,0)*VLOOKUP('Données projet'!$B$11,Paramètres!$A$1:$I$89,5,0)</f>
        <v>268.71000000000004</v>
      </c>
      <c r="BF146" s="14">
        <f t="shared" si="145"/>
        <v>64.575422468263369</v>
      </c>
      <c r="BG146" s="22">
        <f t="shared" si="115"/>
        <v>580.472110798892</v>
      </c>
      <c r="BH146" s="62">
        <f t="shared" si="116"/>
        <v>873.80544413222538</v>
      </c>
      <c r="BI146" s="62">
        <f ca="1">AVERAGE(OFFSET($BH$3,0,0,'Données projet'!$E$11+1,1))-AVERAGE(OFFSET($H$3,0,0,'Données projet'!$E$11+1,1))</f>
        <v>234.66244049825644</v>
      </c>
      <c r="BJ146" s="62">
        <f t="shared" si="146"/>
        <v>87.037318032671465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53.646587019943894</v>
      </c>
      <c r="BQ146" s="23">
        <f>EXP(-LN(2)/25)*BQ145+(1-EXP(-LN(2)/25))/(LN(2)/25)*Calculateur!BL146*Calculateur!BN146*VLOOKUP('Données projet'!$B$11,Paramètres!$A$1:$I$89,3,0)*0.475*44/12</f>
        <v>2.8273299782043888</v>
      </c>
      <c r="BR146" s="23">
        <f>EXP(-LN(2)/2)*BR145+(1-EXP(-LN(2)/2))/(LN(2)/2)*BL146*BO146*VLOOKUP('Données projet'!$B$11,Paramètres!$A$1:$I$89,3,0)*0.475*44/12</f>
        <v>0.4085376341226078</v>
      </c>
      <c r="BS146" s="24">
        <f t="shared" si="117"/>
        <v>56.882454632270893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395.00000000000017</v>
      </c>
      <c r="O147" s="14">
        <f>N147*VLOOKUP('Données projet'!$B$9,Paramètres!$A$1:$I$89,3,0)*VLOOKUP('Données projet'!$B$9,Paramètres!$A$1:$I$89,5,0)</f>
        <v>236.21000000000009</v>
      </c>
      <c r="P147" s="14">
        <f t="shared" si="141"/>
        <v>57.62333963053878</v>
      </c>
      <c r="Q147" s="22">
        <f t="shared" si="108"/>
        <v>511.75973318985524</v>
      </c>
      <c r="R147" s="62">
        <f t="shared" si="109"/>
        <v>805.09306652318855</v>
      </c>
      <c r="S147" s="62">
        <f ca="1">AVERAGE(OFFSET($R$3,0,0,'Données projet'!$E$9+1,1))-AVERAGE(OFFSET($H$3,0,0,'Données projet'!$E$9+1,1))</f>
        <v>217.62295992724461</v>
      </c>
      <c r="T147" s="62">
        <f t="shared" si="142"/>
        <v>198.62788037979772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7.3191329159680363</v>
      </c>
      <c r="AA147" s="23">
        <f>EXP(-LN(2)/25)*AA146+(1-EXP(-LN(2)/25))/(LN(2)/25)*Calculateur!V147*Calculateur!X147*VLOOKUP('Données projet'!$B$9,Paramètres!$A$1:$I$89,3,0)*0.475*44/12</f>
        <v>0.64257710899413956</v>
      </c>
      <c r="AB147" s="23">
        <f>EXP(-LN(2)/2)*AB146+(1-EXP(-LN(2)/2))/(LN(2)/2)*V147*Y147*VLOOKUP('Données projet'!$B$9,Paramètres!$A$1:$I$89,3,0)*0.475*44/12</f>
        <v>4.5253015140543835E-13</v>
      </c>
      <c r="AC147" s="24">
        <f t="shared" si="111"/>
        <v>7.9617100249626285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1.5961632016114892E-13</v>
      </c>
      <c r="AK147" s="14">
        <f t="shared" si="143"/>
        <v>2.2708641912150958E-12</v>
      </c>
      <c r="AL147" s="22">
        <f t="shared" si="112"/>
        <v>4.2330868906469593E-12</v>
      </c>
      <c r="AM147" s="62">
        <f t="shared" si="113"/>
        <v>293.33333333333752</v>
      </c>
      <c r="AN147" s="62">
        <f ca="1">AVERAGE(OFFSET($AM$3,0,0,'Données projet'!$E$10+1,1))-AVERAGE(OFFSET($H$3,0,0,'Données projet'!$E$10+1,1))</f>
        <v>201.92726874818067</v>
      </c>
      <c r="AO147" s="62">
        <f t="shared" si="144"/>
        <v>197.16147791248727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70.231698870457492</v>
      </c>
      <c r="AV147" s="23">
        <f>EXP(-LN(2)/25)*AV146+(1-EXP(-LN(2)/25))/(LN(2)/25)*Calculateur!AQ147*Calculateur!AS147*VLOOKUP('Données projet'!$B$10,Paramètres!$A$1:$I$89,3,0)*0.475*44/12</f>
        <v>20.939267642899075</v>
      </c>
      <c r="AW147" s="23">
        <f>EXP(-LN(2)/2)*AW146+(1-EXP(-LN(2)/2))/(LN(2)/2)*AQ147*AT147*VLOOKUP('Données projet'!$B$10,Paramètres!$A$1:$I$89,3,0)*0.475*44/12</f>
        <v>2.0706311561358948E-5</v>
      </c>
      <c r="AX147" s="23">
        <f t="shared" si="114"/>
        <v>91.170987219668135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5.6</v>
      </c>
      <c r="BD147" s="13">
        <f>IF('Données projet'!$A$88&gt;35,BD146+BC147-BL146,IF(A147&lt;'Données projet'!$A$88,$BA$205^A147,IF(A147='Données projet'!$A$88,'Données projet'!$B$88,BD146+BC147-BL146)))</f>
        <v>270.60000000000002</v>
      </c>
      <c r="BE147" s="14">
        <f>BD147*VLOOKUP('Données projet'!$B$11,Paramètres!$A$1:$I$89,3,0)*VLOOKUP('Données projet'!$B$11,Paramètres!$A$1:$I$89,5,0)</f>
        <v>274.38840000000005</v>
      </c>
      <c r="BF147" s="14">
        <f t="shared" si="145"/>
        <v>65.77972282151319</v>
      </c>
      <c r="BG147" s="22">
        <f t="shared" si="115"/>
        <v>592.45948058080216</v>
      </c>
      <c r="BH147" s="62">
        <f t="shared" si="116"/>
        <v>885.79281391413542</v>
      </c>
      <c r="BI147" s="62">
        <f ca="1">AVERAGE(OFFSET($BH$3,0,0,'Données projet'!$E$11+1,1))-AVERAGE(OFFSET($H$3,0,0,'Données projet'!$E$11+1,1))</f>
        <v>234.66244049825644</v>
      </c>
      <c r="BJ147" s="62">
        <f t="shared" si="146"/>
        <v>87.037318032671465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52.594610169669927</v>
      </c>
      <c r="BQ147" s="23">
        <f>EXP(-LN(2)/25)*BQ146+(1-EXP(-LN(2)/25))/(LN(2)/25)*Calculateur!BL147*Calculateur!BN147*VLOOKUP('Données projet'!$B$11,Paramètres!$A$1:$I$89,3,0)*0.475*44/12</f>
        <v>2.750016491267568</v>
      </c>
      <c r="BR147" s="23">
        <f>EXP(-LN(2)/2)*BR146+(1-EXP(-LN(2)/2))/(LN(2)/2)*BL147*BO147*VLOOKUP('Données projet'!$B$11,Paramètres!$A$1:$I$89,3,0)*0.475*44/12</f>
        <v>0.28887973145800466</v>
      </c>
      <c r="BS147" s="24">
        <f t="shared" si="117"/>
        <v>55.633506392395496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395.00000000000017</v>
      </c>
      <c r="O148" s="14">
        <f>N148*VLOOKUP('Données projet'!$B$9,Paramètres!$A$1:$I$89,3,0)*VLOOKUP('Données projet'!$B$9,Paramètres!$A$1:$I$89,5,0)</f>
        <v>236.21000000000009</v>
      </c>
      <c r="P148" s="14">
        <f t="shared" si="141"/>
        <v>57.62333963053878</v>
      </c>
      <c r="Q148" s="22">
        <f t="shared" si="108"/>
        <v>511.75973318985524</v>
      </c>
      <c r="R148" s="62">
        <f t="shared" si="109"/>
        <v>805.09306652318855</v>
      </c>
      <c r="S148" s="62">
        <f ca="1">AVERAGE(OFFSET($R$3,0,0,'Données projet'!$E$9+1,1))-AVERAGE(OFFSET($H$3,0,0,'Données projet'!$E$9+1,1))</f>
        <v>217.62295992724461</v>
      </c>
      <c r="T148" s="62">
        <f t="shared" si="142"/>
        <v>198.62788037979772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7.1756091837161753</v>
      </c>
      <c r="AA148" s="23">
        <f>EXP(-LN(2)/25)*AA147+(1-EXP(-LN(2)/25))/(LN(2)/25)*Calculateur!V148*Calculateur!X148*VLOOKUP('Données projet'!$B$9,Paramètres!$A$1:$I$89,3,0)*0.475*44/12</f>
        <v>0.62500580415703333</v>
      </c>
      <c r="AB148" s="23">
        <f>EXP(-LN(2)/2)*AB147+(1-EXP(-LN(2)/2))/(LN(2)/2)*V148*Y148*VLOOKUP('Données projet'!$B$9,Paramètres!$A$1:$I$89,3,0)*0.475*44/12</f>
        <v>3.1998713875016056E-13</v>
      </c>
      <c r="AC148" s="24">
        <f t="shared" si="111"/>
        <v>7.8006149878735282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1.5961632016114892E-13</v>
      </c>
      <c r="AK148" s="14">
        <f t="shared" si="143"/>
        <v>2.2708641912150958E-12</v>
      </c>
      <c r="AL148" s="22">
        <f t="shared" si="112"/>
        <v>4.2330868906469593E-12</v>
      </c>
      <c r="AM148" s="62">
        <f t="shared" si="113"/>
        <v>293.33333333333752</v>
      </c>
      <c r="AN148" s="62">
        <f ca="1">AVERAGE(OFFSET($AM$3,0,0,'Données projet'!$E$10+1,1))-AVERAGE(OFFSET($H$3,0,0,'Données projet'!$E$10+1,1))</f>
        <v>201.92726874818067</v>
      </c>
      <c r="AO148" s="62">
        <f t="shared" si="144"/>
        <v>197.16147791248727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68.854498092714323</v>
      </c>
      <c r="AV148" s="23">
        <f>EXP(-LN(2)/25)*AV147+(1-EXP(-LN(2)/25))/(LN(2)/25)*Calculateur!AQ148*Calculateur!AS148*VLOOKUP('Données projet'!$B$10,Paramètres!$A$1:$I$89,3,0)*0.475*44/12</f>
        <v>20.366682268055772</v>
      </c>
      <c r="AW148" s="23">
        <f>EXP(-LN(2)/2)*AW147+(1-EXP(-LN(2)/2))/(LN(2)/2)*AQ148*AT148*VLOOKUP('Données projet'!$B$10,Paramètres!$A$1:$I$89,3,0)*0.475*44/12</f>
        <v>1.4641573318398321E-5</v>
      </c>
      <c r="AX148" s="23">
        <f t="shared" si="114"/>
        <v>89.221195002343407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5.6</v>
      </c>
      <c r="BD148" s="13">
        <f>IF('Données projet'!$A$88&gt;35,BD147+BC148-BL147,IF(A148&lt;'Données projet'!$A$88,$BA$205^A148,IF(A148='Données projet'!$A$88,'Données projet'!$B$88,BD147+BC148-BL147)))</f>
        <v>276.20000000000005</v>
      </c>
      <c r="BE148" s="14">
        <f>BD148*VLOOKUP('Données projet'!$B$11,Paramètres!$A$1:$I$89,3,0)*VLOOKUP('Données projet'!$B$11,Paramètres!$A$1:$I$89,5,0)</f>
        <v>280.06680000000006</v>
      </c>
      <c r="BF148" s="14">
        <f t="shared" si="145"/>
        <v>66.981125445388926</v>
      </c>
      <c r="BG148" s="22">
        <f t="shared" si="115"/>
        <v>604.44180348405246</v>
      </c>
      <c r="BH148" s="62">
        <f t="shared" si="116"/>
        <v>897.77513681738583</v>
      </c>
      <c r="BI148" s="62">
        <f ca="1">AVERAGE(OFFSET($BH$3,0,0,'Données projet'!$E$11+1,1))-AVERAGE(OFFSET($H$3,0,0,'Données projet'!$E$11+1,1))</f>
        <v>234.66244049825644</v>
      </c>
      <c r="BJ148" s="62">
        <f t="shared" si="146"/>
        <v>87.037318032671465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51.56326194378731</v>
      </c>
      <c r="BQ148" s="23">
        <f>EXP(-LN(2)/25)*BQ147+(1-EXP(-LN(2)/25))/(LN(2)/25)*Calculateur!BL148*Calculateur!BN148*VLOOKUP('Données projet'!$B$11,Paramètres!$A$1:$I$89,3,0)*0.475*44/12</f>
        <v>2.6748171456967742</v>
      </c>
      <c r="BR148" s="23">
        <f>EXP(-LN(2)/2)*BR147+(1-EXP(-LN(2)/2))/(LN(2)/2)*BL148*BO148*VLOOKUP('Données projet'!$B$11,Paramètres!$A$1:$I$89,3,0)*0.475*44/12</f>
        <v>0.20426881706130393</v>
      </c>
      <c r="BS148" s="24">
        <f t="shared" si="117"/>
        <v>54.442347906545386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395.00000000000017</v>
      </c>
      <c r="O149" s="14">
        <f>N149*VLOOKUP('Données projet'!$B$9,Paramètres!$A$1:$I$89,3,0)*VLOOKUP('Données projet'!$B$9,Paramètres!$A$1:$I$89,5,0)</f>
        <v>236.21000000000009</v>
      </c>
      <c r="P149" s="14">
        <f t="shared" si="141"/>
        <v>57.62333963053878</v>
      </c>
      <c r="Q149" s="22">
        <f t="shared" si="108"/>
        <v>511.75973318985524</v>
      </c>
      <c r="R149" s="62">
        <f t="shared" si="109"/>
        <v>805.09306652318855</v>
      </c>
      <c r="S149" s="62">
        <f ca="1">AVERAGE(OFFSET($R$3,0,0,'Données projet'!$E$9+1,1))-AVERAGE(OFFSET($H$3,0,0,'Données projet'!$E$9+1,1))</f>
        <v>217.62295992724461</v>
      </c>
      <c r="T149" s="62">
        <f t="shared" si="142"/>
        <v>198.62788037979772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7.0348998643129406</v>
      </c>
      <c r="AA149" s="23">
        <f>EXP(-LN(2)/25)*AA148+(1-EXP(-LN(2)/25))/(LN(2)/25)*Calculateur!V149*Calculateur!X149*VLOOKUP('Données projet'!$B$9,Paramètres!$A$1:$I$89,3,0)*0.475*44/12</f>
        <v>0.6079149875747325</v>
      </c>
      <c r="AB149" s="23">
        <f>EXP(-LN(2)/2)*AB148+(1-EXP(-LN(2)/2))/(LN(2)/2)*V149*Y149*VLOOKUP('Données projet'!$B$9,Paramètres!$A$1:$I$89,3,0)*0.475*44/12</f>
        <v>2.2626507570271923E-13</v>
      </c>
      <c r="AC149" s="24">
        <f t="shared" si="111"/>
        <v>7.6428148518878993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1.5961632016114892E-13</v>
      </c>
      <c r="AK149" s="14">
        <f t="shared" si="143"/>
        <v>2.2708641912150958E-12</v>
      </c>
      <c r="AL149" s="22">
        <f t="shared" si="112"/>
        <v>4.2330868906469593E-12</v>
      </c>
      <c r="AM149" s="62">
        <f t="shared" si="113"/>
        <v>293.33333333333752</v>
      </c>
      <c r="AN149" s="62">
        <f ca="1">AVERAGE(OFFSET($AM$3,0,0,'Données projet'!$E$10+1,1))-AVERAGE(OFFSET($H$3,0,0,'Données projet'!$E$10+1,1))</f>
        <v>201.92726874818067</v>
      </c>
      <c r="AO149" s="62">
        <f t="shared" si="144"/>
        <v>197.16147791248727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67.504303382213166</v>
      </c>
      <c r="AV149" s="23">
        <f>EXP(-LN(2)/25)*AV148+(1-EXP(-LN(2)/25))/(LN(2)/25)*Calculateur!AQ149*Calculateur!AS149*VLOOKUP('Données projet'!$B$10,Paramètres!$A$1:$I$89,3,0)*0.475*44/12</f>
        <v>19.809754270398514</v>
      </c>
      <c r="AW149" s="23">
        <f>EXP(-LN(2)/2)*AW148+(1-EXP(-LN(2)/2))/(LN(2)/2)*AQ149*AT149*VLOOKUP('Données projet'!$B$10,Paramètres!$A$1:$I$89,3,0)*0.475*44/12</f>
        <v>1.0353155780679474E-5</v>
      </c>
      <c r="AX149" s="23">
        <f t="shared" si="114"/>
        <v>87.314068005767467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5.6</v>
      </c>
      <c r="BD149" s="13">
        <f>IF('Données projet'!$A$88&gt;35,BD148+BC149-BL148,IF(A149&lt;'Données projet'!$A$88,$BA$205^A149,IF(A149='Données projet'!$A$88,'Données projet'!$B$88,BD148+BC149-BL148)))</f>
        <v>281.80000000000007</v>
      </c>
      <c r="BE149" s="14">
        <f>BD149*VLOOKUP('Données projet'!$B$11,Paramètres!$A$1:$I$89,3,0)*VLOOKUP('Données projet'!$B$11,Paramètres!$A$1:$I$89,5,0)</f>
        <v>285.74520000000007</v>
      </c>
      <c r="BF149" s="14">
        <f t="shared" si="145"/>
        <v>68.179695862275295</v>
      </c>
      <c r="BG149" s="22">
        <f t="shared" si="115"/>
        <v>616.41919362679619</v>
      </c>
      <c r="BH149" s="62">
        <f t="shared" si="116"/>
        <v>909.75252696012944</v>
      </c>
      <c r="BI149" s="62">
        <f ca="1">AVERAGE(OFFSET($BH$3,0,0,'Données projet'!$E$11+1,1))-AVERAGE(OFFSET($H$3,0,0,'Données projet'!$E$11+1,1))</f>
        <v>234.66244049825644</v>
      </c>
      <c r="BJ149" s="62">
        <f t="shared" si="146"/>
        <v>87.037318032671465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50.552137827553949</v>
      </c>
      <c r="BQ149" s="23">
        <f>EXP(-LN(2)/25)*BQ148+(1-EXP(-LN(2)/25))/(LN(2)/25)*Calculateur!BL149*Calculateur!BN149*VLOOKUP('Données projet'!$B$11,Paramètres!$A$1:$I$89,3,0)*0.475*44/12</f>
        <v>2.6016741301851756</v>
      </c>
      <c r="BR149" s="23">
        <f>EXP(-LN(2)/2)*BR148+(1-EXP(-LN(2)/2))/(LN(2)/2)*BL149*BO149*VLOOKUP('Données projet'!$B$11,Paramètres!$A$1:$I$89,3,0)*0.475*44/12</f>
        <v>0.14443986572900236</v>
      </c>
      <c r="BS149" s="24">
        <f t="shared" si="117"/>
        <v>53.298251823468128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395.00000000000017</v>
      </c>
      <c r="O150" s="14">
        <f>N150*VLOOKUP('Données projet'!$B$9,Paramètres!$A$1:$I$89,3,0)*VLOOKUP('Données projet'!$B$9,Paramètres!$A$1:$I$89,5,0)</f>
        <v>236.21000000000009</v>
      </c>
      <c r="P150" s="14">
        <f t="shared" si="141"/>
        <v>57.62333963053878</v>
      </c>
      <c r="Q150" s="22">
        <f t="shared" si="108"/>
        <v>511.75973318985524</v>
      </c>
      <c r="R150" s="62">
        <f t="shared" si="109"/>
        <v>805.09306652318855</v>
      </c>
      <c r="S150" s="62">
        <f ca="1">AVERAGE(OFFSET($R$3,0,0,'Données projet'!$E$9+1,1))-AVERAGE(OFFSET($H$3,0,0,'Données projet'!$E$9+1,1))</f>
        <v>217.62295992724461</v>
      </c>
      <c r="T150" s="62">
        <f t="shared" si="142"/>
        <v>198.62788037979772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6.8969497688389936</v>
      </c>
      <c r="AA150" s="23">
        <f>EXP(-LN(2)/25)*AA149+(1-EXP(-LN(2)/25))/(LN(2)/25)*Calculateur!V150*Calculateur!X150*VLOOKUP('Données projet'!$B$9,Paramètres!$A$1:$I$89,3,0)*0.475*44/12</f>
        <v>0.59129152027064169</v>
      </c>
      <c r="AB150" s="23">
        <f>EXP(-LN(2)/2)*AB149+(1-EXP(-LN(2)/2))/(LN(2)/2)*V150*Y150*VLOOKUP('Données projet'!$B$9,Paramètres!$A$1:$I$89,3,0)*0.475*44/12</f>
        <v>1.599935693750803E-13</v>
      </c>
      <c r="AC150" s="24">
        <f t="shared" si="111"/>
        <v>7.4882412891097951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1.5961632016114892E-13</v>
      </c>
      <c r="AK150" s="14">
        <f t="shared" si="143"/>
        <v>2.2708641912150958E-12</v>
      </c>
      <c r="AL150" s="22">
        <f t="shared" si="112"/>
        <v>4.2330868906469593E-12</v>
      </c>
      <c r="AM150" s="62">
        <f t="shared" si="113"/>
        <v>293.33333333333752</v>
      </c>
      <c r="AN150" s="62">
        <f ca="1">AVERAGE(OFFSET($AM$3,0,0,'Données projet'!$E$10+1,1))-AVERAGE(OFFSET($H$3,0,0,'Données projet'!$E$10+1,1))</f>
        <v>201.92726874818067</v>
      </c>
      <c r="AO150" s="62">
        <f t="shared" si="144"/>
        <v>197.16147791248727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66.180585166447472</v>
      </c>
      <c r="AV150" s="23">
        <f>EXP(-LN(2)/25)*AV149+(1-EXP(-LN(2)/25))/(LN(2)/25)*Calculateur!AQ150*Calculateur!AS150*VLOOKUP('Données projet'!$B$10,Paramètres!$A$1:$I$89,3,0)*0.475*44/12</f>
        <v>19.268055498124767</v>
      </c>
      <c r="AW150" s="23">
        <f>EXP(-LN(2)/2)*AW149+(1-EXP(-LN(2)/2))/(LN(2)/2)*AQ150*AT150*VLOOKUP('Données projet'!$B$10,Paramètres!$A$1:$I$89,3,0)*0.475*44/12</f>
        <v>7.3207866591991606E-6</v>
      </c>
      <c r="AX150" s="23">
        <f t="shared" si="114"/>
        <v>85.448647985358903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5.6</v>
      </c>
      <c r="BD150" s="13">
        <f>IF('Données projet'!$A$88&gt;35,BD149+BC150-BL149,IF(A150&lt;'Données projet'!$A$88,$BA$205^A150,IF(A150='Données projet'!$A$88,'Données projet'!$B$88,BD149+BC150-BL149)))</f>
        <v>287.40000000000009</v>
      </c>
      <c r="BE150" s="14">
        <f>BD150*VLOOKUP('Données projet'!$B$11,Paramètres!$A$1:$I$89,3,0)*VLOOKUP('Données projet'!$B$11,Paramètres!$A$1:$I$89,5,0)</f>
        <v>291.42360000000008</v>
      </c>
      <c r="BF150" s="14">
        <f t="shared" si="145"/>
        <v>69.375496841482232</v>
      </c>
      <c r="BG150" s="22">
        <f t="shared" si="115"/>
        <v>628.3917603322484</v>
      </c>
      <c r="BH150" s="62">
        <f t="shared" si="116"/>
        <v>921.72509366558165</v>
      </c>
      <c r="BI150" s="62">
        <f ca="1">AVERAGE(OFFSET($BH$3,0,0,'Données projet'!$E$11+1,1))-AVERAGE(OFFSET($H$3,0,0,'Données projet'!$E$11+1,1))</f>
        <v>234.66244049825644</v>
      </c>
      <c r="BJ150" s="62">
        <f t="shared" si="146"/>
        <v>87.037318032671465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49.56084123851511</v>
      </c>
      <c r="BQ150" s="23">
        <f>EXP(-LN(2)/25)*BQ149+(1-EXP(-LN(2)/25))/(LN(2)/25)*Calculateur!BL150*Calculateur!BN150*VLOOKUP('Données projet'!$B$11,Paramètres!$A$1:$I$89,3,0)*0.475*44/12</f>
        <v>2.5305312142791658</v>
      </c>
      <c r="BR150" s="23">
        <f>EXP(-LN(2)/2)*BR149+(1-EXP(-LN(2)/2))/(LN(2)/2)*BL150*BO150*VLOOKUP('Données projet'!$B$11,Paramètres!$A$1:$I$89,3,0)*0.475*44/12</f>
        <v>0.10213440853065198</v>
      </c>
      <c r="BS150" s="24">
        <f t="shared" si="117"/>
        <v>52.193506861324927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395.00000000000017</v>
      </c>
      <c r="O151" s="14">
        <f>N151*VLOOKUP('Données projet'!$B$9,Paramètres!$A$1:$I$89,3,0)*VLOOKUP('Données projet'!$B$9,Paramètres!$A$1:$I$89,5,0)</f>
        <v>236.21000000000009</v>
      </c>
      <c r="P151" s="14">
        <f t="shared" si="141"/>
        <v>57.62333963053878</v>
      </c>
      <c r="Q151" s="22">
        <f t="shared" si="108"/>
        <v>511.75973318985524</v>
      </c>
      <c r="R151" s="62">
        <f t="shared" si="109"/>
        <v>805.09306652318855</v>
      </c>
      <c r="S151" s="62">
        <f ca="1">AVERAGE(OFFSET($R$3,0,0,'Données projet'!$E$9+1,1))-AVERAGE(OFFSET($H$3,0,0,'Données projet'!$E$9+1,1))</f>
        <v>217.62295992724461</v>
      </c>
      <c r="T151" s="62">
        <f t="shared" si="142"/>
        <v>198.62788037979772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6.7617047905960401</v>
      </c>
      <c r="AA151" s="23">
        <f>EXP(-LN(2)/25)*AA150+(1-EXP(-LN(2)/25))/(LN(2)/25)*Calculateur!V151*Calculateur!X151*VLOOKUP('Données projet'!$B$9,Paramètres!$A$1:$I$89,3,0)*0.475*44/12</f>
        <v>0.57512262255417135</v>
      </c>
      <c r="AB151" s="23">
        <f>EXP(-LN(2)/2)*AB150+(1-EXP(-LN(2)/2))/(LN(2)/2)*V151*Y151*VLOOKUP('Données projet'!$B$9,Paramètres!$A$1:$I$89,3,0)*0.475*44/12</f>
        <v>1.1313253785135963E-13</v>
      </c>
      <c r="AC151" s="24">
        <f t="shared" si="111"/>
        <v>7.3368274131503242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1.5961632016114892E-13</v>
      </c>
      <c r="AK151" s="14">
        <f t="shared" si="143"/>
        <v>2.2708641912150958E-12</v>
      </c>
      <c r="AL151" s="22">
        <f t="shared" si="112"/>
        <v>4.2330868906469593E-12</v>
      </c>
      <c r="AM151" s="62">
        <f t="shared" si="113"/>
        <v>293.33333333333752</v>
      </c>
      <c r="AN151" s="62">
        <f ca="1">AVERAGE(OFFSET($AM$3,0,0,'Données projet'!$E$10+1,1))-AVERAGE(OFFSET($H$3,0,0,'Données projet'!$E$10+1,1))</f>
        <v>201.92726874818067</v>
      </c>
      <c r="AO151" s="62">
        <f t="shared" si="144"/>
        <v>197.16147791248727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64.882824257504566</v>
      </c>
      <c r="AV151" s="23">
        <f>EXP(-LN(2)/25)*AV150+(1-EXP(-LN(2)/25))/(LN(2)/25)*Calculateur!AQ151*Calculateur!AS151*VLOOKUP('Données projet'!$B$10,Paramètres!$A$1:$I$89,3,0)*0.475*44/12</f>
        <v>18.741169507265543</v>
      </c>
      <c r="AW151" s="23">
        <f>EXP(-LN(2)/2)*AW150+(1-EXP(-LN(2)/2))/(LN(2)/2)*AQ151*AT151*VLOOKUP('Données projet'!$B$10,Paramètres!$A$1:$I$89,3,0)*0.475*44/12</f>
        <v>5.176577890339737E-6</v>
      </c>
      <c r="AX151" s="23">
        <f t="shared" si="114"/>
        <v>83.623998941347992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>
        <f>VLOOKUP(A151,'Données projet'!$A$87:$I$107,2,0)</f>
        <v>293</v>
      </c>
      <c r="BB151" s="13">
        <f>VLOOKUP(A151,'Données projet'!$A$87:$I$107,9,0)</f>
        <v>5.6</v>
      </c>
      <c r="BC151" s="13">
        <f t="array" ref="BC151">INDEX(BB:BB,MIN(IF(ISNUMBER(BB151:BB347),ROW(BB151:BB347),"")))</f>
        <v>5.6</v>
      </c>
      <c r="BD151" s="13">
        <f>IF('Données projet'!$A$88&gt;35,BD150+BC151-BL150,IF(A151&lt;'Données projet'!$A$88,$BA$205^A151,IF(A151='Données projet'!$A$88,'Données projet'!$B$88,BD150+BC151-BL150)))</f>
        <v>293.00000000000011</v>
      </c>
      <c r="BE151" s="14">
        <f>BD151*VLOOKUP('Données projet'!$B$11,Paramètres!$A$1:$I$89,3,0)*VLOOKUP('Données projet'!$B$11,Paramètres!$A$1:$I$89,5,0)</f>
        <v>297.10200000000015</v>
      </c>
      <c r="BF151" s="14">
        <f t="shared" si="145"/>
        <v>70.568588566272823</v>
      </c>
      <c r="BG151" s="22">
        <f t="shared" si="115"/>
        <v>640.35960841959206</v>
      </c>
      <c r="BH151" s="62">
        <f t="shared" si="116"/>
        <v>933.69294175292544</v>
      </c>
      <c r="BI151" s="62">
        <f ca="1">AVERAGE(OFFSET($BH$3,0,0,'Données projet'!$E$11+1,1))-AVERAGE(OFFSET($H$3,0,0,'Données projet'!$E$11+1,1))</f>
        <v>234.66244049825644</v>
      </c>
      <c r="BJ151" s="62">
        <f t="shared" si="146"/>
        <v>87.037318032671465</v>
      </c>
      <c r="BK151" s="16">
        <f>IF(ISNA(VLOOKUP(A151,'Données projet'!$A$87:$I$107,3,0)),0,VLOOKUP(A151,'Données projet'!$A$87:$I$107,3,0))</f>
        <v>11</v>
      </c>
      <c r="BL151" s="16">
        <f>IF(ISNA(VLOOKUP(A151,'Données projet'!$A$87:$I$107,4,0)),0,VLOOKUP(A151,'Données projet'!$A$87:$I$107,4,0))</f>
        <v>41</v>
      </c>
      <c r="BM151" s="17">
        <f>IF(ISNA(VLOOKUP(A151,'Données projet'!$A$87:$I$107,5,0)),0%,VLOOKUP(A151,'Données projet'!$A$87:$I$107,5,0)*VLOOKUP('Données projet'!$B$11,Paramètres!$A$1:$I$89,7,0))</f>
        <v>0.34400000000000003</v>
      </c>
      <c r="BN151" s="17">
        <f>IF(ISNA(VLOOKUP(A151,'Données projet'!$A$87:$I$107,6,0)),0%,VLOOKUP(A151,'Données projet'!$A$87:$I$107,6,0)*VLOOKUP('Données projet'!$B$11,Paramètres!$A$1:$I$89,7,0))</f>
        <v>1.72E-2</v>
      </c>
      <c r="BO151" s="17">
        <f>IF(ISNA(VLOOKUP(A151,'Données projet'!$A$87:$I$107,7,0)),0%,VLOOKUP(A151,'Données projet'!$A$87:$I$107,7,0))</f>
        <v>0.06</v>
      </c>
      <c r="BP151" s="23">
        <f>EXP(-LN(2)/35)*BP150+(1-EXP(-LN(2)/35))/(LN(2)/35)*BL151*BM151*VLOOKUP('Données projet'!$B$11,Paramètres!$A$1:$I$89,3,0)*0.475*44/12</f>
        <v>64.398819363149897</v>
      </c>
      <c r="BQ151" s="23">
        <f>EXP(-LN(2)/25)*BQ150+(1-EXP(-LN(2)/25))/(LN(2)/25)*Calculateur!BL151*Calculateur!BN151*VLOOKUP('Données projet'!$B$11,Paramètres!$A$1:$I$89,3,0)*0.475*44/12</f>
        <v>3.2487130373434856</v>
      </c>
      <c r="BR151" s="23">
        <f>EXP(-LN(2)/2)*BR150+(1-EXP(-LN(2)/2))/(LN(2)/2)*BL151*BO151*VLOOKUP('Données projet'!$B$11,Paramètres!$A$1:$I$89,3,0)*0.475*44/12</f>
        <v>2.4257912097327656</v>
      </c>
      <c r="BS151" s="24">
        <f t="shared" si="117"/>
        <v>70.073323610226154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395.00000000000017</v>
      </c>
      <c r="O152" s="14">
        <f>N152*VLOOKUP('Données projet'!$B$9,Paramètres!$A$1:$I$89,3,0)*VLOOKUP('Données projet'!$B$9,Paramètres!$A$1:$I$89,5,0)</f>
        <v>236.21000000000009</v>
      </c>
      <c r="P152" s="14">
        <f t="shared" si="141"/>
        <v>57.62333963053878</v>
      </c>
      <c r="Q152" s="22">
        <f t="shared" si="108"/>
        <v>511.75973318985524</v>
      </c>
      <c r="R152" s="62">
        <f t="shared" si="109"/>
        <v>805.09306652318855</v>
      </c>
      <c r="S152" s="62">
        <f ca="1">AVERAGE(OFFSET($R$3,0,0,'Données projet'!$E$9+1,1))-AVERAGE(OFFSET($H$3,0,0,'Données projet'!$E$9+1,1))</f>
        <v>217.62295992724461</v>
      </c>
      <c r="T152" s="62">
        <f t="shared" si="142"/>
        <v>198.62788037979772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6.6291118838851402</v>
      </c>
      <c r="AA152" s="23">
        <f>EXP(-LN(2)/25)*AA151+(1-EXP(-LN(2)/25))/(LN(2)/25)*Calculateur!V152*Calculateur!X152*VLOOKUP('Données projet'!$B$9,Paramètres!$A$1:$I$89,3,0)*0.475*44/12</f>
        <v>0.55939586419604326</v>
      </c>
      <c r="AB152" s="23">
        <f>EXP(-LN(2)/2)*AB151+(1-EXP(-LN(2)/2))/(LN(2)/2)*V152*Y152*VLOOKUP('Données projet'!$B$9,Paramètres!$A$1:$I$89,3,0)*0.475*44/12</f>
        <v>7.9996784687540164E-14</v>
      </c>
      <c r="AC152" s="24">
        <f t="shared" si="111"/>
        <v>7.1885077480812631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1.5961632016114892E-13</v>
      </c>
      <c r="AK152" s="14">
        <f t="shared" si="143"/>
        <v>2.2708641912150958E-12</v>
      </c>
      <c r="AL152" s="22">
        <f t="shared" si="112"/>
        <v>4.2330868906469593E-12</v>
      </c>
      <c r="AM152" s="62">
        <f t="shared" si="113"/>
        <v>293.33333333333752</v>
      </c>
      <c r="AN152" s="62">
        <f ca="1">AVERAGE(OFFSET($AM$3,0,0,'Données projet'!$E$10+1,1))-AVERAGE(OFFSET($H$3,0,0,'Données projet'!$E$10+1,1))</f>
        <v>201.92726874818067</v>
      </c>
      <c r="AO152" s="62">
        <f t="shared" si="144"/>
        <v>197.16147791248727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63.610511648430027</v>
      </c>
      <c r="AV152" s="23">
        <f>EXP(-LN(2)/25)*AV151+(1-EXP(-LN(2)/25))/(LN(2)/25)*Calculateur!AQ152*Calculateur!AS152*VLOOKUP('Données projet'!$B$10,Paramètres!$A$1:$I$89,3,0)*0.475*44/12</f>
        <v>18.228691241534097</v>
      </c>
      <c r="AW152" s="23">
        <f>EXP(-LN(2)/2)*AW151+(1-EXP(-LN(2)/2))/(LN(2)/2)*AQ152*AT152*VLOOKUP('Données projet'!$B$10,Paramètres!$A$1:$I$89,3,0)*0.475*44/12</f>
        <v>3.6603933295995803E-6</v>
      </c>
      <c r="AX152" s="23">
        <f t="shared" si="114"/>
        <v>81.83920655035746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5.8</v>
      </c>
      <c r="BD152" s="13">
        <f>IF('Données projet'!$A$88&gt;35,BD151+BC152-BL151,IF(A152&lt;'Données projet'!$A$88,$BA$205^A152,IF(A152='Données projet'!$A$88,'Données projet'!$B$88,BD151+BC152-BL151)))</f>
        <v>257.80000000000013</v>
      </c>
      <c r="BE152" s="14">
        <f>BD152*VLOOKUP('Données projet'!$B$11,Paramètres!$A$1:$I$89,3,0)*VLOOKUP('Données projet'!$B$11,Paramètres!$A$1:$I$89,5,0)</f>
        <v>261.40920000000011</v>
      </c>
      <c r="BF152" s="14">
        <f t="shared" si="145"/>
        <v>63.022667885185157</v>
      </c>
      <c r="BG152" s="22">
        <f t="shared" si="115"/>
        <v>565.052169900031</v>
      </c>
      <c r="BH152" s="62">
        <f t="shared" si="116"/>
        <v>858.38550323336426</v>
      </c>
      <c r="BI152" s="62">
        <f ca="1">AVERAGE(OFFSET($BH$3,0,0,'Données projet'!$E$11+1,1))-AVERAGE(OFFSET($H$3,0,0,'Données projet'!$E$11+1,1))</f>
        <v>234.66244049825644</v>
      </c>
      <c r="BJ152" s="62">
        <f t="shared" si="146"/>
        <v>87.037318032671465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63.135997794839824</v>
      </c>
      <c r="BQ152" s="23">
        <f>EXP(-LN(2)/25)*BQ151+(1-EXP(-LN(2)/25))/(LN(2)/25)*Calculateur!BL152*Calculateur!BN152*VLOOKUP('Données projet'!$B$11,Paramètres!$A$1:$I$89,3,0)*0.475*44/12</f>
        <v>3.1598768084949342</v>
      </c>
      <c r="BR152" s="23">
        <f>EXP(-LN(2)/2)*BR151+(1-EXP(-LN(2)/2))/(LN(2)/2)*BL152*BO152*VLOOKUP('Données projet'!$B$11,Paramètres!$A$1:$I$89,3,0)*0.475*44/12</f>
        <v>1.7152934141447573</v>
      </c>
      <c r="BS152" s="24">
        <f t="shared" si="117"/>
        <v>68.011168017479505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395.00000000000017</v>
      </c>
      <c r="O153" s="14">
        <f>N153*VLOOKUP('Données projet'!$B$9,Paramètres!$A$1:$I$89,3,0)*VLOOKUP('Données projet'!$B$9,Paramètres!$A$1:$I$89,5,0)</f>
        <v>236.21000000000009</v>
      </c>
      <c r="P153" s="14">
        <f t="shared" si="141"/>
        <v>57.62333963053878</v>
      </c>
      <c r="Q153" s="22">
        <f t="shared" si="108"/>
        <v>511.75973318985524</v>
      </c>
      <c r="R153" s="62">
        <f t="shared" si="109"/>
        <v>805.09306652318855</v>
      </c>
      <c r="S153" s="62">
        <f ca="1">AVERAGE(OFFSET($R$3,0,0,'Données projet'!$E$9+1,1))-AVERAGE(OFFSET($H$3,0,0,'Données projet'!$E$9+1,1))</f>
        <v>217.62295992724461</v>
      </c>
      <c r="T153" s="62">
        <f t="shared" si="142"/>
        <v>198.62788037979772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6.4991190432011532</v>
      </c>
      <c r="AA153" s="23">
        <f>EXP(-LN(2)/25)*AA152+(1-EXP(-LN(2)/25))/(LN(2)/25)*Calculateur!V153*Calculateur!X153*VLOOKUP('Données projet'!$B$9,Paramètres!$A$1:$I$89,3,0)*0.475*44/12</f>
        <v>0.54409915487225247</v>
      </c>
      <c r="AB153" s="23">
        <f>EXP(-LN(2)/2)*AB152+(1-EXP(-LN(2)/2))/(LN(2)/2)*V153*Y153*VLOOKUP('Données projet'!$B$9,Paramètres!$A$1:$I$89,3,0)*0.475*44/12</f>
        <v>5.6566268925679819E-14</v>
      </c>
      <c r="AC153" s="24">
        <f t="shared" si="111"/>
        <v>7.0432181980734629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1.5961632016114892E-13</v>
      </c>
      <c r="AK153" s="14">
        <f t="shared" si="143"/>
        <v>2.2708641912150958E-12</v>
      </c>
      <c r="AL153" s="22">
        <f t="shared" si="112"/>
        <v>4.2330868906469593E-12</v>
      </c>
      <c r="AM153" s="62">
        <f t="shared" si="113"/>
        <v>293.33333333333752</v>
      </c>
      <c r="AN153" s="62">
        <f ca="1">AVERAGE(OFFSET($AM$3,0,0,'Données projet'!$E$10+1,1))-AVERAGE(OFFSET($H$3,0,0,'Données projet'!$E$10+1,1))</f>
        <v>201.92726874818067</v>
      </c>
      <c r="AO153" s="62">
        <f t="shared" si="144"/>
        <v>197.16147791248727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62.363148313585377</v>
      </c>
      <c r="AV153" s="23">
        <f>EXP(-LN(2)/25)*AV152+(1-EXP(-LN(2)/25))/(LN(2)/25)*Calculateur!AQ153*Calculateur!AS153*VLOOKUP('Données projet'!$B$10,Paramètres!$A$1:$I$89,3,0)*0.475*44/12</f>
        <v>17.730226720929139</v>
      </c>
      <c r="AW153" s="23">
        <f>EXP(-LN(2)/2)*AW152+(1-EXP(-LN(2)/2))/(LN(2)/2)*AQ153*AT153*VLOOKUP('Données projet'!$B$10,Paramètres!$A$1:$I$89,3,0)*0.475*44/12</f>
        <v>2.5882889451698685E-6</v>
      </c>
      <c r="AX153" s="23">
        <f t="shared" si="114"/>
        <v>80.093377622803459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5.8</v>
      </c>
      <c r="BD153" s="13">
        <f>IF('Données projet'!$A$88&gt;35,BD152+BC153-BL152,IF(A153&lt;'Données projet'!$A$88,$BA$205^A153,IF(A153='Données projet'!$A$88,'Données projet'!$B$88,BD152+BC153-BL152)))</f>
        <v>263.60000000000014</v>
      </c>
      <c r="BE153" s="14">
        <f>BD153*VLOOKUP('Données projet'!$B$11,Paramètres!$A$1:$I$89,3,0)*VLOOKUP('Données projet'!$B$11,Paramètres!$A$1:$I$89,5,0)</f>
        <v>267.29040000000015</v>
      </c>
      <c r="BF153" s="14">
        <f t="shared" si="145"/>
        <v>64.273886654661382</v>
      </c>
      <c r="BG153" s="22">
        <f t="shared" si="115"/>
        <v>577.4744659235356</v>
      </c>
      <c r="BH153" s="62">
        <f t="shared" si="116"/>
        <v>870.80779925686898</v>
      </c>
      <c r="BI153" s="62">
        <f ca="1">AVERAGE(OFFSET($BH$3,0,0,'Données projet'!$E$11+1,1))-AVERAGE(OFFSET($H$3,0,0,'Données projet'!$E$11+1,1))</f>
        <v>234.66244049825644</v>
      </c>
      <c r="BJ153" s="62">
        <f t="shared" si="146"/>
        <v>87.037318032671465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61.897939387239205</v>
      </c>
      <c r="BQ153" s="23">
        <f>EXP(-LN(2)/25)*BQ152+(1-EXP(-LN(2)/25))/(LN(2)/25)*Calculateur!BL153*Calculateur!BN153*VLOOKUP('Données projet'!$B$11,Paramètres!$A$1:$I$89,3,0)*0.475*44/12</f>
        <v>3.0734698109959409</v>
      </c>
      <c r="BR153" s="23">
        <f>EXP(-LN(2)/2)*BR152+(1-EXP(-LN(2)/2))/(LN(2)/2)*BL153*BO153*VLOOKUP('Données projet'!$B$11,Paramètres!$A$1:$I$89,3,0)*0.475*44/12</f>
        <v>1.212895604866383</v>
      </c>
      <c r="BS153" s="24">
        <f t="shared" si="117"/>
        <v>66.18430480310154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395.00000000000017</v>
      </c>
      <c r="O154" s="14">
        <f>N154*VLOOKUP('Données projet'!$B$9,Paramètres!$A$1:$I$89,3,0)*VLOOKUP('Données projet'!$B$9,Paramètres!$A$1:$I$89,5,0)</f>
        <v>236.21000000000009</v>
      </c>
      <c r="P154" s="14">
        <f t="shared" si="141"/>
        <v>57.62333963053878</v>
      </c>
      <c r="Q154" s="22">
        <f t="shared" ref="Q154:Q203" si="162">(O154+P154)*0.475*44/12</f>
        <v>511.75973318985524</v>
      </c>
      <c r="R154" s="62">
        <f t="shared" si="109"/>
        <v>805.09306652318855</v>
      </c>
      <c r="S154" s="62">
        <f ca="1">AVERAGE(OFFSET($R$3,0,0,'Données projet'!$E$9+1,1))-AVERAGE(OFFSET($H$3,0,0,'Données projet'!$E$9+1,1))</f>
        <v>217.62295992724461</v>
      </c>
      <c r="T154" s="62">
        <f t="shared" si="142"/>
        <v>198.62788037979772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6.3716752828351755</v>
      </c>
      <c r="AA154" s="23">
        <f>EXP(-LN(2)/25)*AA153+(1-EXP(-LN(2)/25))/(LN(2)/25)*Calculateur!V154*Calculateur!X154*VLOOKUP('Données projet'!$B$9,Paramètres!$A$1:$I$89,3,0)*0.475*44/12</f>
        <v>0.52922073486933974</v>
      </c>
      <c r="AB154" s="23">
        <f>EXP(-LN(2)/2)*AB153+(1-EXP(-LN(2)/2))/(LN(2)/2)*V154*Y154*VLOOKUP('Données projet'!$B$9,Paramètres!$A$1:$I$89,3,0)*0.475*44/12</f>
        <v>3.9998392343770088E-14</v>
      </c>
      <c r="AC154" s="24">
        <f t="shared" ref="AC154:AC203" si="163">SUM(Z154:AB154)</f>
        <v>6.9008960177045555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1.5961632016114892E-13</v>
      </c>
      <c r="AK154" s="14">
        <f t="shared" ref="AK154:AK203" si="164">EXP(-1.0587+0.8836*LN(AJ154)+0.284)</f>
        <v>2.2708641912150958E-12</v>
      </c>
      <c r="AL154" s="22">
        <f t="shared" ref="AL154:AL203" si="165">(AJ154+AK154)*0.475*44/12</f>
        <v>4.2330868906469593E-12</v>
      </c>
      <c r="AM154" s="62">
        <f t="shared" si="113"/>
        <v>293.33333333333752</v>
      </c>
      <c r="AN154" s="62">
        <f ca="1">AVERAGE(OFFSET($AM$3,0,0,'Données projet'!$E$10+1,1))-AVERAGE(OFFSET($H$3,0,0,'Données projet'!$E$10+1,1))</f>
        <v>201.92726874818067</v>
      </c>
      <c r="AO154" s="62">
        <f t="shared" si="144"/>
        <v>197.16147791248727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61.140245012920523</v>
      </c>
      <c r="AV154" s="23">
        <f>EXP(-LN(2)/25)*AV153+(1-EXP(-LN(2)/25))/(LN(2)/25)*Calculateur!AQ154*Calculateur!AS154*VLOOKUP('Données projet'!$B$10,Paramètres!$A$1:$I$89,3,0)*0.475*44/12</f>
        <v>17.24539273885323</v>
      </c>
      <c r="AW154" s="23">
        <f>EXP(-LN(2)/2)*AW153+(1-EXP(-LN(2)/2))/(LN(2)/2)*AQ154*AT154*VLOOKUP('Données projet'!$B$10,Paramètres!$A$1:$I$89,3,0)*0.475*44/12</f>
        <v>1.8301966647997901E-6</v>
      </c>
      <c r="AX154" s="23">
        <f t="shared" ref="AX154:AX203" si="166">SUM(AU154:AW154)</f>
        <v>78.385639581970423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5.8</v>
      </c>
      <c r="BD154" s="13">
        <f>IF('Données projet'!$A$88&gt;35,BD153+BC154-BL153,IF(A154&lt;'Données projet'!$A$88,$BA$205^A154,IF(A154='Données projet'!$A$88,'Données projet'!$B$88,BD153+BC154-BL153)))</f>
        <v>269.40000000000015</v>
      </c>
      <c r="BE154" s="14">
        <f>BD154*VLOOKUP('Données projet'!$B$11,Paramètres!$A$1:$I$89,3,0)*VLOOKUP('Données projet'!$B$11,Paramètres!$A$1:$I$89,5,0)</f>
        <v>273.17160000000018</v>
      </c>
      <c r="BF154" s="14">
        <f t="shared" ref="BF154:BF203" si="167">EXP(-1.0587+0.8836*LN(BE154)+0.284)</f>
        <v>65.521904688314393</v>
      </c>
      <c r="BG154" s="22">
        <f t="shared" ref="BG154:BG203" si="168">(BE154+BF154)*0.475*44/12</f>
        <v>589.89118733214787</v>
      </c>
      <c r="BH154" s="62">
        <f t="shared" si="116"/>
        <v>883.22452066548112</v>
      </c>
      <c r="BI154" s="62">
        <f ca="1">AVERAGE(OFFSET($BH$3,0,0,'Données projet'!$E$11+1,1))-AVERAGE(OFFSET($H$3,0,0,'Données projet'!$E$11+1,1))</f>
        <v>234.66244049825644</v>
      </c>
      <c r="BJ154" s="62">
        <f t="shared" si="146"/>
        <v>87.037318032671465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60.684158549870574</v>
      </c>
      <c r="BQ154" s="23">
        <f>EXP(-LN(2)/25)*BQ153+(1-EXP(-LN(2)/25))/(LN(2)/25)*Calculateur!BL154*Calculateur!BN154*VLOOKUP('Données projet'!$B$11,Paramètres!$A$1:$I$89,3,0)*0.475*44/12</f>
        <v>2.989425617387504</v>
      </c>
      <c r="BR154" s="23">
        <f>EXP(-LN(2)/2)*BR153+(1-EXP(-LN(2)/2))/(LN(2)/2)*BL154*BO154*VLOOKUP('Données projet'!$B$11,Paramètres!$A$1:$I$89,3,0)*0.475*44/12</f>
        <v>0.85764670707237878</v>
      </c>
      <c r="BS154" s="24">
        <f t="shared" ref="BS154:BS203" si="169">SUM(BP154:BR154)</f>
        <v>64.531230874330461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395.00000000000017</v>
      </c>
      <c r="O155" s="14">
        <f>N155*VLOOKUP('Données projet'!$B$9,Paramètres!$A$1:$I$89,3,0)*VLOOKUP('Données projet'!$B$9,Paramètres!$A$1:$I$89,5,0)</f>
        <v>236.21000000000009</v>
      </c>
      <c r="P155" s="14">
        <f t="shared" si="141"/>
        <v>57.62333963053878</v>
      </c>
      <c r="Q155" s="22">
        <f t="shared" si="162"/>
        <v>511.75973318985524</v>
      </c>
      <c r="R155" s="62">
        <f t="shared" si="109"/>
        <v>805.09306652318855</v>
      </c>
      <c r="S155" s="62">
        <f ca="1">AVERAGE(OFFSET($R$3,0,0,'Données projet'!$E$9+1,1))-AVERAGE(OFFSET($H$3,0,0,'Données projet'!$E$9+1,1))</f>
        <v>217.62295992724461</v>
      </c>
      <c r="T155" s="62">
        <f t="shared" si="142"/>
        <v>198.62788037979772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6.2467306168769561</v>
      </c>
      <c r="AA155" s="23">
        <f>EXP(-LN(2)/25)*AA154+(1-EXP(-LN(2)/25))/(LN(2)/25)*Calculateur!V155*Calculateur!X155*VLOOKUP('Données projet'!$B$9,Paramètres!$A$1:$I$89,3,0)*0.475*44/12</f>
        <v>0.5147491660438287</v>
      </c>
      <c r="AB155" s="23">
        <f>EXP(-LN(2)/2)*AB154+(1-EXP(-LN(2)/2))/(LN(2)/2)*V155*Y155*VLOOKUP('Données projet'!$B$9,Paramètres!$A$1:$I$89,3,0)*0.475*44/12</f>
        <v>2.8283134462839916E-14</v>
      </c>
      <c r="AC155" s="24">
        <f t="shared" si="163"/>
        <v>6.7614797829208131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1.5961632016114892E-13</v>
      </c>
      <c r="AK155" s="14">
        <f t="shared" si="164"/>
        <v>2.2708641912150958E-12</v>
      </c>
      <c r="AL155" s="22">
        <f t="shared" si="165"/>
        <v>4.2330868906469593E-12</v>
      </c>
      <c r="AM155" s="62">
        <f t="shared" si="113"/>
        <v>293.33333333333752</v>
      </c>
      <c r="AN155" s="62">
        <f ca="1">AVERAGE(OFFSET($AM$3,0,0,'Données projet'!$E$10+1,1))-AVERAGE(OFFSET($H$3,0,0,'Données projet'!$E$10+1,1))</f>
        <v>201.92726874818067</v>
      </c>
      <c r="AO155" s="62">
        <f t="shared" si="144"/>
        <v>197.16147791248727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59.941322100084342</v>
      </c>
      <c r="AV155" s="23">
        <f>EXP(-LN(2)/25)*AV154+(1-EXP(-LN(2)/25))/(LN(2)/25)*Calculateur!AQ155*Calculateur!AS155*VLOOKUP('Données projet'!$B$10,Paramètres!$A$1:$I$89,3,0)*0.475*44/12</f>
        <v>16.773816567513499</v>
      </c>
      <c r="AW155" s="23">
        <f>EXP(-LN(2)/2)*AW154+(1-EXP(-LN(2)/2))/(LN(2)/2)*AQ155*AT155*VLOOKUP('Données projet'!$B$10,Paramètres!$A$1:$I$89,3,0)*0.475*44/12</f>
        <v>1.2941444725849343E-6</v>
      </c>
      <c r="AX155" s="23">
        <f t="shared" si="166"/>
        <v>76.71513996174231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5.8</v>
      </c>
      <c r="BD155" s="13">
        <f>IF('Données projet'!$A$88&gt;35,BD154+BC155-BL154,IF(A155&lt;'Données projet'!$A$88,$BA$205^A155,IF(A155='Données projet'!$A$88,'Données projet'!$B$88,BD154+BC155-BL154)))</f>
        <v>275.20000000000016</v>
      </c>
      <c r="BE155" s="14">
        <f>BD155*VLOOKUP('Données projet'!$B$11,Paramètres!$A$1:$I$89,3,0)*VLOOKUP('Données projet'!$B$11,Paramètres!$A$1:$I$89,5,0)</f>
        <v>279.05280000000016</v>
      </c>
      <c r="BF155" s="14">
        <f t="shared" si="167"/>
        <v>66.766798832586389</v>
      </c>
      <c r="BG155" s="22">
        <f t="shared" si="168"/>
        <v>602.30246796675488</v>
      </c>
      <c r="BH155" s="62">
        <f t="shared" si="116"/>
        <v>895.63580130008813</v>
      </c>
      <c r="BI155" s="62">
        <f ca="1">AVERAGE(OFFSET($BH$3,0,0,'Données projet'!$E$11+1,1))-AVERAGE(OFFSET($H$3,0,0,'Données projet'!$E$11+1,1))</f>
        <v>234.66244049825644</v>
      </c>
      <c r="BJ155" s="62">
        <f t="shared" si="146"/>
        <v>87.037318032671465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59.494179214389533</v>
      </c>
      <c r="BQ155" s="23">
        <f>EXP(-LN(2)/25)*BQ154+(1-EXP(-LN(2)/25))/(LN(2)/25)*Calculateur!BL155*Calculateur!BN155*VLOOKUP('Données projet'!$B$11,Paramètres!$A$1:$I$89,3,0)*0.475*44/12</f>
        <v>2.9076796166729819</v>
      </c>
      <c r="BR155" s="23">
        <f>EXP(-LN(2)/2)*BR154+(1-EXP(-LN(2)/2))/(LN(2)/2)*BL155*BO155*VLOOKUP('Données projet'!$B$11,Paramètres!$A$1:$I$89,3,0)*0.475*44/12</f>
        <v>0.60644780243319163</v>
      </c>
      <c r="BS155" s="24">
        <f t="shared" si="169"/>
        <v>63.008306633495707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395.00000000000017</v>
      </c>
      <c r="O156" s="14">
        <f>N156*VLOOKUP('Données projet'!$B$9,Paramètres!$A$1:$I$89,3,0)*VLOOKUP('Données projet'!$B$9,Paramètres!$A$1:$I$89,5,0)</f>
        <v>236.21000000000009</v>
      </c>
      <c r="P156" s="14">
        <f t="shared" si="141"/>
        <v>57.62333963053878</v>
      </c>
      <c r="Q156" s="22">
        <f t="shared" si="162"/>
        <v>511.75973318985524</v>
      </c>
      <c r="R156" s="62">
        <f t="shared" si="109"/>
        <v>805.09306652318855</v>
      </c>
      <c r="S156" s="62">
        <f ca="1">AVERAGE(OFFSET($R$3,0,0,'Données projet'!$E$9+1,1))-AVERAGE(OFFSET($H$3,0,0,'Données projet'!$E$9+1,1))</f>
        <v>217.62295992724461</v>
      </c>
      <c r="T156" s="62">
        <f t="shared" si="142"/>
        <v>198.62788037979772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6.124236039609456</v>
      </c>
      <c r="AA156" s="23">
        <f>EXP(-LN(2)/25)*AA155+(1-EXP(-LN(2)/25))/(LN(2)/25)*Calculateur!V156*Calculateur!X156*VLOOKUP('Données projet'!$B$9,Paramètres!$A$1:$I$89,3,0)*0.475*44/12</f>
        <v>0.50067332302887801</v>
      </c>
      <c r="AB156" s="23">
        <f>EXP(-LN(2)/2)*AB155+(1-EXP(-LN(2)/2))/(LN(2)/2)*V156*Y156*VLOOKUP('Données projet'!$B$9,Paramètres!$A$1:$I$89,3,0)*0.475*44/12</f>
        <v>1.9999196171885047E-14</v>
      </c>
      <c r="AC156" s="24">
        <f t="shared" si="163"/>
        <v>6.6249093626383546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1.5961632016114892E-13</v>
      </c>
      <c r="AK156" s="14">
        <f t="shared" si="164"/>
        <v>2.2708641912150958E-12</v>
      </c>
      <c r="AL156" s="22">
        <f t="shared" si="165"/>
        <v>4.2330868906469593E-12</v>
      </c>
      <c r="AM156" s="62">
        <f t="shared" si="113"/>
        <v>293.33333333333752</v>
      </c>
      <c r="AN156" s="62">
        <f ca="1">AVERAGE(OFFSET($AM$3,0,0,'Données projet'!$E$10+1,1))-AVERAGE(OFFSET($H$3,0,0,'Données projet'!$E$10+1,1))</f>
        <v>201.92726874818067</v>
      </c>
      <c r="AO156" s="62">
        <f t="shared" si="144"/>
        <v>197.16147791248727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58.765909334298108</v>
      </c>
      <c r="AV156" s="23">
        <f>EXP(-LN(2)/25)*AV155+(1-EXP(-LN(2)/25))/(LN(2)/25)*Calculateur!AQ156*Calculateur!AS156*VLOOKUP('Données projet'!$B$10,Paramètres!$A$1:$I$89,3,0)*0.475*44/12</f>
        <v>16.315135671378165</v>
      </c>
      <c r="AW156" s="23">
        <f>EXP(-LN(2)/2)*AW155+(1-EXP(-LN(2)/2))/(LN(2)/2)*AQ156*AT156*VLOOKUP('Données projet'!$B$10,Paramètres!$A$1:$I$89,3,0)*0.475*44/12</f>
        <v>9.1509833239989507E-7</v>
      </c>
      <c r="AX156" s="23">
        <f t="shared" si="166"/>
        <v>75.081045920774599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5.8</v>
      </c>
      <c r="BD156" s="13">
        <f>IF('Données projet'!$A$88&gt;35,BD155+BC156-BL155,IF(A156&lt;'Données projet'!$A$88,$BA$205^A156,IF(A156='Données projet'!$A$88,'Données projet'!$B$88,BD155+BC156-BL155)))</f>
        <v>281.00000000000017</v>
      </c>
      <c r="BE156" s="14">
        <f>BD156*VLOOKUP('Données projet'!$B$11,Paramètres!$A$1:$I$89,3,0)*VLOOKUP('Données projet'!$B$11,Paramètres!$A$1:$I$89,5,0)</f>
        <v>284.9340000000002</v>
      </c>
      <c r="BF156" s="14">
        <f t="shared" si="167"/>
        <v>68.008642509673351</v>
      </c>
      <c r="BG156" s="22">
        <f t="shared" si="168"/>
        <v>614.70843570434806</v>
      </c>
      <c r="BH156" s="62">
        <f t="shared" si="116"/>
        <v>908.04176903768143</v>
      </c>
      <c r="BI156" s="62">
        <f ca="1">AVERAGE(OFFSET($BH$3,0,0,'Données projet'!$E$11+1,1))-AVERAGE(OFFSET($H$3,0,0,'Données projet'!$E$11+1,1))</f>
        <v>234.66244049825644</v>
      </c>
      <c r="BJ156" s="62">
        <f t="shared" si="146"/>
        <v>87.037318032671465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58.327534647861548</v>
      </c>
      <c r="BQ156" s="23">
        <f>EXP(-LN(2)/25)*BQ155+(1-EXP(-LN(2)/25))/(LN(2)/25)*Calculateur!BL156*Calculateur!BN156*VLOOKUP('Données projet'!$B$11,Paramètres!$A$1:$I$89,3,0)*0.475*44/12</f>
        <v>2.8281689646468338</v>
      </c>
      <c r="BR156" s="23">
        <f>EXP(-LN(2)/2)*BR155+(1-EXP(-LN(2)/2))/(LN(2)/2)*BL156*BO156*VLOOKUP('Données projet'!$B$11,Paramètres!$A$1:$I$89,3,0)*0.475*44/12</f>
        <v>0.42882335353618944</v>
      </c>
      <c r="BS156" s="24">
        <f t="shared" si="169"/>
        <v>61.584526966044571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395.00000000000017</v>
      </c>
      <c r="O157" s="14">
        <f>N157*VLOOKUP('Données projet'!$B$9,Paramètres!$A$1:$I$89,3,0)*VLOOKUP('Données projet'!$B$9,Paramètres!$A$1:$I$89,5,0)</f>
        <v>236.21000000000009</v>
      </c>
      <c r="P157" s="14">
        <f t="shared" si="141"/>
        <v>57.62333963053878</v>
      </c>
      <c r="Q157" s="22">
        <f t="shared" si="162"/>
        <v>511.75973318985524</v>
      </c>
      <c r="R157" s="62">
        <f t="shared" si="109"/>
        <v>805.09306652318855</v>
      </c>
      <c r="S157" s="62">
        <f ca="1">AVERAGE(OFFSET($R$3,0,0,'Données projet'!$E$9+1,1))-AVERAGE(OFFSET($H$3,0,0,'Données projet'!$E$9+1,1))</f>
        <v>217.62295992724461</v>
      </c>
      <c r="T157" s="62">
        <f t="shared" si="142"/>
        <v>198.62788037979772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6.004143506287857</v>
      </c>
      <c r="AA157" s="23">
        <f>EXP(-LN(2)/25)*AA156+(1-EXP(-LN(2)/25))/(LN(2)/25)*Calculateur!V157*Calculateur!X157*VLOOKUP('Données projet'!$B$9,Paramètres!$A$1:$I$89,3,0)*0.475*44/12</f>
        <v>0.4869823846813876</v>
      </c>
      <c r="AB157" s="23">
        <f>EXP(-LN(2)/2)*AB156+(1-EXP(-LN(2)/2))/(LN(2)/2)*V157*Y157*VLOOKUP('Données projet'!$B$9,Paramètres!$A$1:$I$89,3,0)*0.475*44/12</f>
        <v>1.414156723141996E-14</v>
      </c>
      <c r="AC157" s="24">
        <f t="shared" si="163"/>
        <v>6.4911258909692586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1.5961632016114892E-13</v>
      </c>
      <c r="AK157" s="14">
        <f t="shared" si="164"/>
        <v>2.2708641912150958E-12</v>
      </c>
      <c r="AL157" s="22">
        <f t="shared" si="165"/>
        <v>4.2330868906469593E-12</v>
      </c>
      <c r="AM157" s="62">
        <f t="shared" si="113"/>
        <v>293.33333333333752</v>
      </c>
      <c r="AN157" s="62">
        <f ca="1">AVERAGE(OFFSET($AM$3,0,0,'Données projet'!$E$10+1,1))-AVERAGE(OFFSET($H$3,0,0,'Données projet'!$E$10+1,1))</f>
        <v>201.92726874818067</v>
      </c>
      <c r="AO157" s="62">
        <f t="shared" si="144"/>
        <v>197.16147791248727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57.613545695917949</v>
      </c>
      <c r="AV157" s="23">
        <f>EXP(-LN(2)/25)*AV156+(1-EXP(-LN(2)/25))/(LN(2)/25)*Calculateur!AQ157*Calculateur!AS157*VLOOKUP('Données projet'!$B$10,Paramètres!$A$1:$I$89,3,0)*0.475*44/12</f>
        <v>15.868997428468633</v>
      </c>
      <c r="AW157" s="23">
        <f>EXP(-LN(2)/2)*AW156+(1-EXP(-LN(2)/2))/(LN(2)/2)*AQ157*AT157*VLOOKUP('Données projet'!$B$10,Paramètres!$A$1:$I$89,3,0)*0.475*44/12</f>
        <v>6.4707223629246713E-7</v>
      </c>
      <c r="AX157" s="23">
        <f t="shared" si="166"/>
        <v>73.482543771458822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5.8</v>
      </c>
      <c r="BD157" s="13">
        <f>IF('Données projet'!$A$88&gt;35,BD156+BC157-BL156,IF(A157&lt;'Données projet'!$A$88,$BA$205^A157,IF(A157='Données projet'!$A$88,'Données projet'!$B$88,BD156+BC157-BL156)))</f>
        <v>286.80000000000018</v>
      </c>
      <c r="BE157" s="14">
        <f>BD157*VLOOKUP('Données projet'!$B$11,Paramètres!$A$1:$I$89,3,0)*VLOOKUP('Données projet'!$B$11,Paramètres!$A$1:$I$89,5,0)</f>
        <v>290.81520000000023</v>
      </c>
      <c r="BF157" s="14">
        <f t="shared" si="167"/>
        <v>69.247505937584663</v>
      </c>
      <c r="BG157" s="22">
        <f t="shared" si="168"/>
        <v>627.1092128412937</v>
      </c>
      <c r="BH157" s="62">
        <f t="shared" si="116"/>
        <v>920.44254617462707</v>
      </c>
      <c r="BI157" s="62">
        <f ca="1">AVERAGE(OFFSET($BH$3,0,0,'Données projet'!$E$11+1,1))-AVERAGE(OFFSET($H$3,0,0,'Données projet'!$E$11+1,1))</f>
        <v>234.66244049825644</v>
      </c>
      <c r="BJ157" s="62">
        <f t="shared" si="146"/>
        <v>87.037318032671465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57.183767269700255</v>
      </c>
      <c r="BQ157" s="23">
        <f>EXP(-LN(2)/25)*BQ156+(1-EXP(-LN(2)/25))/(LN(2)/25)*Calculateur!BL157*Calculateur!BN157*VLOOKUP('Données projet'!$B$11,Paramètres!$A$1:$I$89,3,0)*0.475*44/12</f>
        <v>2.7508325355816243</v>
      </c>
      <c r="BR157" s="23">
        <f>EXP(-LN(2)/2)*BR156+(1-EXP(-LN(2)/2))/(LN(2)/2)*BL157*BO157*VLOOKUP('Données projet'!$B$11,Paramètres!$A$1:$I$89,3,0)*0.475*44/12</f>
        <v>0.30322390121659581</v>
      </c>
      <c r="BS157" s="24">
        <f t="shared" si="169"/>
        <v>60.237823706498475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395.00000000000017</v>
      </c>
      <c r="O158" s="14">
        <f>N158*VLOOKUP('Données projet'!$B$9,Paramètres!$A$1:$I$89,3,0)*VLOOKUP('Données projet'!$B$9,Paramètres!$A$1:$I$89,5,0)</f>
        <v>236.21000000000009</v>
      </c>
      <c r="P158" s="14">
        <f t="shared" si="141"/>
        <v>57.62333963053878</v>
      </c>
      <c r="Q158" s="22">
        <f t="shared" si="162"/>
        <v>511.75973318985524</v>
      </c>
      <c r="R158" s="62">
        <f t="shared" si="109"/>
        <v>805.09306652318855</v>
      </c>
      <c r="S158" s="62">
        <f ca="1">AVERAGE(OFFSET($R$3,0,0,'Données projet'!$E$9+1,1))-AVERAGE(OFFSET($H$3,0,0,'Données projet'!$E$9+1,1))</f>
        <v>217.62295992724461</v>
      </c>
      <c r="T158" s="62">
        <f t="shared" si="142"/>
        <v>198.62788037979772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5.8864059142954819</v>
      </c>
      <c r="AA158" s="23">
        <f>EXP(-LN(2)/25)*AA157+(1-EXP(-LN(2)/25))/(LN(2)/25)*Calculateur!V158*Calculateur!X158*VLOOKUP('Données projet'!$B$9,Paramètres!$A$1:$I$89,3,0)*0.475*44/12</f>
        <v>0.47366582576298444</v>
      </c>
      <c r="AB158" s="23">
        <f>EXP(-LN(2)/2)*AB157+(1-EXP(-LN(2)/2))/(LN(2)/2)*V158*Y158*VLOOKUP('Données projet'!$B$9,Paramètres!$A$1:$I$89,3,0)*0.475*44/12</f>
        <v>9.9995980859425253E-15</v>
      </c>
      <c r="AC158" s="24">
        <f t="shared" si="163"/>
        <v>6.3600717400584763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1.5961632016114892E-13</v>
      </c>
      <c r="AK158" s="14">
        <f t="shared" si="164"/>
        <v>2.2708641912150958E-12</v>
      </c>
      <c r="AL158" s="22">
        <f t="shared" si="165"/>
        <v>4.2330868906469593E-12</v>
      </c>
      <c r="AM158" s="62">
        <f t="shared" si="113"/>
        <v>293.33333333333752</v>
      </c>
      <c r="AN158" s="62">
        <f ca="1">AVERAGE(OFFSET($AM$3,0,0,'Données projet'!$E$10+1,1))-AVERAGE(OFFSET($H$3,0,0,'Données projet'!$E$10+1,1))</f>
        <v>201.92726874818067</v>
      </c>
      <c r="AO158" s="62">
        <f t="shared" si="144"/>
        <v>197.16147791248727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56.483779205614006</v>
      </c>
      <c r="AV158" s="23">
        <f>EXP(-LN(2)/25)*AV157+(1-EXP(-LN(2)/25))/(LN(2)/25)*Calculateur!AQ158*Calculateur!AS158*VLOOKUP('Données projet'!$B$10,Paramètres!$A$1:$I$89,3,0)*0.475*44/12</f>
        <v>15.435058859272853</v>
      </c>
      <c r="AW158" s="23">
        <f>EXP(-LN(2)/2)*AW157+(1-EXP(-LN(2)/2))/(LN(2)/2)*AQ158*AT158*VLOOKUP('Données projet'!$B$10,Paramètres!$A$1:$I$89,3,0)*0.475*44/12</f>
        <v>4.5754916619994754E-7</v>
      </c>
      <c r="AX158" s="23">
        <f t="shared" si="166"/>
        <v>71.918838522436019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5.8</v>
      </c>
      <c r="BD158" s="13">
        <f>IF('Données projet'!$A$88&gt;35,BD157+BC158-BL157,IF(A158&lt;'Données projet'!$A$88,$BA$205^A158,IF(A158='Données projet'!$A$88,'Données projet'!$B$88,BD157+BC158-BL157)))</f>
        <v>292.60000000000019</v>
      </c>
      <c r="BE158" s="14">
        <f>BD158*VLOOKUP('Données projet'!$B$11,Paramètres!$A$1:$I$89,3,0)*VLOOKUP('Données projet'!$B$11,Paramètres!$A$1:$I$89,5,0)</f>
        <v>296.69640000000021</v>
      </c>
      <c r="BF158" s="14">
        <f t="shared" si="167"/>
        <v>70.483456331899987</v>
      </c>
      <c r="BG158" s="22">
        <f t="shared" si="168"/>
        <v>639.50491644472606</v>
      </c>
      <c r="BH158" s="62">
        <f t="shared" si="116"/>
        <v>932.83824977805943</v>
      </c>
      <c r="BI158" s="62">
        <f ca="1">AVERAGE(OFFSET($BH$3,0,0,'Données projet'!$E$11+1,1))-AVERAGE(OFFSET($H$3,0,0,'Données projet'!$E$11+1,1))</f>
        <v>234.66244049825644</v>
      </c>
      <c r="BJ158" s="62">
        <f t="shared" si="146"/>
        <v>87.037318032671465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56.062428472195485</v>
      </c>
      <c r="BQ158" s="23">
        <f>EXP(-LN(2)/25)*BQ157+(1-EXP(-LN(2)/25))/(LN(2)/25)*Calculateur!BL158*Calculateur!BN158*VLOOKUP('Données projet'!$B$11,Paramètres!$A$1:$I$89,3,0)*0.475*44/12</f>
        <v>2.6756108752361487</v>
      </c>
      <c r="BR158" s="23">
        <f>EXP(-LN(2)/2)*BR157+(1-EXP(-LN(2)/2))/(LN(2)/2)*BL158*BO158*VLOOKUP('Données projet'!$B$11,Paramètres!$A$1:$I$89,3,0)*0.475*44/12</f>
        <v>0.21441167676809472</v>
      </c>
      <c r="BS158" s="24">
        <f t="shared" si="169"/>
        <v>58.952451024199725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395.00000000000017</v>
      </c>
      <c r="O159" s="14">
        <f>N159*VLOOKUP('Données projet'!$B$9,Paramètres!$A$1:$I$89,3,0)*VLOOKUP('Données projet'!$B$9,Paramètres!$A$1:$I$89,5,0)</f>
        <v>236.21000000000009</v>
      </c>
      <c r="P159" s="14">
        <f t="shared" si="141"/>
        <v>57.62333963053878</v>
      </c>
      <c r="Q159" s="22">
        <f t="shared" si="162"/>
        <v>511.75973318985524</v>
      </c>
      <c r="R159" s="62">
        <f t="shared" si="109"/>
        <v>805.09306652318855</v>
      </c>
      <c r="S159" s="62">
        <f ca="1">AVERAGE(OFFSET($R$3,0,0,'Données projet'!$E$9+1,1))-AVERAGE(OFFSET($H$3,0,0,'Données projet'!$E$9+1,1))</f>
        <v>217.62295992724461</v>
      </c>
      <c r="T159" s="62">
        <f t="shared" si="142"/>
        <v>198.62788037979772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5.7709770846692372</v>
      </c>
      <c r="AA159" s="23">
        <f>EXP(-LN(2)/25)*AA158+(1-EXP(-LN(2)/25))/(LN(2)/25)*Calculateur!V159*Calculateur!X159*VLOOKUP('Données projet'!$B$9,Paramètres!$A$1:$I$89,3,0)*0.475*44/12</f>
        <v>0.46071340884849243</v>
      </c>
      <c r="AB159" s="23">
        <f>EXP(-LN(2)/2)*AB158+(1-EXP(-LN(2)/2))/(LN(2)/2)*V159*Y159*VLOOKUP('Données projet'!$B$9,Paramètres!$A$1:$I$89,3,0)*0.475*44/12</f>
        <v>7.0707836157099814E-15</v>
      </c>
      <c r="AC159" s="24">
        <f t="shared" si="163"/>
        <v>6.2316904935177364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1.5961632016114892E-13</v>
      </c>
      <c r="AK159" s="14">
        <f t="shared" si="164"/>
        <v>2.2708641912150958E-12</v>
      </c>
      <c r="AL159" s="22">
        <f t="shared" si="165"/>
        <v>4.2330868906469593E-12</v>
      </c>
      <c r="AM159" s="62">
        <f t="shared" si="113"/>
        <v>293.33333333333752</v>
      </c>
      <c r="AN159" s="62">
        <f ca="1">AVERAGE(OFFSET($AM$3,0,0,'Données projet'!$E$10+1,1))-AVERAGE(OFFSET($H$3,0,0,'Données projet'!$E$10+1,1))</f>
        <v>201.92726874818067</v>
      </c>
      <c r="AO159" s="62">
        <f t="shared" si="144"/>
        <v>197.16147791248727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55.376166747095411</v>
      </c>
      <c r="AV159" s="23">
        <f>EXP(-LN(2)/25)*AV158+(1-EXP(-LN(2)/25))/(LN(2)/25)*Calculateur!AQ159*Calculateur!AS159*VLOOKUP('Données projet'!$B$10,Paramètres!$A$1:$I$89,3,0)*0.475*44/12</f>
        <v>15.012986363071569</v>
      </c>
      <c r="AW159" s="23">
        <f>EXP(-LN(2)/2)*AW158+(1-EXP(-LN(2)/2))/(LN(2)/2)*AQ159*AT159*VLOOKUP('Données projet'!$B$10,Paramètres!$A$1:$I$89,3,0)*0.475*44/12</f>
        <v>3.2353611814623357E-7</v>
      </c>
      <c r="AX159" s="23">
        <f t="shared" si="166"/>
        <v>70.389153433703086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5.8</v>
      </c>
      <c r="BD159" s="13">
        <f>IF('Données projet'!$A$88&gt;35,BD158+BC159-BL158,IF(A159&lt;'Données projet'!$A$88,$BA$205^A159,IF(A159='Données projet'!$A$88,'Données projet'!$B$88,BD158+BC159-BL158)))</f>
        <v>298.4000000000002</v>
      </c>
      <c r="BE159" s="14">
        <f>BD159*VLOOKUP('Données projet'!$B$11,Paramètres!$A$1:$I$89,3,0)*VLOOKUP('Données projet'!$B$11,Paramètres!$A$1:$I$89,5,0)</f>
        <v>302.57760000000025</v>
      </c>
      <c r="BF159" s="14">
        <f t="shared" si="167"/>
        <v>71.716558091076365</v>
      </c>
      <c r="BG159" s="22">
        <f t="shared" si="168"/>
        <v>651.89565867529166</v>
      </c>
      <c r="BH159" s="62">
        <f t="shared" si="116"/>
        <v>945.22899200862503</v>
      </c>
      <c r="BI159" s="62">
        <f ca="1">AVERAGE(OFFSET($BH$3,0,0,'Données projet'!$E$11+1,1))-AVERAGE(OFFSET($H$3,0,0,'Données projet'!$E$11+1,1))</f>
        <v>234.66244049825644</v>
      </c>
      <c r="BJ159" s="62">
        <f t="shared" si="146"/>
        <v>87.037318032671465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54.963078444560651</v>
      </c>
      <c r="BQ159" s="23">
        <f>EXP(-LN(2)/25)*BQ158+(1-EXP(-LN(2)/25))/(LN(2)/25)*Calculateur!BL159*Calculateur!BN159*VLOOKUP('Données projet'!$B$11,Paramètres!$A$1:$I$89,3,0)*0.475*44/12</f>
        <v>2.6024461551485554</v>
      </c>
      <c r="BR159" s="23">
        <f>EXP(-LN(2)/2)*BR158+(1-EXP(-LN(2)/2))/(LN(2)/2)*BL159*BO159*VLOOKUP('Données projet'!$B$11,Paramètres!$A$1:$I$89,3,0)*0.475*44/12</f>
        <v>0.15161195060829791</v>
      </c>
      <c r="BS159" s="24">
        <f t="shared" si="169"/>
        <v>57.717136550317505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395.00000000000017</v>
      </c>
      <c r="O160" s="14">
        <f>N160*VLOOKUP('Données projet'!$B$9,Paramètres!$A$1:$I$89,3,0)*VLOOKUP('Données projet'!$B$9,Paramètres!$A$1:$I$89,5,0)</f>
        <v>236.21000000000009</v>
      </c>
      <c r="P160" s="14">
        <f t="shared" si="141"/>
        <v>57.62333963053878</v>
      </c>
      <c r="Q160" s="22">
        <f t="shared" si="162"/>
        <v>511.75973318985524</v>
      </c>
      <c r="R160" s="62">
        <f t="shared" si="109"/>
        <v>805.09306652318855</v>
      </c>
      <c r="S160" s="62">
        <f ca="1">AVERAGE(OFFSET($R$3,0,0,'Données projet'!$E$9+1,1))-AVERAGE(OFFSET($H$3,0,0,'Données projet'!$E$9+1,1))</f>
        <v>217.62295992724461</v>
      </c>
      <c r="T160" s="62">
        <f t="shared" si="142"/>
        <v>198.62788037979772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5.6578117439873292</v>
      </c>
      <c r="AA160" s="23">
        <f>EXP(-LN(2)/25)*AA159+(1-EXP(-LN(2)/25))/(LN(2)/25)*Calculateur!V160*Calculateur!X160*VLOOKUP('Données projet'!$B$9,Paramètres!$A$1:$I$89,3,0)*0.475*44/12</f>
        <v>0.44811517645566523</v>
      </c>
      <c r="AB160" s="23">
        <f>EXP(-LN(2)/2)*AB159+(1-EXP(-LN(2)/2))/(LN(2)/2)*V160*Y160*VLOOKUP('Données projet'!$B$9,Paramètres!$A$1:$I$89,3,0)*0.475*44/12</f>
        <v>4.9997990429712634E-15</v>
      </c>
      <c r="AC160" s="24">
        <f t="shared" si="163"/>
        <v>6.1059269204430002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1.5961632016114892E-13</v>
      </c>
      <c r="AK160" s="14">
        <f t="shared" si="164"/>
        <v>2.2708641912150958E-12</v>
      </c>
      <c r="AL160" s="22">
        <f t="shared" si="165"/>
        <v>4.2330868906469593E-12</v>
      </c>
      <c r="AM160" s="62">
        <f t="shared" si="113"/>
        <v>293.33333333333752</v>
      </c>
      <c r="AN160" s="62">
        <f ca="1">AVERAGE(OFFSET($AM$3,0,0,'Données projet'!$E$10+1,1))-AVERAGE(OFFSET($H$3,0,0,'Données projet'!$E$10+1,1))</f>
        <v>201.92726874818067</v>
      </c>
      <c r="AO160" s="62">
        <f t="shared" si="144"/>
        <v>197.16147791248727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54.290273893311472</v>
      </c>
      <c r="AV160" s="23">
        <f>EXP(-LN(2)/25)*AV159+(1-EXP(-LN(2)/25))/(LN(2)/25)*Calculateur!AQ160*Calculateur!AS160*VLOOKUP('Données projet'!$B$10,Paramètres!$A$1:$I$89,3,0)*0.475*44/12</f>
        <v>14.602455461474737</v>
      </c>
      <c r="AW160" s="23">
        <f>EXP(-LN(2)/2)*AW159+(1-EXP(-LN(2)/2))/(LN(2)/2)*AQ160*AT160*VLOOKUP('Données projet'!$B$10,Paramètres!$A$1:$I$89,3,0)*0.475*44/12</f>
        <v>2.2877458309997377E-7</v>
      </c>
      <c r="AX160" s="23">
        <f t="shared" si="166"/>
        <v>68.892729583560794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5.8</v>
      </c>
      <c r="BD160" s="13">
        <f>IF('Données projet'!$A$88&gt;35,BD159+BC160-BL159,IF(A160&lt;'Données projet'!$A$88,$BA$205^A160,IF(A160='Données projet'!$A$88,'Données projet'!$B$88,BD159+BC160-BL159)))</f>
        <v>304.20000000000022</v>
      </c>
      <c r="BE160" s="14">
        <f>BD160*VLOOKUP('Données projet'!$B$11,Paramètres!$A$1:$I$89,3,0)*VLOOKUP('Données projet'!$B$11,Paramètres!$A$1:$I$89,5,0)</f>
        <v>308.45880000000028</v>
      </c>
      <c r="BF160" s="14">
        <f t="shared" si="167"/>
        <v>72.946872966941058</v>
      </c>
      <c r="BG160" s="22">
        <f t="shared" si="168"/>
        <v>664.28154708408954</v>
      </c>
      <c r="BH160" s="62">
        <f t="shared" si="116"/>
        <v>957.61488041742291</v>
      </c>
      <c r="BI160" s="62">
        <f ca="1">AVERAGE(OFFSET($BH$3,0,0,'Données projet'!$E$11+1,1))-AVERAGE(OFFSET($H$3,0,0,'Données projet'!$E$11+1,1))</f>
        <v>234.66244049825644</v>
      </c>
      <c r="BJ160" s="62">
        <f t="shared" si="146"/>
        <v>87.037318032671465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53.885286000430433</v>
      </c>
      <c r="BQ160" s="23">
        <f>EXP(-LN(2)/25)*BQ159+(1-EXP(-LN(2)/25))/(LN(2)/25)*Calculateur!BL160*Calculateur!BN160*VLOOKUP('Données projet'!$B$11,Paramètres!$A$1:$I$89,3,0)*0.475*44/12</f>
        <v>2.5312821281793227</v>
      </c>
      <c r="BR160" s="23">
        <f>EXP(-LN(2)/2)*BR159+(1-EXP(-LN(2)/2))/(LN(2)/2)*BL160*BO160*VLOOKUP('Données projet'!$B$11,Paramètres!$A$1:$I$89,3,0)*0.475*44/12</f>
        <v>0.10720583838404736</v>
      </c>
      <c r="BS160" s="24">
        <f t="shared" si="169"/>
        <v>56.523773966993801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395.00000000000017</v>
      </c>
      <c r="O161" s="14">
        <f>N161*VLOOKUP('Données projet'!$B$9,Paramètres!$A$1:$I$89,3,0)*VLOOKUP('Données projet'!$B$9,Paramètres!$A$1:$I$89,5,0)</f>
        <v>236.21000000000009</v>
      </c>
      <c r="P161" s="14">
        <f t="shared" si="141"/>
        <v>57.62333963053878</v>
      </c>
      <c r="Q161" s="22">
        <f t="shared" si="162"/>
        <v>511.75973318985524</v>
      </c>
      <c r="R161" s="62">
        <f t="shared" si="109"/>
        <v>805.09306652318855</v>
      </c>
      <c r="S161" s="62">
        <f ca="1">AVERAGE(OFFSET($R$3,0,0,'Données projet'!$E$9+1,1))-AVERAGE(OFFSET($H$3,0,0,'Données projet'!$E$9+1,1))</f>
        <v>217.62295992724461</v>
      </c>
      <c r="T161" s="62">
        <f t="shared" si="142"/>
        <v>198.62788037979772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5.5468655066121508</v>
      </c>
      <c r="AA161" s="23">
        <f>EXP(-LN(2)/25)*AA160+(1-EXP(-LN(2)/25))/(LN(2)/25)*Calculateur!V161*Calculateur!X161*VLOOKUP('Données projet'!$B$9,Paramètres!$A$1:$I$89,3,0)*0.475*44/12</f>
        <v>0.43586144339013211</v>
      </c>
      <c r="AB161" s="23">
        <f>EXP(-LN(2)/2)*AB160+(1-EXP(-LN(2)/2))/(LN(2)/2)*V161*Y161*VLOOKUP('Données projet'!$B$9,Paramètres!$A$1:$I$89,3,0)*0.475*44/12</f>
        <v>3.5353918078549911E-15</v>
      </c>
      <c r="AC161" s="24">
        <f t="shared" si="163"/>
        <v>5.9827269500022862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1.5961632016114892E-13</v>
      </c>
      <c r="AK161" s="14">
        <f t="shared" si="164"/>
        <v>2.2708641912150958E-12</v>
      </c>
      <c r="AL161" s="22">
        <f t="shared" si="165"/>
        <v>4.2330868906469593E-12</v>
      </c>
      <c r="AM161" s="62">
        <f t="shared" si="113"/>
        <v>293.33333333333752</v>
      </c>
      <c r="AN161" s="62">
        <f ca="1">AVERAGE(OFFSET($AM$3,0,0,'Données projet'!$E$10+1,1))-AVERAGE(OFFSET($H$3,0,0,'Données projet'!$E$10+1,1))</f>
        <v>201.92726874818067</v>
      </c>
      <c r="AO161" s="62">
        <f t="shared" si="144"/>
        <v>197.16147791248727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53.225674736060995</v>
      </c>
      <c r="AV161" s="23">
        <f>EXP(-LN(2)/25)*AV160+(1-EXP(-LN(2)/25))/(LN(2)/25)*Calculateur!AQ161*Calculateur!AS161*VLOOKUP('Données projet'!$B$10,Paramètres!$A$1:$I$89,3,0)*0.475*44/12</f>
        <v>14.203150548970951</v>
      </c>
      <c r="AW161" s="23">
        <f>EXP(-LN(2)/2)*AW160+(1-EXP(-LN(2)/2))/(LN(2)/2)*AQ161*AT161*VLOOKUP('Données projet'!$B$10,Paramètres!$A$1:$I$89,3,0)*0.475*44/12</f>
        <v>1.6176805907311678E-7</v>
      </c>
      <c r="AX161" s="23">
        <f t="shared" si="166"/>
        <v>67.428825446800005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>
        <f>VLOOKUP(A161,'Données projet'!$A$87:$I$107,2,0)</f>
        <v>310</v>
      </c>
      <c r="BB161" s="13">
        <f>VLOOKUP(A161,'Données projet'!$A$87:$I$107,9,0)</f>
        <v>5.8</v>
      </c>
      <c r="BC161" s="13">
        <f t="array" ref="BC161">INDEX(BB:BB,MIN(IF(ISNUMBER(BB161:BB357),ROW(BB161:BB357),"")))</f>
        <v>5.8</v>
      </c>
      <c r="BD161" s="13">
        <f>IF('Données projet'!$A$88&gt;35,BD160+BC161-BL160,IF(A161&lt;'Données projet'!$A$88,$BA$205^A161,IF(A161='Données projet'!$A$88,'Données projet'!$B$88,BD160+BC161-BL160)))</f>
        <v>310.00000000000023</v>
      </c>
      <c r="BE161" s="14">
        <f>BD161*VLOOKUP('Données projet'!$B$11,Paramètres!$A$1:$I$89,3,0)*VLOOKUP('Données projet'!$B$11,Paramètres!$A$1:$I$89,5,0)</f>
        <v>314.34000000000026</v>
      </c>
      <c r="BF161" s="14">
        <f t="shared" si="167"/>
        <v>74.174460221814286</v>
      </c>
      <c r="BG161" s="22">
        <f t="shared" si="168"/>
        <v>676.66268488632704</v>
      </c>
      <c r="BH161" s="62">
        <f t="shared" si="116"/>
        <v>969.9960182196603</v>
      </c>
      <c r="BI161" s="62">
        <f ca="1">AVERAGE(OFFSET($BH$3,0,0,'Données projet'!$E$11+1,1))-AVERAGE(OFFSET($H$3,0,0,'Données projet'!$E$11+1,1))</f>
        <v>234.66244049825644</v>
      </c>
      <c r="BJ161" s="62">
        <f t="shared" si="146"/>
        <v>87.037318032671465</v>
      </c>
      <c r="BK161" s="16">
        <f>IF(ISNA(VLOOKUP(A161,'Données projet'!$A$87:$I$107,3,0)),0,VLOOKUP(A161,'Données projet'!$A$87:$I$107,3,0))</f>
        <v>13</v>
      </c>
      <c r="BL161" s="16">
        <f>IF(ISNA(VLOOKUP(A161,'Données projet'!$A$87:$I$107,4,0)),0,VLOOKUP(A161,'Données projet'!$A$87:$I$107,4,0))</f>
        <v>41</v>
      </c>
      <c r="BM161" s="17">
        <f>IF(ISNA(VLOOKUP(A161,'Données projet'!$A$87:$I$107,5,0)),0%,VLOOKUP(A161,'Données projet'!$A$87:$I$107,5,0)*VLOOKUP('Données projet'!$B$11,Paramètres!$A$1:$I$89,7,0))</f>
        <v>0.34400000000000003</v>
      </c>
      <c r="BN161" s="17">
        <f>IF(ISNA(VLOOKUP(A161,'Données projet'!$A$87:$I$107,6,0)),0%,VLOOKUP(A161,'Données projet'!$A$87:$I$107,6,0)*VLOOKUP('Données projet'!$B$11,Paramètres!$A$1:$I$89,7,0))</f>
        <v>1.72E-2</v>
      </c>
      <c r="BO161" s="17">
        <f>IF(ISNA(VLOOKUP(A161,'Données projet'!$A$87:$I$107,7,0)),0%,VLOOKUP(A161,'Données projet'!$A$87:$I$107,7,0))</f>
        <v>0.06</v>
      </c>
      <c r="BP161" s="23">
        <f>EXP(-LN(2)/35)*BP160+(1-EXP(-LN(2)/35))/(LN(2)/35)*BL161*BM161*VLOOKUP('Données projet'!$B$11,Paramètres!$A$1:$I$89,3,0)*0.475*44/12</f>
        <v>68.638464400934907</v>
      </c>
      <c r="BQ161" s="23">
        <f>EXP(-LN(2)/25)*BQ160+(1-EXP(-LN(2)/25))/(LN(2)/25)*Calculateur!BL161*Calculateur!BN161*VLOOKUP('Données projet'!$B$11,Paramètres!$A$1:$I$89,3,0)*0.475*44/12</f>
        <v>3.2494434174635538</v>
      </c>
      <c r="BR161" s="23">
        <f>EXP(-LN(2)/2)*BR160+(1-EXP(-LN(2)/2))/(LN(2)/2)*BL161*BO161*VLOOKUP('Données projet'!$B$11,Paramètres!$A$1:$I$89,3,0)*0.475*44/12</f>
        <v>2.4293772521724133</v>
      </c>
      <c r="BS161" s="24">
        <f t="shared" si="169"/>
        <v>74.317285070570875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395.00000000000017</v>
      </c>
      <c r="O162" s="14">
        <f>N162*VLOOKUP('Données projet'!$B$9,Paramètres!$A$1:$I$89,3,0)*VLOOKUP('Données projet'!$B$9,Paramètres!$A$1:$I$89,5,0)</f>
        <v>236.21000000000009</v>
      </c>
      <c r="P162" s="14">
        <f t="shared" si="141"/>
        <v>57.62333963053878</v>
      </c>
      <c r="Q162" s="22">
        <f t="shared" si="162"/>
        <v>511.75973318985524</v>
      </c>
      <c r="R162" s="62">
        <f t="shared" si="109"/>
        <v>805.09306652318855</v>
      </c>
      <c r="S162" s="62">
        <f ca="1">AVERAGE(OFFSET($R$3,0,0,'Données projet'!$E$9+1,1))-AVERAGE(OFFSET($H$3,0,0,'Données projet'!$E$9+1,1))</f>
        <v>217.62295992724461</v>
      </c>
      <c r="T162" s="62">
        <f t="shared" si="142"/>
        <v>198.62788037979772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5.438094857281377</v>
      </c>
      <c r="AA162" s="23">
        <f>EXP(-LN(2)/25)*AA161+(1-EXP(-LN(2)/25))/(LN(2)/25)*Calculateur!V162*Calculateur!X162*VLOOKUP('Données projet'!$B$9,Paramètres!$A$1:$I$89,3,0)*0.475*44/12</f>
        <v>0.42394278929967183</v>
      </c>
      <c r="AB162" s="23">
        <f>EXP(-LN(2)/2)*AB161+(1-EXP(-LN(2)/2))/(LN(2)/2)*V162*Y162*VLOOKUP('Données projet'!$B$9,Paramètres!$A$1:$I$89,3,0)*0.475*44/12</f>
        <v>2.4998995214856321E-15</v>
      </c>
      <c r="AC162" s="24">
        <f t="shared" si="163"/>
        <v>5.8620376465810518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1.5961632016114892E-13</v>
      </c>
      <c r="AK162" s="14">
        <f t="shared" si="164"/>
        <v>2.2708641912150958E-12</v>
      </c>
      <c r="AL162" s="22">
        <f t="shared" si="165"/>
        <v>4.2330868906469593E-12</v>
      </c>
      <c r="AM162" s="62">
        <f t="shared" si="113"/>
        <v>293.33333333333752</v>
      </c>
      <c r="AN162" s="62">
        <f ca="1">AVERAGE(OFFSET($AM$3,0,0,'Données projet'!$E$10+1,1))-AVERAGE(OFFSET($H$3,0,0,'Données projet'!$E$10+1,1))</f>
        <v>201.92726874818067</v>
      </c>
      <c r="AO162" s="62">
        <f t="shared" si="144"/>
        <v>197.16147791248727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52.181951718942827</v>
      </c>
      <c r="AV162" s="23">
        <f>EXP(-LN(2)/25)*AV161+(1-EXP(-LN(2)/25))/(LN(2)/25)*Calculateur!AQ162*Calculateur!AS162*VLOOKUP('Données projet'!$B$10,Paramètres!$A$1:$I$89,3,0)*0.475*44/12</f>
        <v>13.814764650298114</v>
      </c>
      <c r="AW162" s="23">
        <f>EXP(-LN(2)/2)*AW161+(1-EXP(-LN(2)/2))/(LN(2)/2)*AQ162*AT162*VLOOKUP('Données projet'!$B$10,Paramètres!$A$1:$I$89,3,0)*0.475*44/12</f>
        <v>1.1438729154998688E-7</v>
      </c>
      <c r="AX162" s="23">
        <f t="shared" si="166"/>
        <v>65.996716483628234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5.9</v>
      </c>
      <c r="BD162" s="13">
        <f>IF('Données projet'!$A$88&gt;35,BD161+BC162-BL161,IF(A162&lt;'Données projet'!$A$88,$BA$205^A162,IF(A162='Données projet'!$A$88,'Données projet'!$B$88,BD161+BC162-BL161)))</f>
        <v>274.9000000000002</v>
      </c>
      <c r="BE162" s="14">
        <f>BD162*VLOOKUP('Données projet'!$B$11,Paramètres!$A$1:$I$89,3,0)*VLOOKUP('Données projet'!$B$11,Paramètres!$A$1:$I$89,5,0)</f>
        <v>278.74860000000024</v>
      </c>
      <c r="BF162" s="14">
        <f t="shared" si="167"/>
        <v>66.702483184438663</v>
      </c>
      <c r="BG162" s="22">
        <f t="shared" si="168"/>
        <v>601.6606365462311</v>
      </c>
      <c r="BH162" s="62">
        <f t="shared" si="116"/>
        <v>894.99396987956447</v>
      </c>
      <c r="BI162" s="62">
        <f ca="1">AVERAGE(OFFSET($BH$3,0,0,'Données projet'!$E$11+1,1))-AVERAGE(OFFSET($H$3,0,0,'Données projet'!$E$11+1,1))</f>
        <v>234.66244049825644</v>
      </c>
      <c r="BJ162" s="62">
        <f t="shared" si="146"/>
        <v>87.037318032671465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67.292505979362005</v>
      </c>
      <c r="BQ162" s="23">
        <f>EXP(-LN(2)/25)*BQ161+(1-EXP(-LN(2)/25))/(LN(2)/25)*Calculateur!BL162*Calculateur!BN162*VLOOKUP('Données projet'!$B$11,Paramètres!$A$1:$I$89,3,0)*0.475*44/12</f>
        <v>3.1605872163322104</v>
      </c>
      <c r="BR162" s="23">
        <f>EXP(-LN(2)/2)*BR161+(1-EXP(-LN(2)/2))/(LN(2)/2)*BL162*BO162*VLOOKUP('Données projet'!$B$11,Paramètres!$A$1:$I$89,3,0)*0.475*44/12</f>
        <v>1.7178291290714549</v>
      </c>
      <c r="BS162" s="24">
        <f t="shared" si="169"/>
        <v>72.170922324765669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395.00000000000017</v>
      </c>
      <c r="O163" s="14">
        <f>N163*VLOOKUP('Données projet'!$B$9,Paramètres!$A$1:$I$89,3,0)*VLOOKUP('Données projet'!$B$9,Paramètres!$A$1:$I$89,5,0)</f>
        <v>236.21000000000009</v>
      </c>
      <c r="P163" s="14">
        <f t="shared" si="141"/>
        <v>57.62333963053878</v>
      </c>
      <c r="Q163" s="22">
        <f t="shared" si="162"/>
        <v>511.75973318985524</v>
      </c>
      <c r="R163" s="62">
        <f t="shared" si="109"/>
        <v>805.09306652318855</v>
      </c>
      <c r="S163" s="62">
        <f ca="1">AVERAGE(OFFSET($R$3,0,0,'Données projet'!$E$9+1,1))-AVERAGE(OFFSET($H$3,0,0,'Données projet'!$E$9+1,1))</f>
        <v>217.62295992724461</v>
      </c>
      <c r="T163" s="62">
        <f t="shared" si="142"/>
        <v>198.62788037979772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5.3314571340404342</v>
      </c>
      <c r="AA163" s="23">
        <f>EXP(-LN(2)/25)*AA162+(1-EXP(-LN(2)/25))/(LN(2)/25)*Calculateur!V163*Calculateur!X163*VLOOKUP('Données projet'!$B$9,Paramètres!$A$1:$I$89,3,0)*0.475*44/12</f>
        <v>0.41235005143208997</v>
      </c>
      <c r="AB163" s="23">
        <f>EXP(-LN(2)/2)*AB162+(1-EXP(-LN(2)/2))/(LN(2)/2)*V163*Y163*VLOOKUP('Données projet'!$B$9,Paramètres!$A$1:$I$89,3,0)*0.475*44/12</f>
        <v>1.7676959039274959E-15</v>
      </c>
      <c r="AC163" s="24">
        <f t="shared" si="163"/>
        <v>5.7438071854725257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1.5961632016114892E-13</v>
      </c>
      <c r="AK163" s="14">
        <f t="shared" si="164"/>
        <v>2.2708641912150958E-12</v>
      </c>
      <c r="AL163" s="22">
        <f t="shared" si="165"/>
        <v>4.2330868906469593E-12</v>
      </c>
      <c r="AM163" s="62">
        <f t="shared" si="113"/>
        <v>293.33333333333752</v>
      </c>
      <c r="AN163" s="62">
        <f ca="1">AVERAGE(OFFSET($AM$3,0,0,'Données projet'!$E$10+1,1))-AVERAGE(OFFSET($H$3,0,0,'Données projet'!$E$10+1,1))</f>
        <v>201.92726874818067</v>
      </c>
      <c r="AO163" s="62">
        <f t="shared" si="144"/>
        <v>197.16147791248727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51.158695473582171</v>
      </c>
      <c r="AV163" s="23">
        <f>EXP(-LN(2)/25)*AV162+(1-EXP(-LN(2)/25))/(LN(2)/25)*Calculateur!AQ163*Calculateur!AS163*VLOOKUP('Données projet'!$B$10,Paramètres!$A$1:$I$89,3,0)*0.475*44/12</f>
        <v>13.436999184448814</v>
      </c>
      <c r="AW163" s="23">
        <f>EXP(-LN(2)/2)*AW162+(1-EXP(-LN(2)/2))/(LN(2)/2)*AQ163*AT163*VLOOKUP('Données projet'!$B$10,Paramètres!$A$1:$I$89,3,0)*0.475*44/12</f>
        <v>8.0884029536558391E-8</v>
      </c>
      <c r="AX163" s="23">
        <f t="shared" si="166"/>
        <v>64.595694738915014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5.9</v>
      </c>
      <c r="BD163" s="13">
        <f>IF('Données projet'!$A$88&gt;35,BD162+BC163-BL162,IF(A163&lt;'Données projet'!$A$88,$BA$205^A163,IF(A163='Données projet'!$A$88,'Données projet'!$B$88,BD162+BC163-BL162)))</f>
        <v>280.80000000000018</v>
      </c>
      <c r="BE163" s="14">
        <f>BD163*VLOOKUP('Données projet'!$B$11,Paramètres!$A$1:$I$89,3,0)*VLOOKUP('Données projet'!$B$11,Paramètres!$A$1:$I$89,5,0)</f>
        <v>284.73120000000023</v>
      </c>
      <c r="BF163" s="14">
        <f t="shared" si="167"/>
        <v>67.965870320051067</v>
      </c>
      <c r="BG163" s="22">
        <f t="shared" si="168"/>
        <v>614.28073080742263</v>
      </c>
      <c r="BH163" s="62">
        <f t="shared" si="116"/>
        <v>907.614064140756</v>
      </c>
      <c r="BI163" s="62">
        <f ca="1">AVERAGE(OFFSET($BH$3,0,0,'Données projet'!$E$11+1,1))-AVERAGE(OFFSET($H$3,0,0,'Données projet'!$E$11+1,1))</f>
        <v>234.66244049825644</v>
      </c>
      <c r="BJ163" s="62">
        <f t="shared" si="146"/>
        <v>87.037318032671465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65.972940981482566</v>
      </c>
      <c r="BQ163" s="23">
        <f>EXP(-LN(2)/25)*BQ162+(1-EXP(-LN(2)/25))/(LN(2)/25)*Calculateur!BL163*Calculateur!BN163*VLOOKUP('Données projet'!$B$11,Paramètres!$A$1:$I$89,3,0)*0.475*44/12</f>
        <v>3.0741607926935481</v>
      </c>
      <c r="BR163" s="23">
        <f>EXP(-LN(2)/2)*BR162+(1-EXP(-LN(2)/2))/(LN(2)/2)*BL163*BO163*VLOOKUP('Données projet'!$B$11,Paramètres!$A$1:$I$89,3,0)*0.475*44/12</f>
        <v>1.2146886260862069</v>
      </c>
      <c r="BS163" s="24">
        <f t="shared" si="169"/>
        <v>70.261790400262313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395.00000000000017</v>
      </c>
      <c r="O164" s="14">
        <f>N164*VLOOKUP('Données projet'!$B$9,Paramètres!$A$1:$I$89,3,0)*VLOOKUP('Données projet'!$B$9,Paramètres!$A$1:$I$89,5,0)</f>
        <v>236.21000000000009</v>
      </c>
      <c r="P164" s="14">
        <f t="shared" si="141"/>
        <v>57.62333963053878</v>
      </c>
      <c r="Q164" s="22">
        <f t="shared" si="162"/>
        <v>511.75973318985524</v>
      </c>
      <c r="R164" s="62">
        <f t="shared" si="109"/>
        <v>805.09306652318855</v>
      </c>
      <c r="S164" s="62">
        <f ca="1">AVERAGE(OFFSET($R$3,0,0,'Données projet'!$E$9+1,1))-AVERAGE(OFFSET($H$3,0,0,'Données projet'!$E$9+1,1))</f>
        <v>217.62295992724461</v>
      </c>
      <c r="T164" s="62">
        <f t="shared" si="142"/>
        <v>198.62788037979772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5.2269105115096579</v>
      </c>
      <c r="AA164" s="23">
        <f>EXP(-LN(2)/25)*AA163+(1-EXP(-LN(2)/25))/(LN(2)/25)*Calculateur!V164*Calculateur!X164*VLOOKUP('Données projet'!$B$9,Paramètres!$A$1:$I$89,3,0)*0.475*44/12</f>
        <v>0.40107431759113271</v>
      </c>
      <c r="AB164" s="23">
        <f>EXP(-LN(2)/2)*AB163+(1-EXP(-LN(2)/2))/(LN(2)/2)*V164*Y164*VLOOKUP('Données projet'!$B$9,Paramètres!$A$1:$I$89,3,0)*0.475*44/12</f>
        <v>1.2499497607428162E-15</v>
      </c>
      <c r="AC164" s="24">
        <f t="shared" si="163"/>
        <v>5.6279848291007912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1.5961632016114892E-13</v>
      </c>
      <c r="AK164" s="14">
        <f t="shared" si="164"/>
        <v>2.2708641912150958E-12</v>
      </c>
      <c r="AL164" s="22">
        <f t="shared" si="165"/>
        <v>4.2330868906469593E-12</v>
      </c>
      <c r="AM164" s="62">
        <f t="shared" si="113"/>
        <v>293.33333333333752</v>
      </c>
      <c r="AN164" s="62">
        <f ca="1">AVERAGE(OFFSET($AM$3,0,0,'Données projet'!$E$10+1,1))-AVERAGE(OFFSET($H$3,0,0,'Données projet'!$E$10+1,1))</f>
        <v>201.92726874818067</v>
      </c>
      <c r="AO164" s="62">
        <f t="shared" si="144"/>
        <v>197.16147791248727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50.155504659068349</v>
      </c>
      <c r="AV164" s="23">
        <f>EXP(-LN(2)/25)*AV163+(1-EXP(-LN(2)/25))/(LN(2)/25)*Calculateur!AQ164*Calculateur!AS164*VLOOKUP('Données projet'!$B$10,Paramètres!$A$1:$I$89,3,0)*0.475*44/12</f>
        <v>13.069563735128984</v>
      </c>
      <c r="AW164" s="23">
        <f>EXP(-LN(2)/2)*AW163+(1-EXP(-LN(2)/2))/(LN(2)/2)*AQ164*AT164*VLOOKUP('Données projet'!$B$10,Paramètres!$A$1:$I$89,3,0)*0.475*44/12</f>
        <v>5.7193645774993442E-8</v>
      </c>
      <c r="AX164" s="23">
        <f t="shared" si="166"/>
        <v>63.225068451390982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5.9</v>
      </c>
      <c r="BD164" s="13">
        <f>IF('Données projet'!$A$88&gt;35,BD163+BC164-BL163,IF(A164&lt;'Données projet'!$A$88,$BA$205^A164,IF(A164='Données projet'!$A$88,'Données projet'!$B$88,BD163+BC164-BL163)))</f>
        <v>286.70000000000016</v>
      </c>
      <c r="BE164" s="14">
        <f>BD164*VLOOKUP('Données projet'!$B$11,Paramètres!$A$1:$I$89,3,0)*VLOOKUP('Données projet'!$B$11,Paramètres!$A$1:$I$89,5,0)</f>
        <v>290.71380000000016</v>
      </c>
      <c r="BF164" s="14">
        <f t="shared" si="167"/>
        <v>69.226171091674502</v>
      </c>
      <c r="BG164" s="22">
        <f t="shared" si="168"/>
        <v>626.89544965133348</v>
      </c>
      <c r="BH164" s="62">
        <f t="shared" si="116"/>
        <v>920.22878298466685</v>
      </c>
      <c r="BI164" s="62">
        <f ca="1">AVERAGE(OFFSET($BH$3,0,0,'Données projet'!$E$11+1,1))-AVERAGE(OFFSET($H$3,0,0,'Données projet'!$E$11+1,1))</f>
        <v>234.66244049825644</v>
      </c>
      <c r="BJ164" s="62">
        <f t="shared" si="146"/>
        <v>87.037318032671465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64.679251848356373</v>
      </c>
      <c r="BQ164" s="23">
        <f>EXP(-LN(2)/25)*BQ163+(1-EXP(-LN(2)/25))/(LN(2)/25)*Calculateur!BL164*Calculateur!BN164*VLOOKUP('Données projet'!$B$11,Paramètres!$A$1:$I$89,3,0)*0.475*44/12</f>
        <v>2.9900977041542531</v>
      </c>
      <c r="BR164" s="23">
        <f>EXP(-LN(2)/2)*BR163+(1-EXP(-LN(2)/2))/(LN(2)/2)*BL164*BO164*VLOOKUP('Données projet'!$B$11,Paramètres!$A$1:$I$89,3,0)*0.475*44/12</f>
        <v>0.85891456453572756</v>
      </c>
      <c r="BS164" s="24">
        <f t="shared" si="169"/>
        <v>68.528264117046348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395.00000000000017</v>
      </c>
      <c r="O165" s="14">
        <f>N165*VLOOKUP('Données projet'!$B$9,Paramètres!$A$1:$I$89,3,0)*VLOOKUP('Données projet'!$B$9,Paramètres!$A$1:$I$89,5,0)</f>
        <v>236.21000000000009</v>
      </c>
      <c r="P165" s="14">
        <f t="shared" si="141"/>
        <v>57.62333963053878</v>
      </c>
      <c r="Q165" s="22">
        <f t="shared" si="162"/>
        <v>511.75973318985524</v>
      </c>
      <c r="R165" s="62">
        <f t="shared" si="109"/>
        <v>805.09306652318855</v>
      </c>
      <c r="S165" s="62">
        <f ca="1">AVERAGE(OFFSET($R$3,0,0,'Données projet'!$E$9+1,1))-AVERAGE(OFFSET($H$3,0,0,'Données projet'!$E$9+1,1))</f>
        <v>217.62295992724461</v>
      </c>
      <c r="T165" s="62">
        <f t="shared" si="142"/>
        <v>198.62788037979772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5.1244139844795669</v>
      </c>
      <c r="AA165" s="23">
        <f>EXP(-LN(2)/25)*AA164+(1-EXP(-LN(2)/25))/(LN(2)/25)*Calculateur!V165*Calculateur!X165*VLOOKUP('Données projet'!$B$9,Paramètres!$A$1:$I$89,3,0)*0.475*44/12</f>
        <v>0.3901069192850215</v>
      </c>
      <c r="AB165" s="23">
        <f>EXP(-LN(2)/2)*AB164+(1-EXP(-LN(2)/2))/(LN(2)/2)*V165*Y165*VLOOKUP('Données projet'!$B$9,Paramètres!$A$1:$I$89,3,0)*0.475*44/12</f>
        <v>8.8384795196374806E-16</v>
      </c>
      <c r="AC165" s="24">
        <f t="shared" si="163"/>
        <v>5.5145209037645895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1.5961632016114892E-13</v>
      </c>
      <c r="AK165" s="14">
        <f t="shared" si="164"/>
        <v>2.2708641912150958E-12</v>
      </c>
      <c r="AL165" s="22">
        <f t="shared" si="165"/>
        <v>4.2330868906469593E-12</v>
      </c>
      <c r="AM165" s="62">
        <f t="shared" si="113"/>
        <v>293.33333333333752</v>
      </c>
      <c r="AN165" s="62">
        <f ca="1">AVERAGE(OFFSET($AM$3,0,0,'Données projet'!$E$10+1,1))-AVERAGE(OFFSET($H$3,0,0,'Données projet'!$E$10+1,1))</f>
        <v>201.92726874818067</v>
      </c>
      <c r="AO165" s="62">
        <f t="shared" si="144"/>
        <v>197.16147791248727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49.171985804541166</v>
      </c>
      <c r="AV165" s="23">
        <f>EXP(-LN(2)/25)*AV164+(1-EXP(-LN(2)/25))/(LN(2)/25)*Calculateur!AQ165*Calculateur!AS165*VLOOKUP('Données projet'!$B$10,Paramètres!$A$1:$I$89,3,0)*0.475*44/12</f>
        <v>12.712175827493397</v>
      </c>
      <c r="AW165" s="23">
        <f>EXP(-LN(2)/2)*AW164+(1-EXP(-LN(2)/2))/(LN(2)/2)*AQ165*AT165*VLOOKUP('Données projet'!$B$10,Paramètres!$A$1:$I$89,3,0)*0.475*44/12</f>
        <v>4.0442014768279196E-8</v>
      </c>
      <c r="AX165" s="23">
        <f t="shared" si="166"/>
        <v>61.88416167247658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5.9</v>
      </c>
      <c r="BD165" s="13">
        <f>IF('Données projet'!$A$88&gt;35,BD164+BC165-BL164,IF(A165&lt;'Données projet'!$A$88,$BA$205^A165,IF(A165='Données projet'!$A$88,'Données projet'!$B$88,BD164+BC165-BL164)))</f>
        <v>292.60000000000014</v>
      </c>
      <c r="BE165" s="14">
        <f>BD165*VLOOKUP('Données projet'!$B$11,Paramètres!$A$1:$I$89,3,0)*VLOOKUP('Données projet'!$B$11,Paramètres!$A$1:$I$89,5,0)</f>
        <v>296.69640000000015</v>
      </c>
      <c r="BF165" s="14">
        <f t="shared" si="167"/>
        <v>70.483456331899987</v>
      </c>
      <c r="BG165" s="22">
        <f t="shared" si="168"/>
        <v>639.50491644472606</v>
      </c>
      <c r="BH165" s="62">
        <f t="shared" si="116"/>
        <v>932.83824977805943</v>
      </c>
      <c r="BI165" s="62">
        <f ca="1">AVERAGE(OFFSET($BH$3,0,0,'Données projet'!$E$11+1,1))-AVERAGE(OFFSET($H$3,0,0,'Données projet'!$E$11+1,1))</f>
        <v>234.66244049825644</v>
      </c>
      <c r="BJ165" s="62">
        <f t="shared" si="146"/>
        <v>87.037318032671465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63.410931170058326</v>
      </c>
      <c r="BQ165" s="23">
        <f>EXP(-LN(2)/25)*BQ164+(1-EXP(-LN(2)/25))/(LN(2)/25)*Calculateur!BL165*Calculateur!BN165*VLOOKUP('Données projet'!$B$11,Paramètres!$A$1:$I$89,3,0)*0.475*44/12</f>
        <v>2.9083333251917507</v>
      </c>
      <c r="BR165" s="23">
        <f>EXP(-LN(2)/2)*BR164+(1-EXP(-LN(2)/2))/(LN(2)/2)*BL165*BO165*VLOOKUP('Données projet'!$B$11,Paramètres!$A$1:$I$89,3,0)*0.475*44/12</f>
        <v>0.60734431304310355</v>
      </c>
      <c r="BS165" s="24">
        <f t="shared" si="169"/>
        <v>66.926608808293182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395.00000000000017</v>
      </c>
      <c r="O166" s="14">
        <f>N166*VLOOKUP('Données projet'!$B$9,Paramètres!$A$1:$I$89,3,0)*VLOOKUP('Données projet'!$B$9,Paramètres!$A$1:$I$89,5,0)</f>
        <v>236.21000000000009</v>
      </c>
      <c r="P166" s="14">
        <f t="shared" si="141"/>
        <v>57.62333963053878</v>
      </c>
      <c r="Q166" s="22">
        <f t="shared" si="162"/>
        <v>511.75973318985524</v>
      </c>
      <c r="R166" s="62">
        <f t="shared" si="109"/>
        <v>805.09306652318855</v>
      </c>
      <c r="S166" s="62">
        <f ca="1">AVERAGE(OFFSET($R$3,0,0,'Données projet'!$E$9+1,1))-AVERAGE(OFFSET($H$3,0,0,'Données projet'!$E$9+1,1))</f>
        <v>217.62295992724461</v>
      </c>
      <c r="T166" s="62">
        <f t="shared" si="142"/>
        <v>198.62788037979772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5.0239273518278269</v>
      </c>
      <c r="AA166" s="23">
        <f>EXP(-LN(2)/25)*AA165+(1-EXP(-LN(2)/25))/(LN(2)/25)*Calculateur!V166*Calculateur!X166*VLOOKUP('Données projet'!$B$9,Paramètres!$A$1:$I$89,3,0)*0.475*44/12</f>
        <v>0.3794394250623413</v>
      </c>
      <c r="AB166" s="23">
        <f>EXP(-LN(2)/2)*AB165+(1-EXP(-LN(2)/2))/(LN(2)/2)*V166*Y166*VLOOKUP('Données projet'!$B$9,Paramètres!$A$1:$I$89,3,0)*0.475*44/12</f>
        <v>6.2497488037140822E-16</v>
      </c>
      <c r="AC166" s="24">
        <f t="shared" si="163"/>
        <v>5.4033667768901692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1.5961632016114892E-13</v>
      </c>
      <c r="AK166" s="14">
        <f t="shared" si="164"/>
        <v>2.2708641912150958E-12</v>
      </c>
      <c r="AL166" s="22">
        <f t="shared" si="165"/>
        <v>4.2330868906469593E-12</v>
      </c>
      <c r="AM166" s="62">
        <f t="shared" si="113"/>
        <v>293.33333333333752</v>
      </c>
      <c r="AN166" s="62">
        <f ca="1">AVERAGE(OFFSET($AM$3,0,0,'Données projet'!$E$10+1,1))-AVERAGE(OFFSET($H$3,0,0,'Données projet'!$E$10+1,1))</f>
        <v>201.92726874818067</v>
      </c>
      <c r="AO166" s="62">
        <f t="shared" si="144"/>
        <v>197.16147791248727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48.207753154863994</v>
      </c>
      <c r="AV166" s="23">
        <f>EXP(-LN(2)/25)*AV165+(1-EXP(-LN(2)/25))/(LN(2)/25)*Calculateur!AQ166*Calculateur!AS166*VLOOKUP('Données projet'!$B$10,Paramètres!$A$1:$I$89,3,0)*0.475*44/12</f>
        <v>12.364560710986318</v>
      </c>
      <c r="AW166" s="23">
        <f>EXP(-LN(2)/2)*AW165+(1-EXP(-LN(2)/2))/(LN(2)/2)*AQ166*AT166*VLOOKUP('Données projet'!$B$10,Paramètres!$A$1:$I$89,3,0)*0.475*44/12</f>
        <v>2.8596822887496721E-8</v>
      </c>
      <c r="AX166" s="23">
        <f t="shared" si="166"/>
        <v>60.572313894447134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5.9</v>
      </c>
      <c r="BD166" s="13">
        <f>IF('Données projet'!$A$88&gt;35,BD165+BC166-BL165,IF(A166&lt;'Données projet'!$A$88,$BA$205^A166,IF(A166='Données projet'!$A$88,'Données projet'!$B$88,BD165+BC166-BL165)))</f>
        <v>298.50000000000011</v>
      </c>
      <c r="BE166" s="14">
        <f>BD166*VLOOKUP('Données projet'!$B$11,Paramètres!$A$1:$I$89,3,0)*VLOOKUP('Données projet'!$B$11,Paramètres!$A$1:$I$89,5,0)</f>
        <v>302.67900000000014</v>
      </c>
      <c r="BF166" s="14">
        <f t="shared" si="167"/>
        <v>71.73779385345496</v>
      </c>
      <c r="BG166" s="22">
        <f t="shared" si="168"/>
        <v>652.10924929476766</v>
      </c>
      <c r="BH166" s="62">
        <f t="shared" si="116"/>
        <v>945.44258262810104</v>
      </c>
      <c r="BI166" s="62">
        <f ca="1">AVERAGE(OFFSET($BH$3,0,0,'Données projet'!$E$11+1,1))-AVERAGE(OFFSET($H$3,0,0,'Données projet'!$E$11+1,1))</f>
        <v>234.66244049825644</v>
      </c>
      <c r="BJ166" s="62">
        <f t="shared" si="146"/>
        <v>87.037318032671465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62.167481486662474</v>
      </c>
      <c r="BQ166" s="23">
        <f>EXP(-LN(2)/25)*BQ165+(1-EXP(-LN(2)/25))/(LN(2)/25)*Calculateur!BL166*Calculateur!BN166*VLOOKUP('Données projet'!$B$11,Paramètres!$A$1:$I$89,3,0)*0.475*44/12</f>
        <v>2.8288047974717796</v>
      </c>
      <c r="BR166" s="23">
        <f>EXP(-LN(2)/2)*BR165+(1-EXP(-LN(2)/2))/(LN(2)/2)*BL166*BO166*VLOOKUP('Données projet'!$B$11,Paramètres!$A$1:$I$89,3,0)*0.475*44/12</f>
        <v>0.42945728226786389</v>
      </c>
      <c r="BS166" s="24">
        <f t="shared" si="169"/>
        <v>65.425743566402119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395.00000000000017</v>
      </c>
      <c r="O167" s="14">
        <f>N167*VLOOKUP('Données projet'!$B$9,Paramètres!$A$1:$I$89,3,0)*VLOOKUP('Données projet'!$B$9,Paramètres!$A$1:$I$89,5,0)</f>
        <v>236.21000000000009</v>
      </c>
      <c r="P167" s="14">
        <f t="shared" si="141"/>
        <v>57.62333963053878</v>
      </c>
      <c r="Q167" s="22">
        <f t="shared" si="162"/>
        <v>511.75973318985524</v>
      </c>
      <c r="R167" s="62">
        <f t="shared" si="109"/>
        <v>805.09306652318855</v>
      </c>
      <c r="S167" s="62">
        <f ca="1">AVERAGE(OFFSET($R$3,0,0,'Données projet'!$E$9+1,1))-AVERAGE(OFFSET($H$3,0,0,'Données projet'!$E$9+1,1))</f>
        <v>217.62295992724461</v>
      </c>
      <c r="T167" s="62">
        <f t="shared" si="142"/>
        <v>198.62788037979772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4.9254112007515944</v>
      </c>
      <c r="AA167" s="23">
        <f>EXP(-LN(2)/25)*AA166+(1-EXP(-LN(2)/25))/(LN(2)/25)*Calculateur!V167*Calculateur!X167*VLOOKUP('Données projet'!$B$9,Paramètres!$A$1:$I$89,3,0)*0.475*44/12</f>
        <v>0.3690636340301594</v>
      </c>
      <c r="AB167" s="23">
        <f>EXP(-LN(2)/2)*AB166+(1-EXP(-LN(2)/2))/(LN(2)/2)*V167*Y167*VLOOKUP('Données projet'!$B$9,Paramètres!$A$1:$I$89,3,0)*0.475*44/12</f>
        <v>4.4192397598187408E-16</v>
      </c>
      <c r="AC167" s="24">
        <f t="shared" si="163"/>
        <v>5.2944748347817541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1.5961632016114892E-13</v>
      </c>
      <c r="AK167" s="14">
        <f t="shared" si="164"/>
        <v>2.2708641912150958E-12</v>
      </c>
      <c r="AL167" s="22">
        <f t="shared" si="165"/>
        <v>4.2330868906469593E-12</v>
      </c>
      <c r="AM167" s="62">
        <f t="shared" si="113"/>
        <v>293.33333333333752</v>
      </c>
      <c r="AN167" s="62">
        <f ca="1">AVERAGE(OFFSET($AM$3,0,0,'Données projet'!$E$10+1,1))-AVERAGE(OFFSET($H$3,0,0,'Données projet'!$E$10+1,1))</f>
        <v>201.92726874818067</v>
      </c>
      <c r="AO167" s="62">
        <f t="shared" si="144"/>
        <v>197.16147791248727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47.262428519323151</v>
      </c>
      <c r="AV167" s="23">
        <f>EXP(-LN(2)/25)*AV166+(1-EXP(-LN(2)/25))/(LN(2)/25)*Calculateur!AQ167*Calculateur!AS167*VLOOKUP('Données projet'!$B$10,Paramètres!$A$1:$I$89,3,0)*0.475*44/12</f>
        <v>12.026451148120408</v>
      </c>
      <c r="AW167" s="23">
        <f>EXP(-LN(2)/2)*AW166+(1-EXP(-LN(2)/2))/(LN(2)/2)*AQ167*AT167*VLOOKUP('Données projet'!$B$10,Paramètres!$A$1:$I$89,3,0)*0.475*44/12</f>
        <v>2.0221007384139598E-8</v>
      </c>
      <c r="AX167" s="23">
        <f t="shared" si="166"/>
        <v>59.288879687664569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5.9</v>
      </c>
      <c r="BD167" s="13">
        <f>IF('Données projet'!$A$88&gt;35,BD166+BC167-BL166,IF(A167&lt;'Données projet'!$A$88,$BA$205^A167,IF(A167='Données projet'!$A$88,'Données projet'!$B$88,BD166+BC167-BL166)))</f>
        <v>304.40000000000009</v>
      </c>
      <c r="BE167" s="14">
        <f>BD167*VLOOKUP('Données projet'!$B$11,Paramètres!$A$1:$I$89,3,0)*VLOOKUP('Données projet'!$B$11,Paramètres!$A$1:$I$89,5,0)</f>
        <v>308.66160000000013</v>
      </c>
      <c r="BF167" s="14">
        <f t="shared" si="167"/>
        <v>72.989248635053187</v>
      </c>
      <c r="BG167" s="22">
        <f t="shared" si="168"/>
        <v>664.70856137271778</v>
      </c>
      <c r="BH167" s="62">
        <f t="shared" si="116"/>
        <v>958.04189470605115</v>
      </c>
      <c r="BI167" s="62">
        <f ca="1">AVERAGE(OFFSET($BH$3,0,0,'Données projet'!$E$11+1,1))-AVERAGE(OFFSET($H$3,0,0,'Données projet'!$E$11+1,1))</f>
        <v>234.66244049825644</v>
      </c>
      <c r="BJ167" s="62">
        <f t="shared" si="146"/>
        <v>87.037318032671465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60.948415093128595</v>
      </c>
      <c r="BQ167" s="23">
        <f>EXP(-LN(2)/25)*BQ166+(1-EXP(-LN(2)/25))/(LN(2)/25)*Calculateur!BL167*Calculateur!BN167*VLOOKUP('Données projet'!$B$11,Paramètres!$A$1:$I$89,3,0)*0.475*44/12</f>
        <v>2.7514509815245347</v>
      </c>
      <c r="BR167" s="23">
        <f>EXP(-LN(2)/2)*BR166+(1-EXP(-LN(2)/2))/(LN(2)/2)*BL167*BO167*VLOOKUP('Données projet'!$B$11,Paramètres!$A$1:$I$89,3,0)*0.475*44/12</f>
        <v>0.30367215652155183</v>
      </c>
      <c r="BS167" s="24">
        <f t="shared" si="169"/>
        <v>64.003538231174687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395.00000000000017</v>
      </c>
      <c r="O168" s="14">
        <f>N168*VLOOKUP('Données projet'!$B$9,Paramètres!$A$1:$I$89,3,0)*VLOOKUP('Données projet'!$B$9,Paramètres!$A$1:$I$89,5,0)</f>
        <v>236.21000000000009</v>
      </c>
      <c r="P168" s="14">
        <f t="shared" si="141"/>
        <v>57.62333963053878</v>
      </c>
      <c r="Q168" s="22">
        <f t="shared" si="162"/>
        <v>511.75973318985524</v>
      </c>
      <c r="R168" s="62">
        <f t="shared" si="109"/>
        <v>805.09306652318855</v>
      </c>
      <c r="S168" s="62">
        <f ca="1">AVERAGE(OFFSET($R$3,0,0,'Données projet'!$E$9+1,1))-AVERAGE(OFFSET($H$3,0,0,'Données projet'!$E$9+1,1))</f>
        <v>217.62295992724461</v>
      </c>
      <c r="T168" s="62">
        <f t="shared" si="142"/>
        <v>198.62788037979772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4.8288268913090473</v>
      </c>
      <c r="AA168" s="23">
        <f>EXP(-LN(2)/25)*AA167+(1-EXP(-LN(2)/25))/(LN(2)/25)*Calculateur!V168*Calculateur!X168*VLOOKUP('Données projet'!$B$9,Paramètres!$A$1:$I$89,3,0)*0.475*44/12</f>
        <v>0.35897156954939169</v>
      </c>
      <c r="AB168" s="23">
        <f>EXP(-LN(2)/2)*AB167+(1-EXP(-LN(2)/2))/(LN(2)/2)*V168*Y168*VLOOKUP('Données projet'!$B$9,Paramètres!$A$1:$I$89,3,0)*0.475*44/12</f>
        <v>3.1248744018570416E-16</v>
      </c>
      <c r="AC168" s="24">
        <f t="shared" si="163"/>
        <v>5.1877984608584393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1.5961632016114892E-13</v>
      </c>
      <c r="AK168" s="14">
        <f t="shared" si="164"/>
        <v>2.2708641912150958E-12</v>
      </c>
      <c r="AL168" s="22">
        <f t="shared" si="165"/>
        <v>4.2330868906469593E-12</v>
      </c>
      <c r="AM168" s="62">
        <f t="shared" si="113"/>
        <v>293.33333333333752</v>
      </c>
      <c r="AN168" s="62">
        <f ca="1">AVERAGE(OFFSET($AM$3,0,0,'Données projet'!$E$10+1,1))-AVERAGE(OFFSET($H$3,0,0,'Données projet'!$E$10+1,1))</f>
        <v>201.92726874818067</v>
      </c>
      <c r="AO168" s="62">
        <f t="shared" si="144"/>
        <v>197.16147791248727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46.335641123294167</v>
      </c>
      <c r="AV168" s="23">
        <f>EXP(-LN(2)/25)*AV167+(1-EXP(-LN(2)/25))/(LN(2)/25)*Calculateur!AQ168*Calculateur!AS168*VLOOKUP('Données projet'!$B$10,Paramètres!$A$1:$I$89,3,0)*0.475*44/12</f>
        <v>11.697587209031477</v>
      </c>
      <c r="AW168" s="23">
        <f>EXP(-LN(2)/2)*AW167+(1-EXP(-LN(2)/2))/(LN(2)/2)*AQ168*AT168*VLOOKUP('Données projet'!$B$10,Paramètres!$A$1:$I$89,3,0)*0.475*44/12</f>
        <v>1.4298411443748361E-8</v>
      </c>
      <c r="AX168" s="23">
        <f t="shared" si="166"/>
        <v>58.033228346624057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5.9</v>
      </c>
      <c r="BD168" s="13">
        <f>IF('Données projet'!$A$88&gt;35,BD167+BC168-BL167,IF(A168&lt;'Données projet'!$A$88,$BA$205^A168,IF(A168='Données projet'!$A$88,'Données projet'!$B$88,BD167+BC168-BL167)))</f>
        <v>310.30000000000007</v>
      </c>
      <c r="BE168" s="14">
        <f>BD168*VLOOKUP('Données projet'!$B$11,Paramètres!$A$1:$I$89,3,0)*VLOOKUP('Données projet'!$B$11,Paramètres!$A$1:$I$89,5,0)</f>
        <v>314.64420000000007</v>
      </c>
      <c r="BF168" s="14">
        <f t="shared" si="167"/>
        <v>74.237882992428069</v>
      </c>
      <c r="BG168" s="22">
        <f t="shared" si="168"/>
        <v>677.30296121181232</v>
      </c>
      <c r="BH168" s="62">
        <f t="shared" si="116"/>
        <v>970.63629454514557</v>
      </c>
      <c r="BI168" s="62">
        <f ca="1">AVERAGE(OFFSET($BH$3,0,0,'Données projet'!$E$11+1,1))-AVERAGE(OFFSET($H$3,0,0,'Données projet'!$E$11+1,1))</f>
        <v>234.66244049825644</v>
      </c>
      <c r="BJ168" s="62">
        <f t="shared" si="146"/>
        <v>87.037318032671465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59.753253848014836</v>
      </c>
      <c r="BQ168" s="23">
        <f>EXP(-LN(2)/25)*BQ167+(1-EXP(-LN(2)/25))/(LN(2)/25)*Calculateur!BL168*Calculateur!BN168*VLOOKUP('Données projet'!$B$11,Paramètres!$A$1:$I$89,3,0)*0.475*44/12</f>
        <v>2.6762124097422277</v>
      </c>
      <c r="BR168" s="23">
        <f>EXP(-LN(2)/2)*BR167+(1-EXP(-LN(2)/2))/(LN(2)/2)*BL168*BO168*VLOOKUP('Données projet'!$B$11,Paramètres!$A$1:$I$89,3,0)*0.475*44/12</f>
        <v>0.21472864113393197</v>
      </c>
      <c r="BS168" s="24">
        <f t="shared" si="169"/>
        <v>62.644194898890994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395.00000000000017</v>
      </c>
      <c r="O169" s="14">
        <f>N169*VLOOKUP('Données projet'!$B$9,Paramètres!$A$1:$I$89,3,0)*VLOOKUP('Données projet'!$B$9,Paramètres!$A$1:$I$89,5,0)</f>
        <v>236.21000000000009</v>
      </c>
      <c r="P169" s="14">
        <f t="shared" si="141"/>
        <v>57.62333963053878</v>
      </c>
      <c r="Q169" s="22">
        <f t="shared" si="162"/>
        <v>511.75973318985524</v>
      </c>
      <c r="R169" s="62">
        <f t="shared" si="109"/>
        <v>805.09306652318855</v>
      </c>
      <c r="S169" s="62">
        <f ca="1">AVERAGE(OFFSET($R$3,0,0,'Données projet'!$E$9+1,1))-AVERAGE(OFFSET($H$3,0,0,'Données projet'!$E$9+1,1))</f>
        <v>217.62295992724461</v>
      </c>
      <c r="T169" s="62">
        <f t="shared" si="142"/>
        <v>198.62788037979772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4.734136541264057</v>
      </c>
      <c r="AA169" s="23">
        <f>EXP(-LN(2)/25)*AA168+(1-EXP(-LN(2)/25))/(LN(2)/25)*Calculateur!V169*Calculateur!X169*VLOOKUP('Données projet'!$B$9,Paramètres!$A$1:$I$89,3,0)*0.475*44/12</f>
        <v>0.34915547310256917</v>
      </c>
      <c r="AB169" s="23">
        <f>EXP(-LN(2)/2)*AB168+(1-EXP(-LN(2)/2))/(LN(2)/2)*V169*Y169*VLOOKUP('Données projet'!$B$9,Paramètres!$A$1:$I$89,3,0)*0.475*44/12</f>
        <v>2.2096198799093709E-16</v>
      </c>
      <c r="AC169" s="24">
        <f t="shared" si="163"/>
        <v>5.0832920143666263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1.5961632016114892E-13</v>
      </c>
      <c r="AK169" s="14">
        <f t="shared" si="164"/>
        <v>2.2708641912150958E-12</v>
      </c>
      <c r="AL169" s="22">
        <f t="shared" si="165"/>
        <v>4.2330868906469593E-12</v>
      </c>
      <c r="AM169" s="62">
        <f t="shared" si="113"/>
        <v>293.33333333333752</v>
      </c>
      <c r="AN169" s="62">
        <f ca="1">AVERAGE(OFFSET($AM$3,0,0,'Données projet'!$E$10+1,1))-AVERAGE(OFFSET($H$3,0,0,'Données projet'!$E$10+1,1))</f>
        <v>201.92726874818067</v>
      </c>
      <c r="AO169" s="62">
        <f t="shared" si="144"/>
        <v>197.16147791248727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45.427027462816817</v>
      </c>
      <c r="AV169" s="23">
        <f>EXP(-LN(2)/25)*AV168+(1-EXP(-LN(2)/25))/(LN(2)/25)*Calculateur!AQ169*Calculateur!AS169*VLOOKUP('Données projet'!$B$10,Paramètres!$A$1:$I$89,3,0)*0.475*44/12</f>
        <v>11.377716071651134</v>
      </c>
      <c r="AW169" s="23">
        <f>EXP(-LN(2)/2)*AW168+(1-EXP(-LN(2)/2))/(LN(2)/2)*AQ169*AT169*VLOOKUP('Données projet'!$B$10,Paramètres!$A$1:$I$89,3,0)*0.475*44/12</f>
        <v>1.0110503692069799E-8</v>
      </c>
      <c r="AX169" s="23">
        <f t="shared" si="166"/>
        <v>56.804743544578457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5.9</v>
      </c>
      <c r="BD169" s="13">
        <f>IF('Données projet'!$A$88&gt;35,BD168+BC169-BL168,IF(A169&lt;'Données projet'!$A$88,$BA$205^A169,IF(A169='Données projet'!$A$88,'Données projet'!$B$88,BD168+BC169-BL168)))</f>
        <v>316.20000000000005</v>
      </c>
      <c r="BE169" s="14">
        <f>BD169*VLOOKUP('Données projet'!$B$11,Paramètres!$A$1:$I$89,3,0)*VLOOKUP('Données projet'!$B$11,Paramètres!$A$1:$I$89,5,0)</f>
        <v>320.62680000000006</v>
      </c>
      <c r="BF169" s="14">
        <f t="shared" si="167"/>
        <v>75.483756735990909</v>
      </c>
      <c r="BG169" s="22">
        <f t="shared" si="168"/>
        <v>689.89255298185083</v>
      </c>
      <c r="BH169" s="62">
        <f t="shared" si="116"/>
        <v>983.2258863151842</v>
      </c>
      <c r="BI169" s="62">
        <f ca="1">AVERAGE(OFFSET($BH$3,0,0,'Données projet'!$E$11+1,1))-AVERAGE(OFFSET($H$3,0,0,'Données projet'!$E$11+1,1))</f>
        <v>234.66244049825644</v>
      </c>
      <c r="BJ169" s="62">
        <f t="shared" si="146"/>
        <v>87.037318032671465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58.581528985941382</v>
      </c>
      <c r="BQ169" s="23">
        <f>EXP(-LN(2)/25)*BQ168+(1-EXP(-LN(2)/25))/(LN(2)/25)*Calculateur!BL169*Calculateur!BN169*VLOOKUP('Données projet'!$B$11,Paramètres!$A$1:$I$89,3,0)*0.475*44/12</f>
        <v>2.6030312406619323</v>
      </c>
      <c r="BR169" s="23">
        <f>EXP(-LN(2)/2)*BR168+(1-EXP(-LN(2)/2))/(LN(2)/2)*BL169*BO169*VLOOKUP('Données projet'!$B$11,Paramètres!$A$1:$I$89,3,0)*0.475*44/12</f>
        <v>0.15183607826077594</v>
      </c>
      <c r="BS169" s="24">
        <f t="shared" si="169"/>
        <v>61.336396304864095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395.00000000000017</v>
      </c>
      <c r="O170" s="14">
        <f>N170*VLOOKUP('Données projet'!$B$9,Paramètres!$A$1:$I$89,3,0)*VLOOKUP('Données projet'!$B$9,Paramètres!$A$1:$I$89,5,0)</f>
        <v>236.21000000000009</v>
      </c>
      <c r="P170" s="14">
        <f t="shared" si="141"/>
        <v>57.62333963053878</v>
      </c>
      <c r="Q170" s="22">
        <f t="shared" si="162"/>
        <v>511.75973318985524</v>
      </c>
      <c r="R170" s="62">
        <f t="shared" si="109"/>
        <v>805.09306652318855</v>
      </c>
      <c r="S170" s="62">
        <f ca="1">AVERAGE(OFFSET($R$3,0,0,'Données projet'!$E$9+1,1))-AVERAGE(OFFSET($H$3,0,0,'Données projet'!$E$9+1,1))</f>
        <v>217.62295992724461</v>
      </c>
      <c r="T170" s="62">
        <f t="shared" si="142"/>
        <v>198.62788037979772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4.6413030112280387</v>
      </c>
      <c r="AA170" s="23">
        <f>EXP(-LN(2)/25)*AA169+(1-EXP(-LN(2)/25))/(LN(2)/25)*Calculateur!V170*Calculateur!X170*VLOOKUP('Données projet'!$B$9,Paramètres!$A$1:$I$89,3,0)*0.475*44/12</f>
        <v>0.33960779832929111</v>
      </c>
      <c r="AB170" s="23">
        <f>EXP(-LN(2)/2)*AB169+(1-EXP(-LN(2)/2))/(LN(2)/2)*V170*Y170*VLOOKUP('Données projet'!$B$9,Paramètres!$A$1:$I$89,3,0)*0.475*44/12</f>
        <v>1.5624372009285211E-16</v>
      </c>
      <c r="AC170" s="24">
        <f t="shared" si="163"/>
        <v>4.9809108095573293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1.5961632016114892E-13</v>
      </c>
      <c r="AK170" s="14">
        <f t="shared" si="164"/>
        <v>2.2708641912150958E-12</v>
      </c>
      <c r="AL170" s="22">
        <f t="shared" si="165"/>
        <v>4.2330868906469593E-12</v>
      </c>
      <c r="AM170" s="62">
        <f t="shared" si="113"/>
        <v>293.33333333333752</v>
      </c>
      <c r="AN170" s="62">
        <f ca="1">AVERAGE(OFFSET($AM$3,0,0,'Données projet'!$E$10+1,1))-AVERAGE(OFFSET($H$3,0,0,'Données projet'!$E$10+1,1))</f>
        <v>201.92726874818067</v>
      </c>
      <c r="AO170" s="62">
        <f t="shared" si="144"/>
        <v>197.16147791248727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44.536231162021821</v>
      </c>
      <c r="AV170" s="23">
        <f>EXP(-LN(2)/25)*AV169+(1-EXP(-LN(2)/25))/(LN(2)/25)*Calculateur!AQ170*Calculateur!AS170*VLOOKUP('Données projet'!$B$10,Paramètres!$A$1:$I$89,3,0)*0.475*44/12</f>
        <v>11.06659182734375</v>
      </c>
      <c r="AW170" s="23">
        <f>EXP(-LN(2)/2)*AW169+(1-EXP(-LN(2)/2))/(LN(2)/2)*AQ170*AT170*VLOOKUP('Données projet'!$B$10,Paramètres!$A$1:$I$89,3,0)*0.475*44/12</f>
        <v>7.1492057218741803E-9</v>
      </c>
      <c r="AX170" s="23">
        <f t="shared" si="166"/>
        <v>55.602822996514774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5.9</v>
      </c>
      <c r="BD170" s="13">
        <f>IF('Données projet'!$A$88&gt;35,BD169+BC170-BL169,IF(A170&lt;'Données projet'!$A$88,$BA$205^A170,IF(A170='Données projet'!$A$88,'Données projet'!$B$88,BD169+BC170-BL169)))</f>
        <v>322.10000000000002</v>
      </c>
      <c r="BE170" s="14">
        <f>BD170*VLOOKUP('Données projet'!$B$11,Paramètres!$A$1:$I$89,3,0)*VLOOKUP('Données projet'!$B$11,Paramètres!$A$1:$I$89,5,0)</f>
        <v>326.60940000000005</v>
      </c>
      <c r="BF170" s="14">
        <f t="shared" si="167"/>
        <v>76.726927316388512</v>
      </c>
      <c r="BG170" s="22">
        <f t="shared" si="168"/>
        <v>702.47743674270998</v>
      </c>
      <c r="BH170" s="62">
        <f t="shared" si="116"/>
        <v>995.81077007604335</v>
      </c>
      <c r="BI170" s="62">
        <f ca="1">AVERAGE(OFFSET($BH$3,0,0,'Données projet'!$E$11+1,1))-AVERAGE(OFFSET($H$3,0,0,'Données projet'!$E$11+1,1))</f>
        <v>234.66244049825644</v>
      </c>
      <c r="BJ170" s="62">
        <f t="shared" si="146"/>
        <v>87.037318032671465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57.432780933731593</v>
      </c>
      <c r="BQ170" s="23">
        <f>EXP(-LN(2)/25)*BQ169+(1-EXP(-LN(2)/25))/(LN(2)/25)*Calculateur!BL170*Calculateur!BN170*VLOOKUP('Données projet'!$B$11,Paramètres!$A$1:$I$89,3,0)*0.475*44/12</f>
        <v>2.5318512144985679</v>
      </c>
      <c r="BR170" s="23">
        <f>EXP(-LN(2)/2)*BR169+(1-EXP(-LN(2)/2))/(LN(2)/2)*BL170*BO170*VLOOKUP('Données projet'!$B$11,Paramètres!$A$1:$I$89,3,0)*0.475*44/12</f>
        <v>0.107364320566966</v>
      </c>
      <c r="BS170" s="24">
        <f t="shared" si="169"/>
        <v>60.071996468797124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395.00000000000017</v>
      </c>
      <c r="O171" s="14">
        <f>N171*VLOOKUP('Données projet'!$B$9,Paramètres!$A$1:$I$89,3,0)*VLOOKUP('Données projet'!$B$9,Paramètres!$A$1:$I$89,5,0)</f>
        <v>236.21000000000009</v>
      </c>
      <c r="P171" s="14">
        <f t="shared" si="141"/>
        <v>57.62333963053878</v>
      </c>
      <c r="Q171" s="22">
        <f t="shared" si="162"/>
        <v>511.75973318985524</v>
      </c>
      <c r="R171" s="62">
        <f t="shared" si="109"/>
        <v>805.09306652318855</v>
      </c>
      <c r="S171" s="62">
        <f ca="1">AVERAGE(OFFSET($R$3,0,0,'Données projet'!$E$9+1,1))-AVERAGE(OFFSET($H$3,0,0,'Données projet'!$E$9+1,1))</f>
        <v>217.62295992724461</v>
      </c>
      <c r="T171" s="62">
        <f t="shared" si="142"/>
        <v>198.62788037979772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4.5502898900931639</v>
      </c>
      <c r="AA171" s="23">
        <f>EXP(-LN(2)/25)*AA170+(1-EXP(-LN(2)/25))/(LN(2)/25)*Calculateur!V171*Calculateur!X171*VLOOKUP('Données projet'!$B$9,Paramètres!$A$1:$I$89,3,0)*0.475*44/12</f>
        <v>0.3303212052247787</v>
      </c>
      <c r="AB171" s="23">
        <f>EXP(-LN(2)/2)*AB170+(1-EXP(-LN(2)/2))/(LN(2)/2)*V171*Y171*VLOOKUP('Données projet'!$B$9,Paramètres!$A$1:$I$89,3,0)*0.475*44/12</f>
        <v>1.1048099399546856E-16</v>
      </c>
      <c r="AC171" s="24">
        <f t="shared" si="163"/>
        <v>4.8806110953179429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1.5961632016114892E-13</v>
      </c>
      <c r="AK171" s="14">
        <f t="shared" si="164"/>
        <v>2.2708641912150958E-12</v>
      </c>
      <c r="AL171" s="22">
        <f t="shared" si="165"/>
        <v>4.2330868906469593E-12</v>
      </c>
      <c r="AM171" s="62">
        <f t="shared" si="113"/>
        <v>293.33333333333752</v>
      </c>
      <c r="AN171" s="62">
        <f ca="1">AVERAGE(OFFSET($AM$3,0,0,'Données projet'!$E$10+1,1))-AVERAGE(OFFSET($H$3,0,0,'Données projet'!$E$10+1,1))</f>
        <v>201.92726874818067</v>
      </c>
      <c r="AO171" s="62">
        <f t="shared" si="144"/>
        <v>197.16147791248727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43.662902833353321</v>
      </c>
      <c r="AV171" s="23">
        <f>EXP(-LN(2)/25)*AV170+(1-EXP(-LN(2)/25))/(LN(2)/25)*Calculateur!AQ171*Calculateur!AS171*VLOOKUP('Données projet'!$B$10,Paramètres!$A$1:$I$89,3,0)*0.475*44/12</f>
        <v>10.763975291858264</v>
      </c>
      <c r="AW171" s="23">
        <f>EXP(-LN(2)/2)*AW170+(1-EXP(-LN(2)/2))/(LN(2)/2)*AQ171*AT171*VLOOKUP('Données projet'!$B$10,Paramètres!$A$1:$I$89,3,0)*0.475*44/12</f>
        <v>5.0552518460348995E-9</v>
      </c>
      <c r="AX171" s="23">
        <f t="shared" si="166"/>
        <v>54.426878130266836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>
        <f>VLOOKUP(A171,'Données projet'!$A$87:$I$107,2,0)</f>
        <v>328</v>
      </c>
      <c r="BB171" s="13">
        <f>VLOOKUP(A171,'Données projet'!$A$87:$I$107,9,0)</f>
        <v>5.9</v>
      </c>
      <c r="BC171" s="13">
        <f t="array" ref="BC171">INDEX(BB:BB,MIN(IF(ISNUMBER(BB171:BB367),ROW(BB171:BB367),"")))</f>
        <v>5.9</v>
      </c>
      <c r="BD171" s="13">
        <f>IF('Données projet'!$A$88&gt;35,BD170+BC171-BL170,IF(A171&lt;'Données projet'!$A$88,$BA$205^A171,IF(A171='Données projet'!$A$88,'Données projet'!$B$88,BD170+BC171-BL170)))</f>
        <v>328</v>
      </c>
      <c r="BE171" s="14">
        <f>BD171*VLOOKUP('Données projet'!$B$11,Paramètres!$A$1:$I$89,3,0)*VLOOKUP('Données projet'!$B$11,Paramètres!$A$1:$I$89,5,0)</f>
        <v>332.59200000000004</v>
      </c>
      <c r="BF171" s="14">
        <f t="shared" si="167"/>
        <v>77.967449959094594</v>
      </c>
      <c r="BG171" s="22">
        <f t="shared" si="168"/>
        <v>715.05770867875651</v>
      </c>
      <c r="BH171" s="62">
        <f t="shared" si="116"/>
        <v>1008.3910420120899</v>
      </c>
      <c r="BI171" s="62">
        <f ca="1">AVERAGE(OFFSET($BH$3,0,0,'Données projet'!$E$11+1,1))-AVERAGE(OFFSET($H$3,0,0,'Données projet'!$E$11+1,1))</f>
        <v>234.66244049825644</v>
      </c>
      <c r="BJ171" s="62">
        <f t="shared" si="146"/>
        <v>87.037318032671465</v>
      </c>
      <c r="BK171" s="16">
        <f>IF(ISNA(VLOOKUP(A171,'Données projet'!$A$87:$I$107,3,0)),0,VLOOKUP(A171,'Données projet'!$A$87:$I$107,3,0))</f>
        <v>14</v>
      </c>
      <c r="BL171" s="16">
        <f>IF(ISNA(VLOOKUP(A171,'Données projet'!$A$87:$I$107,4,0)),0,VLOOKUP(A171,'Données projet'!$A$87:$I$107,4,0))</f>
        <v>41</v>
      </c>
      <c r="BM171" s="17">
        <f>IF(ISNA(VLOOKUP(A171,'Données projet'!$A$87:$I$107,5,0)),0%,VLOOKUP(A171,'Données projet'!$A$87:$I$107,5,0)*VLOOKUP('Données projet'!$B$11,Paramètres!$A$1:$I$89,7,0))</f>
        <v>0.34400000000000003</v>
      </c>
      <c r="BN171" s="17">
        <f>IF(ISNA(VLOOKUP(A171,'Données projet'!$A$87:$I$107,6,0)),0%,VLOOKUP(A171,'Données projet'!$A$87:$I$107,6,0)*VLOOKUP('Données projet'!$B$11,Paramètres!$A$1:$I$89,7,0))</f>
        <v>1.72E-2</v>
      </c>
      <c r="BO171" s="17">
        <f>IF(ISNA(VLOOKUP(A171,'Données projet'!$A$87:$I$107,7,0)),0%,VLOOKUP(A171,'Données projet'!$A$87:$I$107,7,0))</f>
        <v>0.06</v>
      </c>
      <c r="BP171" s="23">
        <f>EXP(-LN(2)/35)*BP170+(1-EXP(-LN(2)/35))/(LN(2)/35)*BL171*BM171*VLOOKUP('Données projet'!$B$11,Paramètres!$A$1:$I$89,3,0)*0.475*44/12</f>
        <v>72.116395122352287</v>
      </c>
      <c r="BQ171" s="23">
        <f>EXP(-LN(2)/25)*BQ170+(1-EXP(-LN(2)/25))/(LN(2)/25)*Calculateur!BL171*Calculateur!BN171*VLOOKUP('Données projet'!$B$11,Paramètres!$A$1:$I$89,3,0)*0.475*44/12</f>
        <v>3.2499969420874724</v>
      </c>
      <c r="BR171" s="23">
        <f>EXP(-LN(2)/2)*BR170+(1-EXP(-LN(2)/2))/(LN(2)/2)*BL171*BO171*VLOOKUP('Données projet'!$B$11,Paramètres!$A$1:$I$89,3,0)*0.475*44/12</f>
        <v>2.4294893159986524</v>
      </c>
      <c r="BS171" s="24">
        <f t="shared" si="169"/>
        <v>77.795881380438416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395.00000000000017</v>
      </c>
      <c r="O172" s="14">
        <f>N172*VLOOKUP('Données projet'!$B$9,Paramètres!$A$1:$I$89,3,0)*VLOOKUP('Données projet'!$B$9,Paramètres!$A$1:$I$89,5,0)</f>
        <v>236.21000000000009</v>
      </c>
      <c r="P172" s="14">
        <f t="shared" si="141"/>
        <v>57.62333963053878</v>
      </c>
      <c r="Q172" s="22">
        <f t="shared" si="162"/>
        <v>511.75973318985524</v>
      </c>
      <c r="R172" s="62">
        <f t="shared" si="109"/>
        <v>805.09306652318855</v>
      </c>
      <c r="S172" s="62">
        <f ca="1">AVERAGE(OFFSET($R$3,0,0,'Données projet'!$E$9+1,1))-AVERAGE(OFFSET($H$3,0,0,'Données projet'!$E$9+1,1))</f>
        <v>217.62295992724461</v>
      </c>
      <c r="T172" s="62">
        <f t="shared" si="142"/>
        <v>198.62788037979772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4.4610614807512219</v>
      </c>
      <c r="AA172" s="23">
        <f>EXP(-LN(2)/25)*AA171+(1-EXP(-LN(2)/25))/(LN(2)/25)*Calculateur!V172*Calculateur!X172*VLOOKUP('Données projet'!$B$9,Paramètres!$A$1:$I$89,3,0)*0.475*44/12</f>
        <v>0.32128855449706989</v>
      </c>
      <c r="AB172" s="23">
        <f>EXP(-LN(2)/2)*AB171+(1-EXP(-LN(2)/2))/(LN(2)/2)*V172*Y172*VLOOKUP('Données projet'!$B$9,Paramètres!$A$1:$I$89,3,0)*0.475*44/12</f>
        <v>7.8121860046426065E-17</v>
      </c>
      <c r="AC172" s="24">
        <f t="shared" si="163"/>
        <v>4.7823500352482915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1.5961632016114892E-13</v>
      </c>
      <c r="AK172" s="14">
        <f t="shared" si="164"/>
        <v>2.2708641912150958E-12</v>
      </c>
      <c r="AL172" s="22">
        <f t="shared" si="165"/>
        <v>4.2330868906469593E-12</v>
      </c>
      <c r="AM172" s="62">
        <f t="shared" si="113"/>
        <v>293.33333333333752</v>
      </c>
      <c r="AN172" s="62">
        <f ca="1">AVERAGE(OFFSET($AM$3,0,0,'Données projet'!$E$10+1,1))-AVERAGE(OFFSET($H$3,0,0,'Données projet'!$E$10+1,1))</f>
        <v>201.92726874818067</v>
      </c>
      <c r="AO172" s="62">
        <f t="shared" si="144"/>
        <v>197.16147791248727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42.806699940532326</v>
      </c>
      <c r="AV172" s="23">
        <f>EXP(-LN(2)/25)*AV171+(1-EXP(-LN(2)/25))/(LN(2)/25)*Calculateur!AQ172*Calculateur!AS172*VLOOKUP('Données projet'!$B$10,Paramètres!$A$1:$I$89,3,0)*0.475*44/12</f>
        <v>10.469633821449541</v>
      </c>
      <c r="AW172" s="23">
        <f>EXP(-LN(2)/2)*AW171+(1-EXP(-LN(2)/2))/(LN(2)/2)*AQ172*AT172*VLOOKUP('Données projet'!$B$10,Paramètres!$A$1:$I$89,3,0)*0.475*44/12</f>
        <v>3.5746028609370901E-9</v>
      </c>
      <c r="AX172" s="23">
        <f t="shared" si="166"/>
        <v>53.276333765556473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287</v>
      </c>
      <c r="BE172" s="14">
        <f>BD172*VLOOKUP('Données projet'!$B$11,Paramètres!$A$1:$I$89,3,0)*VLOOKUP('Données projet'!$B$11,Paramètres!$A$1:$I$89,5,0)</f>
        <v>291.01800000000003</v>
      </c>
      <c r="BF172" s="14">
        <f t="shared" si="167"/>
        <v>69.290173032120919</v>
      </c>
      <c r="BG172" s="22">
        <f t="shared" si="168"/>
        <v>627.53673469761077</v>
      </c>
      <c r="BH172" s="62">
        <f t="shared" si="116"/>
        <v>920.87006803094414</v>
      </c>
      <c r="BI172" s="62">
        <f ca="1">AVERAGE(OFFSET($BH$3,0,0,'Données projet'!$E$11+1,1))-AVERAGE(OFFSET($H$3,0,0,'Données projet'!$E$11+1,1))</f>
        <v>234.66244049825644</v>
      </c>
      <c r="BJ172" s="62">
        <f t="shared" si="146"/>
        <v>87.037318032671465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70.702236600660669</v>
      </c>
      <c r="BQ172" s="23">
        <f>EXP(-LN(2)/25)*BQ171+(1-EXP(-LN(2)/25))/(LN(2)/25)*Calculateur!BL172*Calculateur!BN172*VLOOKUP('Données projet'!$B$11,Paramètres!$A$1:$I$89,3,0)*0.475*44/12</f>
        <v>3.1611256047961791</v>
      </c>
      <c r="BR172" s="23">
        <f>EXP(-LN(2)/2)*BR171+(1-EXP(-LN(2)/2))/(LN(2)/2)*BL172*BO172*VLOOKUP('Données projet'!$B$11,Paramètres!$A$1:$I$89,3,0)*0.475*44/12</f>
        <v>1.7179083701629143</v>
      </c>
      <c r="BS172" s="24">
        <f t="shared" si="169"/>
        <v>75.581270575619769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395.00000000000017</v>
      </c>
      <c r="O173" s="14">
        <f>N173*VLOOKUP('Données projet'!$B$9,Paramètres!$A$1:$I$89,3,0)*VLOOKUP('Données projet'!$B$9,Paramètres!$A$1:$I$89,5,0)</f>
        <v>236.21000000000009</v>
      </c>
      <c r="P173" s="14">
        <f t="shared" si="141"/>
        <v>57.62333963053878</v>
      </c>
      <c r="Q173" s="22">
        <f t="shared" si="162"/>
        <v>511.75973318985524</v>
      </c>
      <c r="R173" s="62">
        <f t="shared" si="109"/>
        <v>805.09306652318855</v>
      </c>
      <c r="S173" s="62">
        <f ca="1">AVERAGE(OFFSET($R$3,0,0,'Données projet'!$E$9+1,1))-AVERAGE(OFFSET($H$3,0,0,'Données projet'!$E$9+1,1))</f>
        <v>217.62295992724461</v>
      </c>
      <c r="T173" s="62">
        <f t="shared" si="142"/>
        <v>198.62788037979772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4.3735827860925189</v>
      </c>
      <c r="AA173" s="23">
        <f>EXP(-LN(2)/25)*AA172+(1-EXP(-LN(2)/25))/(LN(2)/25)*Calculateur!V173*Calculateur!X173*VLOOKUP('Données projet'!$B$9,Paramètres!$A$1:$I$89,3,0)*0.475*44/12</f>
        <v>0.31250290207851672</v>
      </c>
      <c r="AB173" s="23">
        <f>EXP(-LN(2)/2)*AB172+(1-EXP(-LN(2)/2))/(LN(2)/2)*V173*Y173*VLOOKUP('Données projet'!$B$9,Paramètres!$A$1:$I$89,3,0)*0.475*44/12</f>
        <v>5.5240496997734291E-17</v>
      </c>
      <c r="AC173" s="24">
        <f t="shared" si="163"/>
        <v>4.686085688171036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1.5961632016114892E-13</v>
      </c>
      <c r="AK173" s="14">
        <f t="shared" si="164"/>
        <v>2.2708641912150958E-12</v>
      </c>
      <c r="AL173" s="22">
        <f t="shared" si="165"/>
        <v>4.2330868906469593E-12</v>
      </c>
      <c r="AM173" s="62">
        <f t="shared" si="113"/>
        <v>293.33333333333752</v>
      </c>
      <c r="AN173" s="62">
        <f ca="1">AVERAGE(OFFSET($AM$3,0,0,'Données projet'!$E$10+1,1))-AVERAGE(OFFSET($H$3,0,0,'Données projet'!$E$10+1,1))</f>
        <v>201.92726874818067</v>
      </c>
      <c r="AO173" s="62">
        <f t="shared" si="144"/>
        <v>197.16147791248727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41.96728666420735</v>
      </c>
      <c r="AV173" s="23">
        <f>EXP(-LN(2)/25)*AV172+(1-EXP(-LN(2)/25))/(LN(2)/25)*Calculateur!AQ173*Calculateur!AS173*VLOOKUP('Données projet'!$B$10,Paramètres!$A$1:$I$89,3,0)*0.475*44/12</f>
        <v>10.18334113402789</v>
      </c>
      <c r="AW173" s="23">
        <f>EXP(-LN(2)/2)*AW172+(1-EXP(-LN(2)/2))/(LN(2)/2)*AQ173*AT173*VLOOKUP('Données projet'!$B$10,Paramètres!$A$1:$I$89,3,0)*0.475*44/12</f>
        <v>2.5276259230174497E-9</v>
      </c>
      <c r="AX173" s="23">
        <f t="shared" si="166"/>
        <v>52.150627800762869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287</v>
      </c>
      <c r="BE173" s="14">
        <f>BD173*VLOOKUP('Données projet'!$B$11,Paramètres!$A$1:$I$89,3,0)*VLOOKUP('Données projet'!$B$11,Paramètres!$A$1:$I$89,5,0)</f>
        <v>291.01800000000003</v>
      </c>
      <c r="BF173" s="14">
        <f t="shared" si="167"/>
        <v>69.290173032120919</v>
      </c>
      <c r="BG173" s="22">
        <f t="shared" si="168"/>
        <v>627.53673469761077</v>
      </c>
      <c r="BH173" s="62">
        <f t="shared" si="116"/>
        <v>920.87006803094414</v>
      </c>
      <c r="BI173" s="62">
        <f ca="1">AVERAGE(OFFSET($BH$3,0,0,'Données projet'!$E$11+1,1))-AVERAGE(OFFSET($H$3,0,0,'Données projet'!$E$11+1,1))</f>
        <v>234.66244049825644</v>
      </c>
      <c r="BJ173" s="62">
        <f t="shared" si="146"/>
        <v>87.037318032671465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69.31580886502789</v>
      </c>
      <c r="BQ173" s="23">
        <f>EXP(-LN(2)/25)*BQ172+(1-EXP(-LN(2)/25))/(LN(2)/25)*Calculateur!BL173*Calculateur!BN173*VLOOKUP('Données projet'!$B$11,Paramètres!$A$1:$I$89,3,0)*0.475*44/12</f>
        <v>3.0746844588966571</v>
      </c>
      <c r="BR173" s="23">
        <f>EXP(-LN(2)/2)*BR172+(1-EXP(-LN(2)/2))/(LN(2)/2)*BL173*BO173*VLOOKUP('Données projet'!$B$11,Paramètres!$A$1:$I$89,3,0)*0.475*44/12</f>
        <v>1.2147446579993264</v>
      </c>
      <c r="BS173" s="24">
        <f t="shared" si="169"/>
        <v>73.605237981923878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395.00000000000017</v>
      </c>
      <c r="O174" s="14">
        <f>N174*VLOOKUP('Données projet'!$B$9,Paramètres!$A$1:$I$89,3,0)*VLOOKUP('Données projet'!$B$9,Paramètres!$A$1:$I$89,5,0)</f>
        <v>236.21000000000009</v>
      </c>
      <c r="P174" s="14">
        <f t="shared" si="141"/>
        <v>57.62333963053878</v>
      </c>
      <c r="Q174" s="22">
        <f t="shared" si="162"/>
        <v>511.75973318985524</v>
      </c>
      <c r="R174" s="62">
        <f t="shared" si="109"/>
        <v>805.09306652318855</v>
      </c>
      <c r="S174" s="62">
        <f ca="1">AVERAGE(OFFSET($R$3,0,0,'Données projet'!$E$9+1,1))-AVERAGE(OFFSET($H$3,0,0,'Données projet'!$E$9+1,1))</f>
        <v>217.62295992724461</v>
      </c>
      <c r="T174" s="62">
        <f t="shared" si="142"/>
        <v>198.62788037979772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4.2878194952793383</v>
      </c>
      <c r="AA174" s="23">
        <f>EXP(-LN(2)/25)*AA173+(1-EXP(-LN(2)/25))/(LN(2)/25)*Calculateur!V174*Calculateur!X174*VLOOKUP('Données projet'!$B$9,Paramètres!$A$1:$I$89,3,0)*0.475*44/12</f>
        <v>0.30395749378736631</v>
      </c>
      <c r="AB174" s="23">
        <f>EXP(-LN(2)/2)*AB173+(1-EXP(-LN(2)/2))/(LN(2)/2)*V174*Y174*VLOOKUP('Données projet'!$B$9,Paramètres!$A$1:$I$89,3,0)*0.475*44/12</f>
        <v>3.9060930023213039E-17</v>
      </c>
      <c r="AC174" s="24">
        <f t="shared" si="163"/>
        <v>4.5917769890667044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1.5961632016114892E-13</v>
      </c>
      <c r="AK174" s="14">
        <f t="shared" si="164"/>
        <v>2.2708641912150958E-12</v>
      </c>
      <c r="AL174" s="22">
        <f t="shared" si="165"/>
        <v>4.2330868906469593E-12</v>
      </c>
      <c r="AM174" s="62">
        <f t="shared" si="113"/>
        <v>293.33333333333752</v>
      </c>
      <c r="AN174" s="62">
        <f ca="1">AVERAGE(OFFSET($AM$3,0,0,'Données projet'!$E$10+1,1))-AVERAGE(OFFSET($H$3,0,0,'Données projet'!$E$10+1,1))</f>
        <v>201.92726874818067</v>
      </c>
      <c r="AO174" s="62">
        <f t="shared" si="144"/>
        <v>197.16147791248727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41.144333770239562</v>
      </c>
      <c r="AV174" s="23">
        <f>EXP(-LN(2)/25)*AV173+(1-EXP(-LN(2)/25))/(LN(2)/25)*Calculateur!AQ174*Calculateur!AS174*VLOOKUP('Données projet'!$B$10,Paramètres!$A$1:$I$89,3,0)*0.475*44/12</f>
        <v>9.9048771351992606</v>
      </c>
      <c r="AW174" s="23">
        <f>EXP(-LN(2)/2)*AW173+(1-EXP(-LN(2)/2))/(LN(2)/2)*AQ174*AT174*VLOOKUP('Données projet'!$B$10,Paramètres!$A$1:$I$89,3,0)*0.475*44/12</f>
        <v>1.7873014304685451E-9</v>
      </c>
      <c r="AX174" s="23">
        <f t="shared" si="166"/>
        <v>51.049210907226126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287</v>
      </c>
      <c r="BE174" s="14">
        <f>BD174*VLOOKUP('Données projet'!$B$11,Paramètres!$A$1:$I$89,3,0)*VLOOKUP('Données projet'!$B$11,Paramètres!$A$1:$I$89,5,0)</f>
        <v>291.01800000000003</v>
      </c>
      <c r="BF174" s="14">
        <f t="shared" si="167"/>
        <v>69.290173032120919</v>
      </c>
      <c r="BG174" s="22">
        <f t="shared" si="168"/>
        <v>627.53673469761077</v>
      </c>
      <c r="BH174" s="62">
        <f t="shared" si="116"/>
        <v>920.87006803094414</v>
      </c>
      <c r="BI174" s="62">
        <f ca="1">AVERAGE(OFFSET($BH$3,0,0,'Données projet'!$E$11+1,1))-AVERAGE(OFFSET($H$3,0,0,'Données projet'!$E$11+1,1))</f>
        <v>234.66244049825644</v>
      </c>
      <c r="BJ174" s="62">
        <f t="shared" si="146"/>
        <v>87.037318032671465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67.956568131653455</v>
      </c>
      <c r="BQ174" s="23">
        <f>EXP(-LN(2)/25)*BQ173+(1-EXP(-LN(2)/25))/(LN(2)/25)*Calculateur!BL174*Calculateur!BN174*VLOOKUP('Données projet'!$B$11,Paramètres!$A$1:$I$89,3,0)*0.475*44/12</f>
        <v>2.9906070506774998</v>
      </c>
      <c r="BR174" s="23">
        <f>EXP(-LN(2)/2)*BR173+(1-EXP(-LN(2)/2))/(LN(2)/2)*BL174*BO174*VLOOKUP('Données projet'!$B$11,Paramètres!$A$1:$I$89,3,0)*0.475*44/12</f>
        <v>0.85895418508145727</v>
      </c>
      <c r="BS174" s="24">
        <f t="shared" si="169"/>
        <v>71.80612936741241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395.00000000000017</v>
      </c>
      <c r="O175" s="14">
        <f>N175*VLOOKUP('Données projet'!$B$9,Paramètres!$A$1:$I$89,3,0)*VLOOKUP('Données projet'!$B$9,Paramètres!$A$1:$I$89,5,0)</f>
        <v>236.21000000000009</v>
      </c>
      <c r="P175" s="14">
        <f t="shared" si="141"/>
        <v>57.62333963053878</v>
      </c>
      <c r="Q175" s="22">
        <f t="shared" si="162"/>
        <v>511.75973318985524</v>
      </c>
      <c r="R175" s="62">
        <f t="shared" si="109"/>
        <v>805.09306652318855</v>
      </c>
      <c r="S175" s="62">
        <f ca="1">AVERAGE(OFFSET($R$3,0,0,'Données projet'!$E$9+1,1))-AVERAGE(OFFSET($H$3,0,0,'Données projet'!$E$9+1,1))</f>
        <v>217.62295992724461</v>
      </c>
      <c r="T175" s="62">
        <f t="shared" si="142"/>
        <v>198.62788037979772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4.2037379702885618</v>
      </c>
      <c r="AA175" s="23">
        <f>EXP(-LN(2)/25)*AA174+(1-EXP(-LN(2)/25))/(LN(2)/25)*Calculateur!V175*Calculateur!X175*VLOOKUP('Données projet'!$B$9,Paramètres!$A$1:$I$89,3,0)*0.475*44/12</f>
        <v>0.2956457601353209</v>
      </c>
      <c r="AB175" s="23">
        <f>EXP(-LN(2)/2)*AB174+(1-EXP(-LN(2)/2))/(LN(2)/2)*V175*Y175*VLOOKUP('Données projet'!$B$9,Paramètres!$A$1:$I$89,3,0)*0.475*44/12</f>
        <v>2.7620248498867149E-17</v>
      </c>
      <c r="AC175" s="24">
        <f t="shared" si="163"/>
        <v>4.4993837304238831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1.5961632016114892E-13</v>
      </c>
      <c r="AK175" s="14">
        <f t="shared" si="164"/>
        <v>2.2708641912150958E-12</v>
      </c>
      <c r="AL175" s="22">
        <f t="shared" si="165"/>
        <v>4.2330868906469593E-12</v>
      </c>
      <c r="AM175" s="62">
        <f t="shared" si="113"/>
        <v>293.33333333333752</v>
      </c>
      <c r="AN175" s="62">
        <f ca="1">AVERAGE(OFFSET($AM$3,0,0,'Données projet'!$E$10+1,1))-AVERAGE(OFFSET($H$3,0,0,'Données projet'!$E$10+1,1))</f>
        <v>201.92726874818067</v>
      </c>
      <c r="AO175" s="62">
        <f t="shared" si="144"/>
        <v>197.16147791248727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40.337518480570786</v>
      </c>
      <c r="AV175" s="23">
        <f>EXP(-LN(2)/25)*AV174+(1-EXP(-LN(2)/25))/(LN(2)/25)*Calculateur!AQ175*Calculateur!AS175*VLOOKUP('Données projet'!$B$10,Paramètres!$A$1:$I$89,3,0)*0.475*44/12</f>
        <v>9.6340277490623869</v>
      </c>
      <c r="AW175" s="23">
        <f>EXP(-LN(2)/2)*AW174+(1-EXP(-LN(2)/2))/(LN(2)/2)*AQ175*AT175*VLOOKUP('Données projet'!$B$10,Paramètres!$A$1:$I$89,3,0)*0.475*44/12</f>
        <v>1.2638129615087249E-9</v>
      </c>
      <c r="AX175" s="23">
        <f t="shared" si="166"/>
        <v>49.97154623089699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287</v>
      </c>
      <c r="BE175" s="14">
        <f>BD175*VLOOKUP('Données projet'!$B$11,Paramètres!$A$1:$I$89,3,0)*VLOOKUP('Données projet'!$B$11,Paramètres!$A$1:$I$89,5,0)</f>
        <v>291.01800000000003</v>
      </c>
      <c r="BF175" s="14">
        <f t="shared" si="167"/>
        <v>69.290173032120919</v>
      </c>
      <c r="BG175" s="22">
        <f t="shared" si="168"/>
        <v>627.53673469761077</v>
      </c>
      <c r="BH175" s="62">
        <f t="shared" si="116"/>
        <v>920.87006803094414</v>
      </c>
      <c r="BI175" s="62">
        <f ca="1">AVERAGE(OFFSET($BH$3,0,0,'Données projet'!$E$11+1,1))-AVERAGE(OFFSET($H$3,0,0,'Données projet'!$E$11+1,1))</f>
        <v>234.66244049825644</v>
      </c>
      <c r="BJ175" s="62">
        <f t="shared" si="146"/>
        <v>87.037318032671465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66.623981280005495</v>
      </c>
      <c r="BQ175" s="23">
        <f>EXP(-LN(2)/25)*BQ174+(1-EXP(-LN(2)/25))/(LN(2)/25)*Calculateur!BL175*Calculateur!BN175*VLOOKUP('Données projet'!$B$11,Paramètres!$A$1:$I$89,3,0)*0.475*44/12</f>
        <v>2.908828743607534</v>
      </c>
      <c r="BR175" s="23">
        <f>EXP(-LN(2)/2)*BR174+(1-EXP(-LN(2)/2))/(LN(2)/2)*BL175*BO175*VLOOKUP('Données projet'!$B$11,Paramètres!$A$1:$I$89,3,0)*0.475*44/12</f>
        <v>0.60737232899966331</v>
      </c>
      <c r="BS175" s="24">
        <f t="shared" si="169"/>
        <v>70.140182352612683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395.00000000000017</v>
      </c>
      <c r="O176" s="14">
        <f>N176*VLOOKUP('Données projet'!$B$9,Paramètres!$A$1:$I$89,3,0)*VLOOKUP('Données projet'!$B$9,Paramètres!$A$1:$I$89,5,0)</f>
        <v>236.21000000000009</v>
      </c>
      <c r="P176" s="14">
        <f t="shared" si="141"/>
        <v>57.62333963053878</v>
      </c>
      <c r="Q176" s="22">
        <f t="shared" si="162"/>
        <v>511.75973318985524</v>
      </c>
      <c r="R176" s="62">
        <f t="shared" si="109"/>
        <v>805.09306652318855</v>
      </c>
      <c r="S176" s="62">
        <f ca="1">AVERAGE(OFFSET($R$3,0,0,'Données projet'!$E$9+1,1))-AVERAGE(OFFSET($H$3,0,0,'Données projet'!$E$9+1,1))</f>
        <v>217.62295992724461</v>
      </c>
      <c r="T176" s="62">
        <f t="shared" si="142"/>
        <v>198.62788037979772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4.1213052327181883</v>
      </c>
      <c r="AA176" s="23">
        <f>EXP(-LN(2)/25)*AA175+(1-EXP(-LN(2)/25))/(LN(2)/25)*Calculateur!V176*Calculateur!X176*VLOOKUP('Données projet'!$B$9,Paramètres!$A$1:$I$89,3,0)*0.475*44/12</f>
        <v>0.28756131127708573</v>
      </c>
      <c r="AB176" s="23">
        <f>EXP(-LN(2)/2)*AB175+(1-EXP(-LN(2)/2))/(LN(2)/2)*V176*Y176*VLOOKUP('Données projet'!$B$9,Paramètres!$A$1:$I$89,3,0)*0.475*44/12</f>
        <v>1.9530465011606522E-17</v>
      </c>
      <c r="AC176" s="24">
        <f t="shared" si="163"/>
        <v>4.4088665439952743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1.5961632016114892E-13</v>
      </c>
      <c r="AK176" s="14">
        <f t="shared" si="164"/>
        <v>2.2708641912150958E-12</v>
      </c>
      <c r="AL176" s="22">
        <f t="shared" si="165"/>
        <v>4.2330868906469593E-12</v>
      </c>
      <c r="AM176" s="62">
        <f t="shared" si="113"/>
        <v>293.33333333333752</v>
      </c>
      <c r="AN176" s="62">
        <f ca="1">AVERAGE(OFFSET($AM$3,0,0,'Données projet'!$E$10+1,1))-AVERAGE(OFFSET($H$3,0,0,'Données projet'!$E$10+1,1))</f>
        <v>201.92726874818067</v>
      </c>
      <c r="AO176" s="62">
        <f t="shared" si="144"/>
        <v>197.16147791248727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39.546524346623677</v>
      </c>
      <c r="AV176" s="23">
        <f>EXP(-LN(2)/25)*AV175+(1-EXP(-LN(2)/25))/(LN(2)/25)*Calculateur!AQ176*Calculateur!AS176*VLOOKUP('Données projet'!$B$10,Paramètres!$A$1:$I$89,3,0)*0.475*44/12</f>
        <v>9.3705847536327749</v>
      </c>
      <c r="AW176" s="23">
        <f>EXP(-LN(2)/2)*AW175+(1-EXP(-LN(2)/2))/(LN(2)/2)*AQ176*AT176*VLOOKUP('Données projet'!$B$10,Paramètres!$A$1:$I$89,3,0)*0.475*44/12</f>
        <v>8.9365071523427253E-10</v>
      </c>
      <c r="AX176" s="23">
        <f t="shared" si="166"/>
        <v>48.917109101150103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287</v>
      </c>
      <c r="BE176" s="14">
        <f>BD176*VLOOKUP('Données projet'!$B$11,Paramètres!$A$1:$I$89,3,0)*VLOOKUP('Données projet'!$B$11,Paramètres!$A$1:$I$89,5,0)</f>
        <v>291.01800000000003</v>
      </c>
      <c r="BF176" s="14">
        <f t="shared" si="167"/>
        <v>69.290173032120919</v>
      </c>
      <c r="BG176" s="22">
        <f t="shared" si="168"/>
        <v>627.53673469761077</v>
      </c>
      <c r="BH176" s="62">
        <f t="shared" si="116"/>
        <v>920.87006803094414</v>
      </c>
      <c r="BI176" s="62">
        <f ca="1">AVERAGE(OFFSET($BH$3,0,0,'Données projet'!$E$11+1,1))-AVERAGE(OFFSET($H$3,0,0,'Données projet'!$E$11+1,1))</f>
        <v>234.66244049825644</v>
      </c>
      <c r="BJ176" s="62">
        <f t="shared" si="146"/>
        <v>87.037318032671465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65.317525643720629</v>
      </c>
      <c r="BQ176" s="23">
        <f>EXP(-LN(2)/25)*BQ175+(1-EXP(-LN(2)/25))/(LN(2)/25)*Calculateur!BL176*Calculateur!BN176*VLOOKUP('Données projet'!$B$11,Paramètres!$A$1:$I$89,3,0)*0.475*44/12</f>
        <v>2.8292866686449307</v>
      </c>
      <c r="BR176" s="23">
        <f>EXP(-LN(2)/2)*BR175+(1-EXP(-LN(2)/2))/(LN(2)/2)*BL176*BO176*VLOOKUP('Données projet'!$B$11,Paramètres!$A$1:$I$89,3,0)*0.475*44/12</f>
        <v>0.42947709254072869</v>
      </c>
      <c r="BS176" s="24">
        <f t="shared" si="169"/>
        <v>68.576289404906277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395.00000000000017</v>
      </c>
      <c r="O177" s="14">
        <f>N177*VLOOKUP('Données projet'!$B$9,Paramètres!$A$1:$I$89,3,0)*VLOOKUP('Données projet'!$B$9,Paramètres!$A$1:$I$89,5,0)</f>
        <v>236.21000000000009</v>
      </c>
      <c r="P177" s="14">
        <f t="shared" si="141"/>
        <v>57.62333963053878</v>
      </c>
      <c r="Q177" s="22">
        <f t="shared" si="162"/>
        <v>511.75973318985524</v>
      </c>
      <c r="R177" s="62">
        <f t="shared" si="109"/>
        <v>805.09306652318855</v>
      </c>
      <c r="S177" s="62">
        <f ca="1">AVERAGE(OFFSET($R$3,0,0,'Données projet'!$E$9+1,1))-AVERAGE(OFFSET($H$3,0,0,'Données projet'!$E$9+1,1))</f>
        <v>217.62295992724461</v>
      </c>
      <c r="T177" s="62">
        <f t="shared" si="142"/>
        <v>198.62788037979772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4.0404889508525645</v>
      </c>
      <c r="AA177" s="23">
        <f>EXP(-LN(2)/25)*AA176+(1-EXP(-LN(2)/25))/(LN(2)/25)*Calculateur!V177*Calculateur!X177*VLOOKUP('Données projet'!$B$9,Paramètres!$A$1:$I$89,3,0)*0.475*44/12</f>
        <v>0.27969793209802168</v>
      </c>
      <c r="AB177" s="23">
        <f>EXP(-LN(2)/2)*AB176+(1-EXP(-LN(2)/2))/(LN(2)/2)*V177*Y177*VLOOKUP('Données projet'!$B$9,Paramètres!$A$1:$I$89,3,0)*0.475*44/12</f>
        <v>1.3810124249433576E-17</v>
      </c>
      <c r="AC177" s="24">
        <f t="shared" si="163"/>
        <v>4.3201868829505861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1.5961632016114892E-13</v>
      </c>
      <c r="AK177" s="14">
        <f t="shared" si="164"/>
        <v>2.2708641912150958E-12</v>
      </c>
      <c r="AL177" s="22">
        <f t="shared" si="165"/>
        <v>4.2330868906469593E-12</v>
      </c>
      <c r="AM177" s="62">
        <f t="shared" si="113"/>
        <v>293.33333333333752</v>
      </c>
      <c r="AN177" s="62">
        <f ca="1">AVERAGE(OFFSET($AM$3,0,0,'Données projet'!$E$10+1,1))-AVERAGE(OFFSET($H$3,0,0,'Données projet'!$E$10+1,1))</f>
        <v>201.92726874818067</v>
      </c>
      <c r="AO177" s="62">
        <f t="shared" si="144"/>
        <v>197.16147791248727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38.771041125184489</v>
      </c>
      <c r="AV177" s="23">
        <f>EXP(-LN(2)/25)*AV176+(1-EXP(-LN(2)/25))/(LN(2)/25)*Calculateur!AQ177*Calculateur!AS177*VLOOKUP('Données projet'!$B$10,Paramètres!$A$1:$I$89,3,0)*0.475*44/12</f>
        <v>9.1143456207670503</v>
      </c>
      <c r="AW177" s="23">
        <f>EXP(-LN(2)/2)*AW176+(1-EXP(-LN(2)/2))/(LN(2)/2)*AQ177*AT177*VLOOKUP('Données projet'!$B$10,Paramètres!$A$1:$I$89,3,0)*0.475*44/12</f>
        <v>6.3190648075436243E-10</v>
      </c>
      <c r="AX177" s="23">
        <f t="shared" si="166"/>
        <v>47.885386746583443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287</v>
      </c>
      <c r="BE177" s="14">
        <f>BD177*VLOOKUP('Données projet'!$B$11,Paramètres!$A$1:$I$89,3,0)*VLOOKUP('Données projet'!$B$11,Paramètres!$A$1:$I$89,5,0)</f>
        <v>291.01800000000003</v>
      </c>
      <c r="BF177" s="14">
        <f t="shared" si="167"/>
        <v>69.290173032120919</v>
      </c>
      <c r="BG177" s="22">
        <f t="shared" si="168"/>
        <v>627.53673469761077</v>
      </c>
      <c r="BH177" s="62">
        <f t="shared" si="116"/>
        <v>920.87006803094414</v>
      </c>
      <c r="BI177" s="62">
        <f ca="1">AVERAGE(OFFSET($BH$3,0,0,'Données projet'!$E$11+1,1))-AVERAGE(OFFSET($H$3,0,0,'Données projet'!$E$11+1,1))</f>
        <v>234.66244049825644</v>
      </c>
      <c r="BJ177" s="62">
        <f t="shared" si="146"/>
        <v>87.037318032671465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64.036688805604058</v>
      </c>
      <c r="BQ177" s="23">
        <f>EXP(-LN(2)/25)*BQ176+(1-EXP(-LN(2)/25))/(LN(2)/25)*Calculateur!BL177*Calculateur!BN177*VLOOKUP('Données projet'!$B$11,Paramètres!$A$1:$I$89,3,0)*0.475*44/12</f>
        <v>2.7519196759051154</v>
      </c>
      <c r="BR177" s="23">
        <f>EXP(-LN(2)/2)*BR176+(1-EXP(-LN(2)/2))/(LN(2)/2)*BL177*BO177*VLOOKUP('Données projet'!$B$11,Paramètres!$A$1:$I$89,3,0)*0.475*44/12</f>
        <v>0.30368616449983166</v>
      </c>
      <c r="BS177" s="24">
        <f t="shared" si="169"/>
        <v>67.092294646009009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395.00000000000017</v>
      </c>
      <c r="O178" s="14">
        <f>N178*VLOOKUP('Données projet'!$B$9,Paramètres!$A$1:$I$89,3,0)*VLOOKUP('Données projet'!$B$9,Paramètres!$A$1:$I$89,5,0)</f>
        <v>236.21000000000009</v>
      </c>
      <c r="P178" s="14">
        <f t="shared" si="141"/>
        <v>57.62333963053878</v>
      </c>
      <c r="Q178" s="22">
        <f t="shared" si="162"/>
        <v>511.75973318985524</v>
      </c>
      <c r="R178" s="62">
        <f t="shared" si="109"/>
        <v>805.09306652318855</v>
      </c>
      <c r="S178" s="62">
        <f ca="1">AVERAGE(OFFSET($R$3,0,0,'Données projet'!$E$9+1,1))-AVERAGE(OFFSET($H$3,0,0,'Données projet'!$E$9+1,1))</f>
        <v>217.62295992724461</v>
      </c>
      <c r="T178" s="62">
        <f t="shared" si="142"/>
        <v>198.62788037979772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3.9612574269812613</v>
      </c>
      <c r="AA178" s="23">
        <f>EXP(-LN(2)/25)*AA177+(1-EXP(-LN(2)/25))/(LN(2)/25)*Calculateur!V178*Calculateur!X178*VLOOKUP('Données projet'!$B$9,Paramètres!$A$1:$I$89,3,0)*0.475*44/12</f>
        <v>0.27204957743612629</v>
      </c>
      <c r="AB178" s="23">
        <f>EXP(-LN(2)/2)*AB177+(1-EXP(-LN(2)/2))/(LN(2)/2)*V178*Y178*VLOOKUP('Données projet'!$B$9,Paramètres!$A$1:$I$89,3,0)*0.475*44/12</f>
        <v>9.7652325058032627E-18</v>
      </c>
      <c r="AC178" s="24">
        <f t="shared" si="163"/>
        <v>4.2333070044173873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1.5961632016114892E-13</v>
      </c>
      <c r="AK178" s="14">
        <f t="shared" si="164"/>
        <v>2.2708641912150958E-12</v>
      </c>
      <c r="AL178" s="22">
        <f t="shared" si="165"/>
        <v>4.2330868906469593E-12</v>
      </c>
      <c r="AM178" s="62">
        <f t="shared" si="113"/>
        <v>293.33333333333752</v>
      </c>
      <c r="AN178" s="62">
        <f ca="1">AVERAGE(OFFSET($AM$3,0,0,'Données projet'!$E$10+1,1))-AVERAGE(OFFSET($H$3,0,0,'Données projet'!$E$10+1,1))</f>
        <v>201.92726874818067</v>
      </c>
      <c r="AO178" s="62">
        <f t="shared" si="144"/>
        <v>197.16147791248727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38.010764656719658</v>
      </c>
      <c r="AV178" s="23">
        <f>EXP(-LN(2)/25)*AV177+(1-EXP(-LN(2)/25))/(LN(2)/25)*Calculateur!AQ178*Calculateur!AS178*VLOOKUP('Données projet'!$B$10,Paramètres!$A$1:$I$89,3,0)*0.475*44/12</f>
        <v>8.8651133604645711</v>
      </c>
      <c r="AW178" s="23">
        <f>EXP(-LN(2)/2)*AW177+(1-EXP(-LN(2)/2))/(LN(2)/2)*AQ178*AT178*VLOOKUP('Données projet'!$B$10,Paramètres!$A$1:$I$89,3,0)*0.475*44/12</f>
        <v>4.4682535761713627E-10</v>
      </c>
      <c r="AX178" s="23">
        <f t="shared" si="166"/>
        <v>46.875878017631052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287</v>
      </c>
      <c r="BE178" s="14">
        <f>BD178*VLOOKUP('Données projet'!$B$11,Paramètres!$A$1:$I$89,3,0)*VLOOKUP('Données projet'!$B$11,Paramètres!$A$1:$I$89,5,0)</f>
        <v>291.01800000000003</v>
      </c>
      <c r="BF178" s="14">
        <f t="shared" si="167"/>
        <v>69.290173032120919</v>
      </c>
      <c r="BG178" s="22">
        <f t="shared" si="168"/>
        <v>627.53673469761077</v>
      </c>
      <c r="BH178" s="62">
        <f t="shared" si="116"/>
        <v>920.87006803094414</v>
      </c>
      <c r="BI178" s="62">
        <f ca="1">AVERAGE(OFFSET($BH$3,0,0,'Données projet'!$E$11+1,1))-AVERAGE(OFFSET($H$3,0,0,'Données projet'!$E$11+1,1))</f>
        <v>234.66244049825644</v>
      </c>
      <c r="BJ178" s="62">
        <f t="shared" si="146"/>
        <v>87.037318032671465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62.780968396649627</v>
      </c>
      <c r="BQ178" s="23">
        <f>EXP(-LN(2)/25)*BQ177+(1-EXP(-LN(2)/25))/(LN(2)/25)*Calculateur!BL178*Calculateur!BN178*VLOOKUP('Données projet'!$B$11,Paramètres!$A$1:$I$89,3,0)*0.475*44/12</f>
        <v>2.6766682876503238</v>
      </c>
      <c r="BR178" s="23">
        <f>EXP(-LN(2)/2)*BR177+(1-EXP(-LN(2)/2))/(LN(2)/2)*BL178*BO178*VLOOKUP('Données projet'!$B$11,Paramètres!$A$1:$I$89,3,0)*0.475*44/12</f>
        <v>0.21473854627036434</v>
      </c>
      <c r="BS178" s="24">
        <f t="shared" si="169"/>
        <v>65.672375230570324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395.00000000000017</v>
      </c>
      <c r="O179" s="14">
        <f>N179*VLOOKUP('Données projet'!$B$9,Paramètres!$A$1:$I$89,3,0)*VLOOKUP('Données projet'!$B$9,Paramètres!$A$1:$I$89,5,0)</f>
        <v>236.21000000000009</v>
      </c>
      <c r="P179" s="14">
        <f t="shared" si="141"/>
        <v>57.62333963053878</v>
      </c>
      <c r="Q179" s="22">
        <f t="shared" si="162"/>
        <v>511.75973318985524</v>
      </c>
      <c r="R179" s="62">
        <f t="shared" si="109"/>
        <v>805.09306652318855</v>
      </c>
      <c r="S179" s="62">
        <f ca="1">AVERAGE(OFFSET($R$3,0,0,'Données projet'!$E$9+1,1))-AVERAGE(OFFSET($H$3,0,0,'Données projet'!$E$9+1,1))</f>
        <v>217.62295992724461</v>
      </c>
      <c r="T179" s="62">
        <f t="shared" si="142"/>
        <v>198.62788037979772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3.8835795849666161</v>
      </c>
      <c r="AA179" s="23">
        <f>EXP(-LN(2)/25)*AA178+(1-EXP(-LN(2)/25))/(LN(2)/25)*Calculateur!V179*Calculateur!X179*VLOOKUP('Données projet'!$B$9,Paramètres!$A$1:$I$89,3,0)*0.475*44/12</f>
        <v>0.26461036743466992</v>
      </c>
      <c r="AB179" s="23">
        <f>EXP(-LN(2)/2)*AB178+(1-EXP(-LN(2)/2))/(LN(2)/2)*V179*Y179*VLOOKUP('Données projet'!$B$9,Paramètres!$A$1:$I$89,3,0)*0.475*44/12</f>
        <v>6.9050621247167894E-18</v>
      </c>
      <c r="AC179" s="24">
        <f t="shared" si="163"/>
        <v>4.1481899524012862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1.5961632016114892E-13</v>
      </c>
      <c r="AK179" s="14">
        <f t="shared" si="164"/>
        <v>2.2708641912150958E-12</v>
      </c>
      <c r="AL179" s="22">
        <f t="shared" si="165"/>
        <v>4.2330868906469593E-12</v>
      </c>
      <c r="AM179" s="62">
        <f t="shared" si="113"/>
        <v>293.33333333333752</v>
      </c>
      <c r="AN179" s="62">
        <f ca="1">AVERAGE(OFFSET($AM$3,0,0,'Données projet'!$E$10+1,1))-AVERAGE(OFFSET($H$3,0,0,'Données projet'!$E$10+1,1))</f>
        <v>201.92726874818067</v>
      </c>
      <c r="AO179" s="62">
        <f t="shared" si="144"/>
        <v>197.16147791248727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37.265396746078572</v>
      </c>
      <c r="AV179" s="23">
        <f>EXP(-LN(2)/25)*AV178+(1-EXP(-LN(2)/25))/(LN(2)/25)*Calculateur!AQ179*Calculateur!AS179*VLOOKUP('Données projet'!$B$10,Paramètres!$A$1:$I$89,3,0)*0.475*44/12</f>
        <v>8.6226963694266168</v>
      </c>
      <c r="AW179" s="23">
        <f>EXP(-LN(2)/2)*AW178+(1-EXP(-LN(2)/2))/(LN(2)/2)*AQ179*AT179*VLOOKUP('Données projet'!$B$10,Paramètres!$A$1:$I$89,3,0)*0.475*44/12</f>
        <v>3.1595324037718122E-10</v>
      </c>
      <c r="AX179" s="23">
        <f t="shared" si="166"/>
        <v>45.888093115821135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287</v>
      </c>
      <c r="BE179" s="14">
        <f>BD179*VLOOKUP('Données projet'!$B$11,Paramètres!$A$1:$I$89,3,0)*VLOOKUP('Données projet'!$B$11,Paramètres!$A$1:$I$89,5,0)</f>
        <v>291.01800000000003</v>
      </c>
      <c r="BF179" s="14">
        <f t="shared" si="167"/>
        <v>69.290173032120919</v>
      </c>
      <c r="BG179" s="22">
        <f t="shared" si="168"/>
        <v>627.53673469761077</v>
      </c>
      <c r="BH179" s="62">
        <f t="shared" si="116"/>
        <v>920.87006803094414</v>
      </c>
      <c r="BI179" s="62">
        <f ca="1">AVERAGE(OFFSET($BH$3,0,0,'Données projet'!$E$11+1,1))-AVERAGE(OFFSET($H$3,0,0,'Données projet'!$E$11+1,1))</f>
        <v>234.66244049825644</v>
      </c>
      <c r="BJ179" s="62">
        <f t="shared" si="146"/>
        <v>87.037318032671465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61.549871899000969</v>
      </c>
      <c r="BQ179" s="23">
        <f>EXP(-LN(2)/25)*BQ178+(1-EXP(-LN(2)/25))/(LN(2)/25)*Calculateur!BL179*Calculateur!BN179*VLOOKUP('Données projet'!$B$11,Paramètres!$A$1:$I$89,3,0)*0.475*44/12</f>
        <v>2.6034746525646582</v>
      </c>
      <c r="BR179" s="23">
        <f>EXP(-LN(2)/2)*BR178+(1-EXP(-LN(2)/2))/(LN(2)/2)*BL179*BO179*VLOOKUP('Données projet'!$B$11,Paramètres!$A$1:$I$89,3,0)*0.475*44/12</f>
        <v>0.15184308224991583</v>
      </c>
      <c r="BS179" s="24">
        <f t="shared" si="169"/>
        <v>64.305189633815544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395.00000000000017</v>
      </c>
      <c r="O180" s="14">
        <f>N180*VLOOKUP('Données projet'!$B$9,Paramètres!$A$1:$I$89,3,0)*VLOOKUP('Données projet'!$B$9,Paramètres!$A$1:$I$89,5,0)</f>
        <v>236.21000000000009</v>
      </c>
      <c r="P180" s="14">
        <f t="shared" si="141"/>
        <v>57.62333963053878</v>
      </c>
      <c r="Q180" s="22">
        <f t="shared" si="162"/>
        <v>511.75973318985524</v>
      </c>
      <c r="R180" s="62">
        <f t="shared" si="109"/>
        <v>805.09306652318855</v>
      </c>
      <c r="S180" s="62">
        <f ca="1">AVERAGE(OFFSET($R$3,0,0,'Données projet'!$E$9+1,1))-AVERAGE(OFFSET($H$3,0,0,'Données projet'!$E$9+1,1))</f>
        <v>217.62295992724461</v>
      </c>
      <c r="T180" s="62">
        <f t="shared" si="142"/>
        <v>198.62788037979772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3.8074249580550732</v>
      </c>
      <c r="AA180" s="23">
        <f>EXP(-LN(2)/25)*AA179+(1-EXP(-LN(2)/25))/(LN(2)/25)*Calculateur!V180*Calculateur!X180*VLOOKUP('Données projet'!$B$9,Paramètres!$A$1:$I$89,3,0)*0.475*44/12</f>
        <v>0.2573745830219144</v>
      </c>
      <c r="AB180" s="23">
        <f>EXP(-LN(2)/2)*AB179+(1-EXP(-LN(2)/2))/(LN(2)/2)*V180*Y180*VLOOKUP('Données projet'!$B$9,Paramètres!$A$1:$I$89,3,0)*0.475*44/12</f>
        <v>4.8826162529016321E-18</v>
      </c>
      <c r="AC180" s="24">
        <f t="shared" si="163"/>
        <v>4.0647995410769875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1.5961632016114892E-13</v>
      </c>
      <c r="AK180" s="14">
        <f t="shared" si="164"/>
        <v>2.2708641912150958E-12</v>
      </c>
      <c r="AL180" s="22">
        <f t="shared" si="165"/>
        <v>4.2330868906469593E-12</v>
      </c>
      <c r="AM180" s="62">
        <f t="shared" si="113"/>
        <v>293.33333333333752</v>
      </c>
      <c r="AN180" s="62">
        <f ca="1">AVERAGE(OFFSET($AM$3,0,0,'Données projet'!$E$10+1,1))-AVERAGE(OFFSET($H$3,0,0,'Données projet'!$E$10+1,1))</f>
        <v>201.92726874818067</v>
      </c>
      <c r="AO180" s="62">
        <f t="shared" si="144"/>
        <v>197.16147791248727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36.534645045535619</v>
      </c>
      <c r="AV180" s="23">
        <f>EXP(-LN(2)/25)*AV179+(1-EXP(-LN(2)/25))/(LN(2)/25)*Calculateur!AQ180*Calculateur!AS180*VLOOKUP('Données projet'!$B$10,Paramètres!$A$1:$I$89,3,0)*0.475*44/12</f>
        <v>8.3869082837567515</v>
      </c>
      <c r="AW180" s="23">
        <f>EXP(-LN(2)/2)*AW179+(1-EXP(-LN(2)/2))/(LN(2)/2)*AQ180*AT180*VLOOKUP('Données projet'!$B$10,Paramètres!$A$1:$I$89,3,0)*0.475*44/12</f>
        <v>2.2341267880856813E-10</v>
      </c>
      <c r="AX180" s="23">
        <f t="shared" si="166"/>
        <v>44.921553329515788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287</v>
      </c>
      <c r="BE180" s="14">
        <f>BD180*VLOOKUP('Données projet'!$B$11,Paramètres!$A$1:$I$89,3,0)*VLOOKUP('Données projet'!$B$11,Paramètres!$A$1:$I$89,5,0)</f>
        <v>291.01800000000003</v>
      </c>
      <c r="BF180" s="14">
        <f t="shared" si="167"/>
        <v>69.290173032120919</v>
      </c>
      <c r="BG180" s="22">
        <f t="shared" si="168"/>
        <v>627.53673469761077</v>
      </c>
      <c r="BH180" s="62">
        <f t="shared" si="116"/>
        <v>920.87006803094414</v>
      </c>
      <c r="BI180" s="62">
        <f ca="1">AVERAGE(OFFSET($BH$3,0,0,'Données projet'!$E$11+1,1))-AVERAGE(OFFSET($H$3,0,0,'Données projet'!$E$11+1,1))</f>
        <v>234.66244049825644</v>
      </c>
      <c r="BJ180" s="62">
        <f t="shared" si="146"/>
        <v>87.037318032671465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60.342916452776485</v>
      </c>
      <c r="BQ180" s="23">
        <f>EXP(-LN(2)/25)*BQ179+(1-EXP(-LN(2)/25))/(LN(2)/25)*Calculateur!BL180*Calculateur!BN180*VLOOKUP('Données projet'!$B$11,Paramètres!$A$1:$I$89,3,0)*0.475*44/12</f>
        <v>2.5322825012794961</v>
      </c>
      <c r="BR180" s="23">
        <f>EXP(-LN(2)/2)*BR179+(1-EXP(-LN(2)/2))/(LN(2)/2)*BL180*BO180*VLOOKUP('Données projet'!$B$11,Paramètres!$A$1:$I$89,3,0)*0.475*44/12</f>
        <v>0.10736927313518217</v>
      </c>
      <c r="BS180" s="24">
        <f t="shared" si="169"/>
        <v>62.982568227191166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395.00000000000017</v>
      </c>
      <c r="O181" s="14">
        <f>N181*VLOOKUP('Données projet'!$B$9,Paramètres!$A$1:$I$89,3,0)*VLOOKUP('Données projet'!$B$9,Paramètres!$A$1:$I$89,5,0)</f>
        <v>236.21000000000009</v>
      </c>
      <c r="P181" s="14">
        <f t="shared" si="141"/>
        <v>57.62333963053878</v>
      </c>
      <c r="Q181" s="22">
        <f t="shared" si="162"/>
        <v>511.75973318985524</v>
      </c>
      <c r="R181" s="62">
        <f t="shared" si="109"/>
        <v>805.09306652318855</v>
      </c>
      <c r="S181" s="62">
        <f ca="1">AVERAGE(OFFSET($R$3,0,0,'Données projet'!$E$9+1,1))-AVERAGE(OFFSET($H$3,0,0,'Données projet'!$E$9+1,1))</f>
        <v>217.62295992724461</v>
      </c>
      <c r="T181" s="62">
        <f t="shared" si="142"/>
        <v>198.62788037979772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3.7327636769275294</v>
      </c>
      <c r="AA181" s="23">
        <f>EXP(-LN(2)/25)*AA180+(1-EXP(-LN(2)/25))/(LN(2)/25)*Calculateur!V181*Calculateur!X181*VLOOKUP('Données projet'!$B$9,Paramètres!$A$1:$I$89,3,0)*0.475*44/12</f>
        <v>0.25033666151443906</v>
      </c>
      <c r="AB181" s="23">
        <f>EXP(-LN(2)/2)*AB180+(1-EXP(-LN(2)/2))/(LN(2)/2)*V181*Y181*VLOOKUP('Données projet'!$B$9,Paramètres!$A$1:$I$89,3,0)*0.475*44/12</f>
        <v>3.4525310623583951E-18</v>
      </c>
      <c r="AC181" s="24">
        <f t="shared" si="163"/>
        <v>3.9831003384419685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1.5961632016114892E-13</v>
      </c>
      <c r="AK181" s="14">
        <f t="shared" si="164"/>
        <v>2.2708641912150958E-12</v>
      </c>
      <c r="AL181" s="22">
        <f t="shared" si="165"/>
        <v>4.2330868906469593E-12</v>
      </c>
      <c r="AM181" s="62">
        <f t="shared" si="113"/>
        <v>293.33333333333752</v>
      </c>
      <c r="AN181" s="62">
        <f ca="1">AVERAGE(OFFSET($AM$3,0,0,'Données projet'!$E$10+1,1))-AVERAGE(OFFSET($H$3,0,0,'Données projet'!$E$10+1,1))</f>
        <v>201.92726874818067</v>
      </c>
      <c r="AO181" s="62">
        <f t="shared" si="144"/>
        <v>197.16147791248727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35.818222940125786</v>
      </c>
      <c r="AV181" s="23">
        <f>EXP(-LN(2)/25)*AV180+(1-EXP(-LN(2)/25))/(LN(2)/25)*Calculateur!AQ181*Calculateur!AS181*VLOOKUP('Données projet'!$B$10,Paramètres!$A$1:$I$89,3,0)*0.475*44/12</f>
        <v>8.1575678356890844</v>
      </c>
      <c r="AW181" s="23">
        <f>EXP(-LN(2)/2)*AW180+(1-EXP(-LN(2)/2))/(LN(2)/2)*AQ181*AT181*VLOOKUP('Données projet'!$B$10,Paramètres!$A$1:$I$89,3,0)*0.475*44/12</f>
        <v>1.5797662018859061E-10</v>
      </c>
      <c r="AX181" s="23">
        <f t="shared" si="166"/>
        <v>43.975790775972847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287</v>
      </c>
      <c r="BE181" s="14">
        <f>BD181*VLOOKUP('Données projet'!$B$11,Paramètres!$A$1:$I$89,3,0)*VLOOKUP('Données projet'!$B$11,Paramètres!$A$1:$I$89,5,0)</f>
        <v>291.01800000000003</v>
      </c>
      <c r="BF181" s="14">
        <f t="shared" si="167"/>
        <v>69.290173032120919</v>
      </c>
      <c r="BG181" s="22">
        <f t="shared" si="168"/>
        <v>627.53673469761077</v>
      </c>
      <c r="BH181" s="62">
        <f t="shared" si="116"/>
        <v>920.87006803094414</v>
      </c>
      <c r="BI181" s="62">
        <f ca="1">AVERAGE(OFFSET($BH$3,0,0,'Données projet'!$E$11+1,1))-AVERAGE(OFFSET($H$3,0,0,'Données projet'!$E$11+1,1))</f>
        <v>234.66244049825644</v>
      </c>
      <c r="BJ181" s="62">
        <f t="shared" si="146"/>
        <v>87.037318032671465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59.15962866668233</v>
      </c>
      <c r="BQ181" s="23">
        <f>EXP(-LN(2)/25)*BQ180+(1-EXP(-LN(2)/25))/(LN(2)/25)*Calculateur!BL181*Calculateur!BN181*VLOOKUP('Données projet'!$B$11,Paramètres!$A$1:$I$89,3,0)*0.475*44/12</f>
        <v>2.4630371031150591</v>
      </c>
      <c r="BR181" s="23">
        <f>EXP(-LN(2)/2)*BR180+(1-EXP(-LN(2)/2))/(LN(2)/2)*BL181*BO181*VLOOKUP('Données projet'!$B$11,Paramètres!$A$1:$I$89,3,0)*0.475*44/12</f>
        <v>7.5921541124957914E-2</v>
      </c>
      <c r="BS181" s="24">
        <f t="shared" si="169"/>
        <v>61.698587310922342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395.00000000000017</v>
      </c>
      <c r="O182" s="14">
        <f>N182*VLOOKUP('Données projet'!$B$9,Paramètres!$A$1:$I$89,3,0)*VLOOKUP('Données projet'!$B$9,Paramètres!$A$1:$I$89,5,0)</f>
        <v>236.21000000000009</v>
      </c>
      <c r="P182" s="14">
        <f t="shared" si="141"/>
        <v>57.62333963053878</v>
      </c>
      <c r="Q182" s="22">
        <f t="shared" si="162"/>
        <v>511.75973318985524</v>
      </c>
      <c r="R182" s="62">
        <f t="shared" si="109"/>
        <v>805.09306652318855</v>
      </c>
      <c r="S182" s="62">
        <f ca="1">AVERAGE(OFFSET($R$3,0,0,'Données projet'!$E$9+1,1))-AVERAGE(OFFSET($H$3,0,0,'Données projet'!$E$9+1,1))</f>
        <v>217.62295992724461</v>
      </c>
      <c r="T182" s="62">
        <f t="shared" si="142"/>
        <v>198.62788037979772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3.6595664579840119</v>
      </c>
      <c r="AA182" s="23">
        <f>EXP(-LN(2)/25)*AA181+(1-EXP(-LN(2)/25))/(LN(2)/25)*Calculateur!V182*Calculateur!X182*VLOOKUP('Données projet'!$B$9,Paramètres!$A$1:$I$89,3,0)*0.475*44/12</f>
        <v>0.24349119234069386</v>
      </c>
      <c r="AB182" s="23">
        <f>EXP(-LN(2)/2)*AB181+(1-EXP(-LN(2)/2))/(LN(2)/2)*V182*Y182*VLOOKUP('Données projet'!$B$9,Paramètres!$A$1:$I$89,3,0)*0.475*44/12</f>
        <v>2.4413081264508165E-18</v>
      </c>
      <c r="AC182" s="24">
        <f t="shared" si="163"/>
        <v>3.9030576503247056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1.5961632016114892E-13</v>
      </c>
      <c r="AK182" s="14">
        <f t="shared" si="164"/>
        <v>2.2708641912150958E-12</v>
      </c>
      <c r="AL182" s="22">
        <f t="shared" si="165"/>
        <v>4.2330868906469593E-12</v>
      </c>
      <c r="AM182" s="62">
        <f t="shared" si="113"/>
        <v>293.33333333333752</v>
      </c>
      <c r="AN182" s="62">
        <f ca="1">AVERAGE(OFFSET($AM$3,0,0,'Données projet'!$E$10+1,1))-AVERAGE(OFFSET($H$3,0,0,'Données projet'!$E$10+1,1))</f>
        <v>201.92726874818067</v>
      </c>
      <c r="AO182" s="62">
        <f t="shared" si="144"/>
        <v>197.16147791248727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35.115849435228704</v>
      </c>
      <c r="AV182" s="23">
        <f>EXP(-LN(2)/25)*AV181+(1-EXP(-LN(2)/25))/(LN(2)/25)*Calculateur!AQ182*Calculateur!AS182*VLOOKUP('Données projet'!$B$10,Paramètres!$A$1:$I$89,3,0)*0.475*44/12</f>
        <v>7.9344987142343184</v>
      </c>
      <c r="AW182" s="23">
        <f>EXP(-LN(2)/2)*AW181+(1-EXP(-LN(2)/2))/(LN(2)/2)*AQ182*AT182*VLOOKUP('Données projet'!$B$10,Paramètres!$A$1:$I$89,3,0)*0.475*44/12</f>
        <v>1.1170633940428407E-10</v>
      </c>
      <c r="AX182" s="23">
        <f t="shared" si="166"/>
        <v>43.050348149574724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287</v>
      </c>
      <c r="BE182" s="14">
        <f>BD182*VLOOKUP('Données projet'!$B$11,Paramètres!$A$1:$I$89,3,0)*VLOOKUP('Données projet'!$B$11,Paramètres!$A$1:$I$89,5,0)</f>
        <v>291.01800000000003</v>
      </c>
      <c r="BF182" s="14">
        <f t="shared" si="167"/>
        <v>69.290173032120919</v>
      </c>
      <c r="BG182" s="22">
        <f t="shared" si="168"/>
        <v>627.53673469761077</v>
      </c>
      <c r="BH182" s="62">
        <f t="shared" si="116"/>
        <v>920.87006803094414</v>
      </c>
      <c r="BI182" s="62">
        <f ca="1">AVERAGE(OFFSET($BH$3,0,0,'Données projet'!$E$11+1,1))-AVERAGE(OFFSET($H$3,0,0,'Données projet'!$E$11+1,1))</f>
        <v>234.66244049825644</v>
      </c>
      <c r="BJ182" s="62">
        <f t="shared" si="146"/>
        <v>87.037318032671465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57.999544432339199</v>
      </c>
      <c r="BQ182" s="23">
        <f>EXP(-LN(2)/25)*BQ181+(1-EXP(-LN(2)/25))/(LN(2)/25)*Calculateur!BL182*Calculateur!BN182*VLOOKUP('Données projet'!$B$11,Paramètres!$A$1:$I$89,3,0)*0.475*44/12</f>
        <v>2.395685224004886</v>
      </c>
      <c r="BR182" s="23">
        <f>EXP(-LN(2)/2)*BR181+(1-EXP(-LN(2)/2))/(LN(2)/2)*BL182*BO182*VLOOKUP('Données projet'!$B$11,Paramètres!$A$1:$I$89,3,0)*0.475*44/12</f>
        <v>5.3684636567591086E-2</v>
      </c>
      <c r="BS182" s="24">
        <f t="shared" si="169"/>
        <v>60.448914292911674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395.00000000000017</v>
      </c>
      <c r="O183" s="14">
        <f>N183*VLOOKUP('Données projet'!$B$9,Paramètres!$A$1:$I$89,3,0)*VLOOKUP('Données projet'!$B$9,Paramètres!$A$1:$I$89,5,0)</f>
        <v>236.21000000000009</v>
      </c>
      <c r="P183" s="14">
        <f t="shared" si="141"/>
        <v>57.62333963053878</v>
      </c>
      <c r="Q183" s="22">
        <f t="shared" si="162"/>
        <v>511.75973318985524</v>
      </c>
      <c r="R183" s="62">
        <f t="shared" si="109"/>
        <v>805.09306652318855</v>
      </c>
      <c r="S183" s="62">
        <f ca="1">AVERAGE(OFFSET($R$3,0,0,'Données projet'!$E$9+1,1))-AVERAGE(OFFSET($H$3,0,0,'Données projet'!$E$9+1,1))</f>
        <v>217.62295992724461</v>
      </c>
      <c r="T183" s="62">
        <f t="shared" si="142"/>
        <v>198.62788037979772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3.5878045918580819</v>
      </c>
      <c r="AA183" s="23">
        <f>EXP(-LN(2)/25)*AA182+(1-EXP(-LN(2)/25))/(LN(2)/25)*Calculateur!V183*Calculateur!X183*VLOOKUP('Données projet'!$B$9,Paramètres!$A$1:$I$89,3,0)*0.475*44/12</f>
        <v>0.23683291288149227</v>
      </c>
      <c r="AB183" s="23">
        <f>EXP(-LN(2)/2)*AB182+(1-EXP(-LN(2)/2))/(LN(2)/2)*V183*Y183*VLOOKUP('Données projet'!$B$9,Paramètres!$A$1:$I$89,3,0)*0.475*44/12</f>
        <v>1.7262655311791979E-18</v>
      </c>
      <c r="AC183" s="24">
        <f t="shared" si="163"/>
        <v>3.8246375047395742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1.5961632016114892E-13</v>
      </c>
      <c r="AK183" s="14">
        <f t="shared" si="164"/>
        <v>2.2708641912150958E-12</v>
      </c>
      <c r="AL183" s="22">
        <f t="shared" si="165"/>
        <v>4.2330868906469593E-12</v>
      </c>
      <c r="AM183" s="62">
        <f t="shared" si="113"/>
        <v>293.33333333333752</v>
      </c>
      <c r="AN183" s="62">
        <f ca="1">AVERAGE(OFFSET($AM$3,0,0,'Données projet'!$E$10+1,1))-AVERAGE(OFFSET($H$3,0,0,'Données projet'!$E$10+1,1))</f>
        <v>201.92726874818067</v>
      </c>
      <c r="AO183" s="62">
        <f t="shared" si="144"/>
        <v>197.16147791248727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34.427249046357119</v>
      </c>
      <c r="AV183" s="23">
        <f>EXP(-LN(2)/25)*AV182+(1-EXP(-LN(2)/25))/(LN(2)/25)*Calculateur!AQ183*Calculateur!AS183*VLOOKUP('Données projet'!$B$10,Paramètres!$A$1:$I$89,3,0)*0.475*44/12</f>
        <v>7.7175294296364285</v>
      </c>
      <c r="AW183" s="23">
        <f>EXP(-LN(2)/2)*AW182+(1-EXP(-LN(2)/2))/(LN(2)/2)*AQ183*AT183*VLOOKUP('Données projet'!$B$10,Paramètres!$A$1:$I$89,3,0)*0.475*44/12</f>
        <v>7.8988310094295304E-11</v>
      </c>
      <c r="AX183" s="23">
        <f t="shared" si="166"/>
        <v>42.144778476072538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287</v>
      </c>
      <c r="BE183" s="14">
        <f>BD183*VLOOKUP('Données projet'!$B$11,Paramètres!$A$1:$I$89,3,0)*VLOOKUP('Données projet'!$B$11,Paramètres!$A$1:$I$89,5,0)</f>
        <v>291.01800000000003</v>
      </c>
      <c r="BF183" s="14">
        <f t="shared" si="167"/>
        <v>69.290173032120919</v>
      </c>
      <c r="BG183" s="22">
        <f t="shared" si="168"/>
        <v>627.53673469761077</v>
      </c>
      <c r="BH183" s="62">
        <f t="shared" si="116"/>
        <v>920.87006803094414</v>
      </c>
      <c r="BI183" s="62">
        <f ca="1">AVERAGE(OFFSET($BH$3,0,0,'Données projet'!$E$11+1,1))-AVERAGE(OFFSET($H$3,0,0,'Données projet'!$E$11+1,1))</f>
        <v>234.66244049825644</v>
      </c>
      <c r="BJ183" s="62">
        <f t="shared" si="146"/>
        <v>87.037318032671465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56.862208742250019</v>
      </c>
      <c r="BQ183" s="23">
        <f>EXP(-LN(2)/25)*BQ182+(1-EXP(-LN(2)/25))/(LN(2)/25)*Calculateur!BL183*Calculateur!BN183*VLOOKUP('Données projet'!$B$11,Paramètres!$A$1:$I$89,3,0)*0.475*44/12</f>
        <v>2.3301750855708621</v>
      </c>
      <c r="BR183" s="23">
        <f>EXP(-LN(2)/2)*BR182+(1-EXP(-LN(2)/2))/(LN(2)/2)*BL183*BO183*VLOOKUP('Données projet'!$B$11,Paramètres!$A$1:$I$89,3,0)*0.475*44/12</f>
        <v>3.7960770562478957E-2</v>
      </c>
      <c r="BS183" s="24">
        <f t="shared" si="169"/>
        <v>59.230344598383361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395.00000000000017</v>
      </c>
      <c r="O184" s="14">
        <f>N184*VLOOKUP('Données projet'!$B$9,Paramètres!$A$1:$I$89,3,0)*VLOOKUP('Données projet'!$B$9,Paramètres!$A$1:$I$89,5,0)</f>
        <v>236.21000000000009</v>
      </c>
      <c r="P184" s="14">
        <f t="shared" si="141"/>
        <v>57.62333963053878</v>
      </c>
      <c r="Q184" s="22">
        <f t="shared" si="162"/>
        <v>511.75973318985524</v>
      </c>
      <c r="R184" s="62">
        <f t="shared" si="109"/>
        <v>805.09306652318855</v>
      </c>
      <c r="S184" s="62">
        <f ca="1">AVERAGE(OFFSET($R$3,0,0,'Données projet'!$E$9+1,1))-AVERAGE(OFFSET($H$3,0,0,'Données projet'!$E$9+1,1))</f>
        <v>217.62295992724461</v>
      </c>
      <c r="T184" s="62">
        <f t="shared" si="142"/>
        <v>198.62788037979772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3.517449932156465</v>
      </c>
      <c r="AA184" s="23">
        <f>EXP(-LN(2)/25)*AA183+(1-EXP(-LN(2)/25))/(LN(2)/25)*Calculateur!V184*Calculateur!X184*VLOOKUP('Données projet'!$B$9,Paramètres!$A$1:$I$89,3,0)*0.475*44/12</f>
        <v>0.23035670442424627</v>
      </c>
      <c r="AB184" s="23">
        <f>EXP(-LN(2)/2)*AB183+(1-EXP(-LN(2)/2))/(LN(2)/2)*V184*Y184*VLOOKUP('Données projet'!$B$9,Paramètres!$A$1:$I$89,3,0)*0.475*44/12</f>
        <v>1.2206540632254084E-18</v>
      </c>
      <c r="AC184" s="24">
        <f t="shared" si="163"/>
        <v>3.7478066365807114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1.5961632016114892E-13</v>
      </c>
      <c r="AK184" s="14">
        <f t="shared" si="164"/>
        <v>2.2708641912150958E-12</v>
      </c>
      <c r="AL184" s="22">
        <f t="shared" si="165"/>
        <v>4.2330868906469593E-12</v>
      </c>
      <c r="AM184" s="62">
        <f t="shared" si="113"/>
        <v>293.33333333333752</v>
      </c>
      <c r="AN184" s="62">
        <f ca="1">AVERAGE(OFFSET($AM$3,0,0,'Données projet'!$E$10+1,1))-AVERAGE(OFFSET($H$3,0,0,'Données projet'!$E$10+1,1))</f>
        <v>201.92726874818067</v>
      </c>
      <c r="AO184" s="62">
        <f t="shared" si="144"/>
        <v>197.16147791248727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33.75215169110654</v>
      </c>
      <c r="AV184" s="23">
        <f>EXP(-LN(2)/25)*AV183+(1-EXP(-LN(2)/25))/(LN(2)/25)*Calculateur!AQ184*Calculateur!AS184*VLOOKUP('Données projet'!$B$10,Paramètres!$A$1:$I$89,3,0)*0.475*44/12</f>
        <v>7.5064931815357863</v>
      </c>
      <c r="AW184" s="23">
        <f>EXP(-LN(2)/2)*AW183+(1-EXP(-LN(2)/2))/(LN(2)/2)*AQ184*AT184*VLOOKUP('Données projet'!$B$10,Paramètres!$A$1:$I$89,3,0)*0.475*44/12</f>
        <v>5.5853169702142033E-11</v>
      </c>
      <c r="AX184" s="23">
        <f t="shared" si="166"/>
        <v>41.258644872698184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287</v>
      </c>
      <c r="BE184" s="14">
        <f>BD184*VLOOKUP('Données projet'!$B$11,Paramètres!$A$1:$I$89,3,0)*VLOOKUP('Données projet'!$B$11,Paramètres!$A$1:$I$89,5,0)</f>
        <v>291.01800000000003</v>
      </c>
      <c r="BF184" s="14">
        <f t="shared" si="167"/>
        <v>69.290173032120919</v>
      </c>
      <c r="BG184" s="22">
        <f t="shared" si="168"/>
        <v>627.53673469761077</v>
      </c>
      <c r="BH184" s="62">
        <f t="shared" si="116"/>
        <v>920.87006803094414</v>
      </c>
      <c r="BI184" s="62">
        <f ca="1">AVERAGE(OFFSET($BH$3,0,0,'Données projet'!$E$11+1,1))-AVERAGE(OFFSET($H$3,0,0,'Données projet'!$E$11+1,1))</f>
        <v>234.66244049825644</v>
      </c>
      <c r="BJ184" s="62">
        <f t="shared" si="146"/>
        <v>87.037318032671465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55.747175511337211</v>
      </c>
      <c r="BQ184" s="23">
        <f>EXP(-LN(2)/25)*BQ183+(1-EXP(-LN(2)/25))/(LN(2)/25)*Calculateur!BL184*Calculateur!BN184*VLOOKUP('Données projet'!$B$11,Paramètres!$A$1:$I$89,3,0)*0.475*44/12</f>
        <v>2.2664563253173449</v>
      </c>
      <c r="BR184" s="23">
        <f>EXP(-LN(2)/2)*BR183+(1-EXP(-LN(2)/2))/(LN(2)/2)*BL184*BO184*VLOOKUP('Données projet'!$B$11,Paramètres!$A$1:$I$89,3,0)*0.475*44/12</f>
        <v>2.6842318283795543E-2</v>
      </c>
      <c r="BS184" s="24">
        <f t="shared" si="169"/>
        <v>58.040474154938352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395.00000000000017</v>
      </c>
      <c r="O185" s="14">
        <f>N185*VLOOKUP('Données projet'!$B$9,Paramètres!$A$1:$I$89,3,0)*VLOOKUP('Données projet'!$B$9,Paramètres!$A$1:$I$89,5,0)</f>
        <v>236.21000000000009</v>
      </c>
      <c r="P185" s="14">
        <f t="shared" si="141"/>
        <v>57.62333963053878</v>
      </c>
      <c r="Q185" s="22">
        <f t="shared" si="162"/>
        <v>511.75973318985524</v>
      </c>
      <c r="R185" s="62">
        <f t="shared" si="109"/>
        <v>805.09306652318855</v>
      </c>
      <c r="S185" s="62">
        <f ca="1">AVERAGE(OFFSET($R$3,0,0,'Données projet'!$E$9+1,1))-AVERAGE(OFFSET($H$3,0,0,'Données projet'!$E$9+1,1))</f>
        <v>217.62295992724461</v>
      </c>
      <c r="T185" s="62">
        <f t="shared" si="142"/>
        <v>198.62788037979772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3.4484748844194915</v>
      </c>
      <c r="AA185" s="23">
        <f>EXP(-LN(2)/25)*AA184+(1-EXP(-LN(2)/25))/(LN(2)/25)*Calculateur!V185*Calculateur!X185*VLOOKUP('Données projet'!$B$9,Paramètres!$A$1:$I$89,3,0)*0.475*44/12</f>
        <v>0.22405758822783267</v>
      </c>
      <c r="AB185" s="23">
        <f>EXP(-LN(2)/2)*AB184+(1-EXP(-LN(2)/2))/(LN(2)/2)*V185*Y185*VLOOKUP('Données projet'!$B$9,Paramètres!$A$1:$I$89,3,0)*0.475*44/12</f>
        <v>8.6313276558959907E-19</v>
      </c>
      <c r="AC185" s="24">
        <f t="shared" si="163"/>
        <v>3.6725324726473243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1.5961632016114892E-13</v>
      </c>
      <c r="AK185" s="14">
        <f t="shared" si="164"/>
        <v>2.2708641912150958E-12</v>
      </c>
      <c r="AL185" s="22">
        <f t="shared" si="165"/>
        <v>4.2330868906469593E-12</v>
      </c>
      <c r="AM185" s="62">
        <f t="shared" si="113"/>
        <v>293.33333333333752</v>
      </c>
      <c r="AN185" s="62">
        <f ca="1">AVERAGE(OFFSET($AM$3,0,0,'Données projet'!$E$10+1,1))-AVERAGE(OFFSET($H$3,0,0,'Données projet'!$E$10+1,1))</f>
        <v>201.92726874818067</v>
      </c>
      <c r="AO185" s="62">
        <f t="shared" si="144"/>
        <v>197.16147791248727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33.0902925832237</v>
      </c>
      <c r="AV185" s="23">
        <f>EXP(-LN(2)/25)*AV184+(1-EXP(-LN(2)/25))/(LN(2)/25)*Calculateur!AQ185*Calculateur!AS185*VLOOKUP('Données projet'!$B$10,Paramètres!$A$1:$I$89,3,0)*0.475*44/12</f>
        <v>7.3012277307373701</v>
      </c>
      <c r="AW185" s="23">
        <f>EXP(-LN(2)/2)*AW184+(1-EXP(-LN(2)/2))/(LN(2)/2)*AQ185*AT185*VLOOKUP('Données projet'!$B$10,Paramètres!$A$1:$I$89,3,0)*0.475*44/12</f>
        <v>3.9494155047147652E-11</v>
      </c>
      <c r="AX185" s="23">
        <f t="shared" si="166"/>
        <v>40.391520314000559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287</v>
      </c>
      <c r="BE185" s="14">
        <f>BD185*VLOOKUP('Données projet'!$B$11,Paramètres!$A$1:$I$89,3,0)*VLOOKUP('Données projet'!$B$11,Paramètres!$A$1:$I$89,5,0)</f>
        <v>291.01800000000003</v>
      </c>
      <c r="BF185" s="14">
        <f t="shared" si="167"/>
        <v>69.290173032120919</v>
      </c>
      <c r="BG185" s="22">
        <f t="shared" si="168"/>
        <v>627.53673469761077</v>
      </c>
      <c r="BH185" s="62">
        <f t="shared" si="116"/>
        <v>920.87006803094414</v>
      </c>
      <c r="BI185" s="62">
        <f ca="1">AVERAGE(OFFSET($BH$3,0,0,'Données projet'!$E$11+1,1))-AVERAGE(OFFSET($H$3,0,0,'Données projet'!$E$11+1,1))</f>
        <v>234.66244049825644</v>
      </c>
      <c r="BJ185" s="62">
        <f t="shared" si="146"/>
        <v>87.037318032671465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54.654007401979491</v>
      </c>
      <c r="BQ185" s="23">
        <f>EXP(-LN(2)/25)*BQ184+(1-EXP(-LN(2)/25))/(LN(2)/25)*Calculateur!BL185*Calculateur!BN185*VLOOKUP('Données projet'!$B$11,Paramètres!$A$1:$I$89,3,0)*0.475*44/12</f>
        <v>2.2044799579137839</v>
      </c>
      <c r="BR185" s="23">
        <f>EXP(-LN(2)/2)*BR184+(1-EXP(-LN(2)/2))/(LN(2)/2)*BL185*BO185*VLOOKUP('Données projet'!$B$11,Paramètres!$A$1:$I$89,3,0)*0.475*44/12</f>
        <v>1.8980385281239479E-2</v>
      </c>
      <c r="BS185" s="24">
        <f t="shared" si="169"/>
        <v>56.877467745174513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395.00000000000017</v>
      </c>
      <c r="O186" s="14">
        <f>N186*VLOOKUP('Données projet'!$B$9,Paramètres!$A$1:$I$89,3,0)*VLOOKUP('Données projet'!$B$9,Paramètres!$A$1:$I$89,5,0)</f>
        <v>236.21000000000009</v>
      </c>
      <c r="P186" s="14">
        <f t="shared" si="141"/>
        <v>57.62333963053878</v>
      </c>
      <c r="Q186" s="22">
        <f t="shared" si="162"/>
        <v>511.75973318985524</v>
      </c>
      <c r="R186" s="62">
        <f t="shared" si="109"/>
        <v>805.09306652318855</v>
      </c>
      <c r="S186" s="62">
        <f ca="1">AVERAGE(OFFSET($R$3,0,0,'Données projet'!$E$9+1,1))-AVERAGE(OFFSET($H$3,0,0,'Données projet'!$E$9+1,1))</f>
        <v>217.62295992724461</v>
      </c>
      <c r="T186" s="62">
        <f t="shared" si="142"/>
        <v>198.62788037979772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3.3808523952980152</v>
      </c>
      <c r="AA186" s="23">
        <f>EXP(-LN(2)/25)*AA185+(1-EXP(-LN(2)/25))/(LN(2)/25)*Calculateur!V186*Calculateur!X186*VLOOKUP('Données projet'!$B$9,Paramètres!$A$1:$I$89,3,0)*0.475*44/12</f>
        <v>0.21793072169506611</v>
      </c>
      <c r="AB186" s="23">
        <f>EXP(-LN(2)/2)*AB185+(1-EXP(-LN(2)/2))/(LN(2)/2)*V186*Y186*VLOOKUP('Données projet'!$B$9,Paramètres!$A$1:$I$89,3,0)*0.475*44/12</f>
        <v>6.1032703161270431E-19</v>
      </c>
      <c r="AC186" s="24">
        <f t="shared" si="163"/>
        <v>3.5987831169930811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1.5961632016114892E-13</v>
      </c>
      <c r="AK186" s="14">
        <f t="shared" si="164"/>
        <v>2.2708641912150958E-12</v>
      </c>
      <c r="AL186" s="22">
        <f t="shared" si="165"/>
        <v>4.2330868906469593E-12</v>
      </c>
      <c r="AM186" s="62">
        <f t="shared" si="113"/>
        <v>293.33333333333752</v>
      </c>
      <c r="AN186" s="62">
        <f ca="1">AVERAGE(OFFSET($AM$3,0,0,'Données projet'!$E$10+1,1))-AVERAGE(OFFSET($H$3,0,0,'Données projet'!$E$10+1,1))</f>
        <v>201.92726874818067</v>
      </c>
      <c r="AO186" s="62">
        <f t="shared" si="144"/>
        <v>197.16147791248727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32.441412128752248</v>
      </c>
      <c r="AV186" s="23">
        <f>EXP(-LN(2)/25)*AV185+(1-EXP(-LN(2)/25))/(LN(2)/25)*Calculateur!AQ186*Calculateur!AS186*VLOOKUP('Données projet'!$B$10,Paramètres!$A$1:$I$89,3,0)*0.475*44/12</f>
        <v>7.1015752744854774</v>
      </c>
      <c r="AW186" s="23">
        <f>EXP(-LN(2)/2)*AW185+(1-EXP(-LN(2)/2))/(LN(2)/2)*AQ186*AT186*VLOOKUP('Données projet'!$B$10,Paramètres!$A$1:$I$89,3,0)*0.475*44/12</f>
        <v>2.7926584851071017E-11</v>
      </c>
      <c r="AX186" s="23">
        <f t="shared" si="166"/>
        <v>39.542987403265649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287</v>
      </c>
      <c r="BE186" s="14">
        <f>BD186*VLOOKUP('Données projet'!$B$11,Paramètres!$A$1:$I$89,3,0)*VLOOKUP('Données projet'!$B$11,Paramètres!$A$1:$I$89,5,0)</f>
        <v>291.01800000000003</v>
      </c>
      <c r="BF186" s="14">
        <f t="shared" si="167"/>
        <v>69.290173032120919</v>
      </c>
      <c r="BG186" s="22">
        <f t="shared" si="168"/>
        <v>627.53673469761077</v>
      </c>
      <c r="BH186" s="62">
        <f t="shared" si="116"/>
        <v>920.87006803094414</v>
      </c>
      <c r="BI186" s="62">
        <f ca="1">AVERAGE(OFFSET($BH$3,0,0,'Données projet'!$E$11+1,1))-AVERAGE(OFFSET($H$3,0,0,'Données projet'!$E$11+1,1))</f>
        <v>234.66244049825644</v>
      </c>
      <c r="BJ186" s="62">
        <f t="shared" si="146"/>
        <v>87.037318032671465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53.582275652479566</v>
      </c>
      <c r="BQ186" s="23">
        <f>EXP(-LN(2)/25)*BQ185+(1-EXP(-LN(2)/25))/(LN(2)/25)*Calculateur!BL186*Calculateur!BN186*VLOOKUP('Données projet'!$B$11,Paramètres!$A$1:$I$89,3,0)*0.475*44/12</f>
        <v>2.1441983375360691</v>
      </c>
      <c r="BR186" s="23">
        <f>EXP(-LN(2)/2)*BR185+(1-EXP(-LN(2)/2))/(LN(2)/2)*BL186*BO186*VLOOKUP('Données projet'!$B$11,Paramètres!$A$1:$I$89,3,0)*0.475*44/12</f>
        <v>1.3421159141897772E-2</v>
      </c>
      <c r="BS186" s="24">
        <f t="shared" si="169"/>
        <v>55.739895149157533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395.00000000000017</v>
      </c>
      <c r="O187" s="14">
        <f>N187*VLOOKUP('Données projet'!$B$9,Paramètres!$A$1:$I$89,3,0)*VLOOKUP('Données projet'!$B$9,Paramètres!$A$1:$I$89,5,0)</f>
        <v>236.21000000000009</v>
      </c>
      <c r="P187" s="14">
        <f t="shared" si="141"/>
        <v>57.62333963053878</v>
      </c>
      <c r="Q187" s="22">
        <f t="shared" si="162"/>
        <v>511.75973318985524</v>
      </c>
      <c r="R187" s="62">
        <f t="shared" si="109"/>
        <v>805.09306652318855</v>
      </c>
      <c r="S187" s="62">
        <f ca="1">AVERAGE(OFFSET($R$3,0,0,'Données projet'!$E$9+1,1))-AVERAGE(OFFSET($H$3,0,0,'Données projet'!$E$9+1,1))</f>
        <v>217.62295992724461</v>
      </c>
      <c r="T187" s="62">
        <f t="shared" si="142"/>
        <v>198.62788037979772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3.3145559419425652</v>
      </c>
      <c r="AA187" s="23">
        <f>EXP(-LN(2)/25)*AA186+(1-EXP(-LN(2)/25))/(LN(2)/25)*Calculateur!V187*Calculateur!X187*VLOOKUP('Données projet'!$B$9,Paramètres!$A$1:$I$89,3,0)*0.475*44/12</f>
        <v>0.21197139464983597</v>
      </c>
      <c r="AB187" s="23">
        <f>EXP(-LN(2)/2)*AB186+(1-EXP(-LN(2)/2))/(LN(2)/2)*V187*Y187*VLOOKUP('Données projet'!$B$9,Paramètres!$A$1:$I$89,3,0)*0.475*44/12</f>
        <v>4.3156638279479963E-19</v>
      </c>
      <c r="AC187" s="24">
        <f t="shared" si="163"/>
        <v>3.5265273365924013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1.5961632016114892E-13</v>
      </c>
      <c r="AK187" s="14">
        <f t="shared" si="164"/>
        <v>2.2708641912150958E-12</v>
      </c>
      <c r="AL187" s="22">
        <f t="shared" si="165"/>
        <v>4.2330868906469593E-12</v>
      </c>
      <c r="AM187" s="62">
        <f t="shared" si="113"/>
        <v>293.33333333333752</v>
      </c>
      <c r="AN187" s="62">
        <f ca="1">AVERAGE(OFFSET($AM$3,0,0,'Données projet'!$E$10+1,1))-AVERAGE(OFFSET($H$3,0,0,'Données projet'!$E$10+1,1))</f>
        <v>201.92726874818067</v>
      </c>
      <c r="AO187" s="62">
        <f t="shared" si="144"/>
        <v>197.16147791248727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31.805255824214981</v>
      </c>
      <c r="AV187" s="23">
        <f>EXP(-LN(2)/25)*AV186+(1-EXP(-LN(2)/25))/(LN(2)/25)*Calculateur!AQ187*Calculateur!AS187*VLOOKUP('Données projet'!$B$10,Paramètres!$A$1:$I$89,3,0)*0.475*44/12</f>
        <v>6.9073823251490589</v>
      </c>
      <c r="AW187" s="23">
        <f>EXP(-LN(2)/2)*AW186+(1-EXP(-LN(2)/2))/(LN(2)/2)*AQ187*AT187*VLOOKUP('Données projet'!$B$10,Paramètres!$A$1:$I$89,3,0)*0.475*44/12</f>
        <v>1.9747077523573826E-11</v>
      </c>
      <c r="AX187" s="23">
        <f t="shared" si="166"/>
        <v>38.712638149383785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287</v>
      </c>
      <c r="BE187" s="14">
        <f>BD187*VLOOKUP('Données projet'!$B$11,Paramètres!$A$1:$I$89,3,0)*VLOOKUP('Données projet'!$B$11,Paramètres!$A$1:$I$89,5,0)</f>
        <v>291.01800000000003</v>
      </c>
      <c r="BF187" s="14">
        <f t="shared" si="167"/>
        <v>69.290173032120919</v>
      </c>
      <c r="BG187" s="22">
        <f t="shared" si="168"/>
        <v>627.53673469761077</v>
      </c>
      <c r="BH187" s="62">
        <f t="shared" si="116"/>
        <v>920.87006803094414</v>
      </c>
      <c r="BI187" s="62">
        <f ca="1">AVERAGE(OFFSET($BH$3,0,0,'Données projet'!$E$11+1,1))-AVERAGE(OFFSET($H$3,0,0,'Données projet'!$E$11+1,1))</f>
        <v>234.66244049825644</v>
      </c>
      <c r="BJ187" s="62">
        <f t="shared" si="146"/>
        <v>87.037318032671465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52.531559908895517</v>
      </c>
      <c r="BQ187" s="23">
        <f>EXP(-LN(2)/25)*BQ186+(1-EXP(-LN(2)/25))/(LN(2)/25)*Calculateur!BL187*Calculateur!BN187*VLOOKUP('Données projet'!$B$11,Paramètres!$A$1:$I$89,3,0)*0.475*44/12</f>
        <v>2.0855651212376554</v>
      </c>
      <c r="BR187" s="23">
        <f>EXP(-LN(2)/2)*BR186+(1-EXP(-LN(2)/2))/(LN(2)/2)*BL187*BO187*VLOOKUP('Données projet'!$B$11,Paramètres!$A$1:$I$89,3,0)*0.475*44/12</f>
        <v>9.4901926406197393E-3</v>
      </c>
      <c r="BS187" s="24">
        <f t="shared" si="169"/>
        <v>54.626615222773793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395.00000000000017</v>
      </c>
      <c r="O188" s="14">
        <f>N188*VLOOKUP('Données projet'!$B$9,Paramètres!$A$1:$I$89,3,0)*VLOOKUP('Données projet'!$B$9,Paramètres!$A$1:$I$89,5,0)</f>
        <v>236.21000000000009</v>
      </c>
      <c r="P188" s="14">
        <f t="shared" si="141"/>
        <v>57.62333963053878</v>
      </c>
      <c r="Q188" s="22">
        <f t="shared" si="162"/>
        <v>511.75973318985524</v>
      </c>
      <c r="R188" s="62">
        <f t="shared" si="109"/>
        <v>805.09306652318855</v>
      </c>
      <c r="S188" s="62">
        <f ca="1">AVERAGE(OFFSET($R$3,0,0,'Données projet'!$E$9+1,1))-AVERAGE(OFFSET($H$3,0,0,'Données projet'!$E$9+1,1))</f>
        <v>217.62295992724461</v>
      </c>
      <c r="T188" s="62">
        <f t="shared" si="142"/>
        <v>198.62788037979772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3.2495595216005717</v>
      </c>
      <c r="AA188" s="23">
        <f>EXP(-LN(2)/25)*AA187+(1-EXP(-LN(2)/25))/(LN(2)/25)*Calculateur!V188*Calculateur!X188*VLOOKUP('Données projet'!$B$9,Paramètres!$A$1:$I$89,3,0)*0.475*44/12</f>
        <v>0.20617502571604504</v>
      </c>
      <c r="AB188" s="23">
        <f>EXP(-LN(2)/2)*AB187+(1-EXP(-LN(2)/2))/(LN(2)/2)*V188*Y188*VLOOKUP('Données projet'!$B$9,Paramètres!$A$1:$I$89,3,0)*0.475*44/12</f>
        <v>3.051635158063522E-19</v>
      </c>
      <c r="AC188" s="24">
        <f t="shared" si="163"/>
        <v>3.4557345473166166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1.5961632016114892E-13</v>
      </c>
      <c r="AK188" s="14">
        <f t="shared" si="164"/>
        <v>2.2708641912150958E-12</v>
      </c>
      <c r="AL188" s="22">
        <f t="shared" si="165"/>
        <v>4.2330868906469593E-12</v>
      </c>
      <c r="AM188" s="62">
        <f t="shared" si="113"/>
        <v>293.33333333333752</v>
      </c>
      <c r="AN188" s="62">
        <f ca="1">AVERAGE(OFFSET($AM$3,0,0,'Données projet'!$E$10+1,1))-AVERAGE(OFFSET($H$3,0,0,'Données projet'!$E$10+1,1))</f>
        <v>201.92726874818067</v>
      </c>
      <c r="AO188" s="62">
        <f t="shared" si="144"/>
        <v>197.16147791248727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31.181574156792657</v>
      </c>
      <c r="AV188" s="23">
        <f>EXP(-LN(2)/25)*AV187+(1-EXP(-LN(2)/25))/(LN(2)/25)*Calculateur!AQ188*Calculateur!AS188*VLOOKUP('Données projet'!$B$10,Paramètres!$A$1:$I$89,3,0)*0.475*44/12</f>
        <v>6.7184995922244086</v>
      </c>
      <c r="AW188" s="23">
        <f>EXP(-LN(2)/2)*AW187+(1-EXP(-LN(2)/2))/(LN(2)/2)*AQ188*AT188*VLOOKUP('Données projet'!$B$10,Paramètres!$A$1:$I$89,3,0)*0.475*44/12</f>
        <v>1.3963292425535508E-11</v>
      </c>
      <c r="AX188" s="23">
        <f t="shared" si="166"/>
        <v>37.90007374903103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287</v>
      </c>
      <c r="BE188" s="14">
        <f>BD188*VLOOKUP('Données projet'!$B$11,Paramètres!$A$1:$I$89,3,0)*VLOOKUP('Données projet'!$B$11,Paramètres!$A$1:$I$89,5,0)</f>
        <v>291.01800000000003</v>
      </c>
      <c r="BF188" s="14">
        <f t="shared" si="167"/>
        <v>69.290173032120919</v>
      </c>
      <c r="BG188" s="22">
        <f t="shared" si="168"/>
        <v>627.53673469761077</v>
      </c>
      <c r="BH188" s="62">
        <f t="shared" si="116"/>
        <v>920.87006803094414</v>
      </c>
      <c r="BI188" s="62">
        <f ca="1">AVERAGE(OFFSET($BH$3,0,0,'Données projet'!$E$11+1,1))-AVERAGE(OFFSET($H$3,0,0,'Données projet'!$E$11+1,1))</f>
        <v>234.66244049825644</v>
      </c>
      <c r="BJ188" s="62">
        <f t="shared" si="146"/>
        <v>87.037318032671465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51.501448060169828</v>
      </c>
      <c r="BQ188" s="23">
        <f>EXP(-LN(2)/25)*BQ187+(1-EXP(-LN(2)/25))/(LN(2)/25)*Calculateur!BL188*Calculateur!BN188*VLOOKUP('Données projet'!$B$11,Paramètres!$A$1:$I$89,3,0)*0.475*44/12</f>
        <v>2.0285352333223088</v>
      </c>
      <c r="BR188" s="23">
        <f>EXP(-LN(2)/2)*BR187+(1-EXP(-LN(2)/2))/(LN(2)/2)*BL188*BO188*VLOOKUP('Données projet'!$B$11,Paramètres!$A$1:$I$89,3,0)*0.475*44/12</f>
        <v>6.7105795709488858E-3</v>
      </c>
      <c r="BS188" s="24">
        <f t="shared" si="169"/>
        <v>53.536693873063086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395.00000000000017</v>
      </c>
      <c r="O189" s="14">
        <f>N189*VLOOKUP('Données projet'!$B$9,Paramètres!$A$1:$I$89,3,0)*VLOOKUP('Données projet'!$B$9,Paramètres!$A$1:$I$89,5,0)</f>
        <v>236.21000000000009</v>
      </c>
      <c r="P189" s="14">
        <f t="shared" si="141"/>
        <v>57.62333963053878</v>
      </c>
      <c r="Q189" s="22">
        <f t="shared" si="162"/>
        <v>511.75973318985524</v>
      </c>
      <c r="R189" s="62">
        <f t="shared" si="109"/>
        <v>805.09306652318855</v>
      </c>
      <c r="S189" s="62">
        <f ca="1">AVERAGE(OFFSET($R$3,0,0,'Données projet'!$E$9+1,1))-AVERAGE(OFFSET($H$3,0,0,'Données projet'!$E$9+1,1))</f>
        <v>217.62295992724461</v>
      </c>
      <c r="T189" s="62">
        <f t="shared" si="142"/>
        <v>198.62788037979772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3.1858376414175829</v>
      </c>
      <c r="AA189" s="23">
        <f>EXP(-LN(2)/25)*AA188+(1-EXP(-LN(2)/25))/(LN(2)/25)*Calculateur!V189*Calculateur!X189*VLOOKUP('Données projet'!$B$9,Paramètres!$A$1:$I$89,3,0)*0.475*44/12</f>
        <v>0.20053715879556641</v>
      </c>
      <c r="AB189" s="23">
        <f>EXP(-LN(2)/2)*AB188+(1-EXP(-LN(2)/2))/(LN(2)/2)*V189*Y189*VLOOKUP('Données projet'!$B$9,Paramètres!$A$1:$I$89,3,0)*0.475*44/12</f>
        <v>2.1578319139739984E-19</v>
      </c>
      <c r="AC189" s="24">
        <f t="shared" si="163"/>
        <v>3.3863748002131491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1.5961632016114892E-13</v>
      </c>
      <c r="AK189" s="14">
        <f t="shared" si="164"/>
        <v>2.2708641912150958E-12</v>
      </c>
      <c r="AL189" s="22">
        <f t="shared" si="165"/>
        <v>4.2330868906469593E-12</v>
      </c>
      <c r="AM189" s="62">
        <f t="shared" si="113"/>
        <v>293.33333333333752</v>
      </c>
      <c r="AN189" s="62">
        <f ca="1">AVERAGE(OFFSET($AM$3,0,0,'Données projet'!$E$10+1,1))-AVERAGE(OFFSET($H$3,0,0,'Données projet'!$E$10+1,1))</f>
        <v>201.92726874818067</v>
      </c>
      <c r="AO189" s="62">
        <f t="shared" si="144"/>
        <v>197.16147791248727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30.57012250646023</v>
      </c>
      <c r="AV189" s="23">
        <f>EXP(-LN(2)/25)*AV188+(1-EXP(-LN(2)/25))/(LN(2)/25)*Calculateur!AQ189*Calculateur!AS189*VLOOKUP('Données projet'!$B$10,Paramètres!$A$1:$I$89,3,0)*0.475*44/12</f>
        <v>6.5347818675644938</v>
      </c>
      <c r="AW189" s="23">
        <f>EXP(-LN(2)/2)*AW188+(1-EXP(-LN(2)/2))/(LN(2)/2)*AQ189*AT189*VLOOKUP('Données projet'!$B$10,Paramètres!$A$1:$I$89,3,0)*0.475*44/12</f>
        <v>9.873538761786913E-12</v>
      </c>
      <c r="AX189" s="23">
        <f t="shared" si="166"/>
        <v>37.104904374034604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287</v>
      </c>
      <c r="BE189" s="14">
        <f>BD189*VLOOKUP('Données projet'!$B$11,Paramètres!$A$1:$I$89,3,0)*VLOOKUP('Données projet'!$B$11,Paramètres!$A$1:$I$89,5,0)</f>
        <v>291.01800000000003</v>
      </c>
      <c r="BF189" s="14">
        <f t="shared" si="167"/>
        <v>69.290173032120919</v>
      </c>
      <c r="BG189" s="22">
        <f t="shared" si="168"/>
        <v>627.53673469761077</v>
      </c>
      <c r="BH189" s="62">
        <f t="shared" si="116"/>
        <v>920.87006803094414</v>
      </c>
      <c r="BI189" s="62">
        <f ca="1">AVERAGE(OFFSET($BH$3,0,0,'Données projet'!$E$11+1,1))-AVERAGE(OFFSET($H$3,0,0,'Données projet'!$E$11+1,1))</f>
        <v>234.66244049825644</v>
      </c>
      <c r="BJ189" s="62">
        <f t="shared" si="146"/>
        <v>87.037318032671465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50.491536076491457</v>
      </c>
      <c r="BQ189" s="23">
        <f>EXP(-LN(2)/25)*BQ188+(1-EXP(-LN(2)/25))/(LN(2)/25)*Calculateur!BL189*Calculateur!BN189*VLOOKUP('Données projet'!$B$11,Paramètres!$A$1:$I$89,3,0)*0.475*44/12</f>
        <v>1.9730648306910785</v>
      </c>
      <c r="BR189" s="23">
        <f>EXP(-LN(2)/2)*BR188+(1-EXP(-LN(2)/2))/(LN(2)/2)*BL189*BO189*VLOOKUP('Données projet'!$B$11,Paramètres!$A$1:$I$89,3,0)*0.475*44/12</f>
        <v>4.7450963203098696E-3</v>
      </c>
      <c r="BS189" s="24">
        <f t="shared" si="169"/>
        <v>52.469346003502849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395.00000000000017</v>
      </c>
      <c r="O190" s="14">
        <f>N190*VLOOKUP('Données projet'!$B$9,Paramètres!$A$1:$I$89,3,0)*VLOOKUP('Données projet'!$B$9,Paramètres!$A$1:$I$89,5,0)</f>
        <v>236.21000000000009</v>
      </c>
      <c r="P190" s="14">
        <f t="shared" si="141"/>
        <v>57.62333963053878</v>
      </c>
      <c r="Q190" s="22">
        <f t="shared" si="162"/>
        <v>511.75973318985524</v>
      </c>
      <c r="R190" s="62">
        <f t="shared" si="109"/>
        <v>805.09306652318855</v>
      </c>
      <c r="S190" s="62">
        <f ca="1">AVERAGE(OFFSET($R$3,0,0,'Données projet'!$E$9+1,1))-AVERAGE(OFFSET($H$3,0,0,'Données projet'!$E$9+1,1))</f>
        <v>217.62295992724461</v>
      </c>
      <c r="T190" s="62">
        <f t="shared" si="142"/>
        <v>198.62788037979772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3.1233653084384732</v>
      </c>
      <c r="AA190" s="23">
        <f>EXP(-LN(2)/25)*AA189+(1-EXP(-LN(2)/25))/(LN(2)/25)*Calculateur!V190*Calculateur!X190*VLOOKUP('Données projet'!$B$9,Paramètres!$A$1:$I$89,3,0)*0.475*44/12</f>
        <v>0.19505345964251081</v>
      </c>
      <c r="AB190" s="23">
        <f>EXP(-LN(2)/2)*AB189+(1-EXP(-LN(2)/2))/(LN(2)/2)*V190*Y190*VLOOKUP('Données projet'!$B$9,Paramètres!$A$1:$I$89,3,0)*0.475*44/12</f>
        <v>1.5258175790317612E-19</v>
      </c>
      <c r="AC190" s="24">
        <f t="shared" si="163"/>
        <v>3.318418768080984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1.5961632016114892E-13</v>
      </c>
      <c r="AK190" s="14">
        <f t="shared" si="164"/>
        <v>2.2708641912150958E-12</v>
      </c>
      <c r="AL190" s="22">
        <f t="shared" si="165"/>
        <v>4.2330868906469593E-12</v>
      </c>
      <c r="AM190" s="62">
        <f t="shared" si="113"/>
        <v>293.33333333333752</v>
      </c>
      <c r="AN190" s="62">
        <f ca="1">AVERAGE(OFFSET($AM$3,0,0,'Données projet'!$E$10+1,1))-AVERAGE(OFFSET($H$3,0,0,'Données projet'!$E$10+1,1))</f>
        <v>201.92726874818067</v>
      </c>
      <c r="AO190" s="62">
        <f t="shared" si="144"/>
        <v>197.16147791248727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29.970661050042139</v>
      </c>
      <c r="AV190" s="23">
        <f>EXP(-LN(2)/25)*AV189+(1-EXP(-LN(2)/25))/(LN(2)/25)*Calculateur!AQ190*Calculateur!AS190*VLOOKUP('Données projet'!$B$10,Paramètres!$A$1:$I$89,3,0)*0.475*44/12</f>
        <v>6.3560879137467001</v>
      </c>
      <c r="AW190" s="23">
        <f>EXP(-LN(2)/2)*AW189+(1-EXP(-LN(2)/2))/(LN(2)/2)*AQ190*AT190*VLOOKUP('Données projet'!$B$10,Paramètres!$A$1:$I$89,3,0)*0.475*44/12</f>
        <v>6.9816462127677542E-12</v>
      </c>
      <c r="AX190" s="23">
        <f t="shared" si="166"/>
        <v>36.326748963795822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287</v>
      </c>
      <c r="BE190" s="14">
        <f>BD190*VLOOKUP('Données projet'!$B$11,Paramètres!$A$1:$I$89,3,0)*VLOOKUP('Données projet'!$B$11,Paramètres!$A$1:$I$89,5,0)</f>
        <v>291.01800000000003</v>
      </c>
      <c r="BF190" s="14">
        <f t="shared" si="167"/>
        <v>69.290173032120919</v>
      </c>
      <c r="BG190" s="22">
        <f t="shared" si="168"/>
        <v>627.53673469761077</v>
      </c>
      <c r="BH190" s="62">
        <f t="shared" si="116"/>
        <v>920.87006803094414</v>
      </c>
      <c r="BI190" s="62">
        <f ca="1">AVERAGE(OFFSET($BH$3,0,0,'Données projet'!$E$11+1,1))-AVERAGE(OFFSET($H$3,0,0,'Données projet'!$E$11+1,1))</f>
        <v>234.66244049825644</v>
      </c>
      <c r="BJ190" s="62">
        <f t="shared" si="146"/>
        <v>87.037318032671465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49.501427850827532</v>
      </c>
      <c r="BQ190" s="23">
        <f>EXP(-LN(2)/25)*BQ189+(1-EXP(-LN(2)/25))/(LN(2)/25)*Calculateur!BL190*Calculateur!BN190*VLOOKUP('Données projet'!$B$11,Paramètres!$A$1:$I$89,3,0)*0.475*44/12</f>
        <v>1.919111269136861</v>
      </c>
      <c r="BR190" s="23">
        <f>EXP(-LN(2)/2)*BR189+(1-EXP(-LN(2)/2))/(LN(2)/2)*BL190*BO190*VLOOKUP('Données projet'!$B$11,Paramètres!$A$1:$I$89,3,0)*0.475*44/12</f>
        <v>3.3552897854744429E-3</v>
      </c>
      <c r="BS190" s="24">
        <f t="shared" si="169"/>
        <v>51.42389440974987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395.00000000000017</v>
      </c>
      <c r="O191" s="14">
        <f>N191*VLOOKUP('Données projet'!$B$9,Paramètres!$A$1:$I$89,3,0)*VLOOKUP('Données projet'!$B$9,Paramètres!$A$1:$I$89,5,0)</f>
        <v>236.21000000000009</v>
      </c>
      <c r="P191" s="14">
        <f t="shared" si="141"/>
        <v>57.62333963053878</v>
      </c>
      <c r="Q191" s="22">
        <f t="shared" si="162"/>
        <v>511.75973318985524</v>
      </c>
      <c r="R191" s="62">
        <f t="shared" si="109"/>
        <v>805.09306652318855</v>
      </c>
      <c r="S191" s="62">
        <f ca="1">AVERAGE(OFFSET($R$3,0,0,'Données projet'!$E$9+1,1))-AVERAGE(OFFSET($H$3,0,0,'Données projet'!$E$9+1,1))</f>
        <v>217.62295992724461</v>
      </c>
      <c r="T191" s="62">
        <f t="shared" si="142"/>
        <v>198.62788037979772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3.0621180198047235</v>
      </c>
      <c r="AA191" s="23">
        <f>EXP(-LN(2)/25)*AA190+(1-EXP(-LN(2)/25))/(LN(2)/25)*Calculateur!V191*Calculateur!X191*VLOOKUP('Données projet'!$B$9,Paramètres!$A$1:$I$89,3,0)*0.475*44/12</f>
        <v>0.1897197125311707</v>
      </c>
      <c r="AB191" s="23">
        <f>EXP(-LN(2)/2)*AB190+(1-EXP(-LN(2)/2))/(LN(2)/2)*V191*Y191*VLOOKUP('Données projet'!$B$9,Paramètres!$A$1:$I$89,3,0)*0.475*44/12</f>
        <v>1.0789159569869993E-19</v>
      </c>
      <c r="AC191" s="24">
        <f t="shared" si="163"/>
        <v>3.2518377323358942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1.5961632016114892E-13</v>
      </c>
      <c r="AK191" s="14">
        <f t="shared" si="164"/>
        <v>2.2708641912150958E-12</v>
      </c>
      <c r="AL191" s="22">
        <f t="shared" si="165"/>
        <v>4.2330868906469593E-12</v>
      </c>
      <c r="AM191" s="62">
        <f t="shared" si="113"/>
        <v>293.33333333333752</v>
      </c>
      <c r="AN191" s="62">
        <f ca="1">AVERAGE(OFFSET($AM$3,0,0,'Données projet'!$E$10+1,1))-AVERAGE(OFFSET($H$3,0,0,'Données projet'!$E$10+1,1))</f>
        <v>201.92726874818067</v>
      </c>
      <c r="AO191" s="62">
        <f t="shared" si="144"/>
        <v>197.16147791248727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29.382954667149022</v>
      </c>
      <c r="AV191" s="23">
        <f>EXP(-LN(2)/25)*AV190+(1-EXP(-LN(2)/25))/(LN(2)/25)*Calculateur!AQ191*Calculateur!AS191*VLOOKUP('Données projet'!$B$10,Paramètres!$A$1:$I$89,3,0)*0.475*44/12</f>
        <v>6.1822803554931607</v>
      </c>
      <c r="AW191" s="23">
        <f>EXP(-LN(2)/2)*AW190+(1-EXP(-LN(2)/2))/(LN(2)/2)*AQ191*AT191*VLOOKUP('Données projet'!$B$10,Paramètres!$A$1:$I$89,3,0)*0.475*44/12</f>
        <v>4.9367693808934565E-12</v>
      </c>
      <c r="AX191" s="23">
        <f t="shared" si="166"/>
        <v>35.565235022647123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287</v>
      </c>
      <c r="BE191" s="14">
        <f>BD191*VLOOKUP('Données projet'!$B$11,Paramètres!$A$1:$I$89,3,0)*VLOOKUP('Données projet'!$B$11,Paramètres!$A$1:$I$89,5,0)</f>
        <v>291.01800000000003</v>
      </c>
      <c r="BF191" s="14">
        <f t="shared" si="167"/>
        <v>69.290173032120919</v>
      </c>
      <c r="BG191" s="22">
        <f t="shared" si="168"/>
        <v>627.53673469761077</v>
      </c>
      <c r="BH191" s="62">
        <f t="shared" si="116"/>
        <v>920.87006803094414</v>
      </c>
      <c r="BI191" s="62">
        <f ca="1">AVERAGE(OFFSET($BH$3,0,0,'Données projet'!$E$11+1,1))-AVERAGE(OFFSET($H$3,0,0,'Données projet'!$E$11+1,1))</f>
        <v>234.66244049825644</v>
      </c>
      <c r="BJ191" s="62">
        <f t="shared" si="146"/>
        <v>87.037318032671465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48.530735043562494</v>
      </c>
      <c r="BQ191" s="23">
        <f>EXP(-LN(2)/25)*BQ190+(1-EXP(-LN(2)/25))/(LN(2)/25)*Calculateur!BL191*Calculateur!BN191*VLOOKUP('Données projet'!$B$11,Paramètres!$A$1:$I$89,3,0)*0.475*44/12</f>
        <v>1.8666330705606382</v>
      </c>
      <c r="BR191" s="23">
        <f>EXP(-LN(2)/2)*BR190+(1-EXP(-LN(2)/2))/(LN(2)/2)*BL191*BO191*VLOOKUP('Données projet'!$B$11,Paramètres!$A$1:$I$89,3,0)*0.475*44/12</f>
        <v>2.3725481601549348E-3</v>
      </c>
      <c r="BS191" s="24">
        <f t="shared" si="169"/>
        <v>50.399740662283286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395.00000000000017</v>
      </c>
      <c r="O192" s="14">
        <f>N192*VLOOKUP('Données projet'!$B$9,Paramètres!$A$1:$I$89,3,0)*VLOOKUP('Données projet'!$B$9,Paramètres!$A$1:$I$89,5,0)</f>
        <v>236.21000000000009</v>
      </c>
      <c r="P192" s="14">
        <f t="shared" si="141"/>
        <v>57.62333963053878</v>
      </c>
      <c r="Q192" s="22">
        <f t="shared" si="162"/>
        <v>511.75973318985524</v>
      </c>
      <c r="R192" s="62">
        <f t="shared" si="109"/>
        <v>805.09306652318855</v>
      </c>
      <c r="S192" s="62">
        <f ca="1">AVERAGE(OFFSET($R$3,0,0,'Données projet'!$E$9+1,1))-AVERAGE(OFFSET($H$3,0,0,'Données projet'!$E$9+1,1))</f>
        <v>217.62295992724461</v>
      </c>
      <c r="T192" s="62">
        <f t="shared" si="142"/>
        <v>198.62788037979772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3.002071753143924</v>
      </c>
      <c r="AA192" s="23">
        <f>EXP(-LN(2)/25)*AA191+(1-EXP(-LN(2)/25))/(LN(2)/25)*Calculateur!V192*Calculateur!X192*VLOOKUP('Données projet'!$B$9,Paramètres!$A$1:$I$89,3,0)*0.475*44/12</f>
        <v>0.18453181701507976</v>
      </c>
      <c r="AB192" s="23">
        <f>EXP(-LN(2)/2)*AB191+(1-EXP(-LN(2)/2))/(LN(2)/2)*V192*Y192*VLOOKUP('Données projet'!$B$9,Paramètres!$A$1:$I$89,3,0)*0.475*44/12</f>
        <v>7.6290878951588074E-20</v>
      </c>
      <c r="AC192" s="24">
        <f t="shared" si="163"/>
        <v>3.1866035701590039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1.5961632016114892E-13</v>
      </c>
      <c r="AK192" s="14">
        <f t="shared" si="164"/>
        <v>2.2708641912150958E-12</v>
      </c>
      <c r="AL192" s="22">
        <f t="shared" si="165"/>
        <v>4.2330868906469593E-12</v>
      </c>
      <c r="AM192" s="62">
        <f t="shared" si="113"/>
        <v>293.33333333333752</v>
      </c>
      <c r="AN192" s="62">
        <f ca="1">AVERAGE(OFFSET($AM$3,0,0,'Données projet'!$E$10+1,1))-AVERAGE(OFFSET($H$3,0,0,'Données projet'!$E$10+1,1))</f>
        <v>201.92726874818067</v>
      </c>
      <c r="AO192" s="62">
        <f t="shared" si="144"/>
        <v>197.16147791248727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28.806772847958943</v>
      </c>
      <c r="AV192" s="23">
        <f>EXP(-LN(2)/25)*AV191+(1-EXP(-LN(2)/25))/(LN(2)/25)*Calculateur!AQ192*Calculateur!AS192*VLOOKUP('Données projet'!$B$10,Paramètres!$A$1:$I$89,3,0)*0.475*44/12</f>
        <v>6.0132255740602059</v>
      </c>
      <c r="AW192" s="23">
        <f>EXP(-LN(2)/2)*AW191+(1-EXP(-LN(2)/2))/(LN(2)/2)*AQ192*AT192*VLOOKUP('Données projet'!$B$10,Paramètres!$A$1:$I$89,3,0)*0.475*44/12</f>
        <v>3.4908231063838771E-12</v>
      </c>
      <c r="AX192" s="23">
        <f t="shared" si="166"/>
        <v>34.819998422022636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287</v>
      </c>
      <c r="BE192" s="14">
        <f>BD192*VLOOKUP('Données projet'!$B$11,Paramètres!$A$1:$I$89,3,0)*VLOOKUP('Données projet'!$B$11,Paramètres!$A$1:$I$89,5,0)</f>
        <v>291.01800000000003</v>
      </c>
      <c r="BF192" s="14">
        <f t="shared" si="167"/>
        <v>69.290173032120919</v>
      </c>
      <c r="BG192" s="22">
        <f t="shared" si="168"/>
        <v>627.53673469761077</v>
      </c>
      <c r="BH192" s="62">
        <f t="shared" si="116"/>
        <v>920.87006803094414</v>
      </c>
      <c r="BI192" s="62">
        <f ca="1">AVERAGE(OFFSET($BH$3,0,0,'Données projet'!$E$11+1,1))-AVERAGE(OFFSET($H$3,0,0,'Données projet'!$E$11+1,1))</f>
        <v>234.66244049825644</v>
      </c>
      <c r="BJ192" s="62">
        <f t="shared" si="146"/>
        <v>87.037318032671465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47.579076930183774</v>
      </c>
      <c r="BQ192" s="23">
        <f>EXP(-LN(2)/25)*BQ191+(1-EXP(-LN(2)/25))/(LN(2)/25)*Calculateur!BL192*Calculateur!BN192*VLOOKUP('Données projet'!$B$11,Paramètres!$A$1:$I$89,3,0)*0.475*44/12</f>
        <v>1.8155898910841906</v>
      </c>
      <c r="BR192" s="23">
        <f>EXP(-LN(2)/2)*BR191+(1-EXP(-LN(2)/2))/(LN(2)/2)*BL192*BO192*VLOOKUP('Données projet'!$B$11,Paramètres!$A$1:$I$89,3,0)*0.475*44/12</f>
        <v>1.6776448927372214E-3</v>
      </c>
      <c r="BS192" s="24">
        <f t="shared" si="169"/>
        <v>49.396344466160699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395.00000000000017</v>
      </c>
      <c r="O193" s="14">
        <f>N193*VLOOKUP('Données projet'!$B$9,Paramètres!$A$1:$I$89,3,0)*VLOOKUP('Données projet'!$B$9,Paramètres!$A$1:$I$89,5,0)</f>
        <v>236.21000000000009</v>
      </c>
      <c r="P193" s="14">
        <f t="shared" si="141"/>
        <v>57.62333963053878</v>
      </c>
      <c r="Q193" s="22">
        <f t="shared" si="162"/>
        <v>511.75973318985524</v>
      </c>
      <c r="R193" s="62">
        <f t="shared" si="109"/>
        <v>805.09306652318855</v>
      </c>
      <c r="S193" s="62">
        <f ca="1">AVERAGE(OFFSET($R$3,0,0,'Données projet'!$E$9+1,1))-AVERAGE(OFFSET($H$3,0,0,'Données projet'!$E$9+1,1))</f>
        <v>217.62295992724461</v>
      </c>
      <c r="T193" s="62">
        <f t="shared" si="142"/>
        <v>198.62788037979772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2.9432029571477365</v>
      </c>
      <c r="AA193" s="23">
        <f>EXP(-LN(2)/25)*AA192+(1-EXP(-LN(2)/25))/(LN(2)/25)*Calculateur!V193*Calculateur!X193*VLOOKUP('Données projet'!$B$9,Paramètres!$A$1:$I$89,3,0)*0.475*44/12</f>
        <v>0.1794857847746959</v>
      </c>
      <c r="AB193" s="23">
        <f>EXP(-LN(2)/2)*AB192+(1-EXP(-LN(2)/2))/(LN(2)/2)*V193*Y193*VLOOKUP('Données projet'!$B$9,Paramètres!$A$1:$I$89,3,0)*0.475*44/12</f>
        <v>5.3945797849349978E-20</v>
      </c>
      <c r="AC193" s="24">
        <f t="shared" si="163"/>
        <v>3.1226887419224325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1.5961632016114892E-13</v>
      </c>
      <c r="AK193" s="14">
        <f t="shared" si="164"/>
        <v>2.2708641912150958E-12</v>
      </c>
      <c r="AL193" s="22">
        <f t="shared" si="165"/>
        <v>4.2330868906469593E-12</v>
      </c>
      <c r="AM193" s="62">
        <f t="shared" si="113"/>
        <v>293.33333333333752</v>
      </c>
      <c r="AN193" s="62">
        <f ca="1">AVERAGE(OFFSET($AM$3,0,0,'Données projet'!$E$10+1,1))-AVERAGE(OFFSET($H$3,0,0,'Données projet'!$E$10+1,1))</f>
        <v>201.92726874818067</v>
      </c>
      <c r="AO193" s="62">
        <f t="shared" si="144"/>
        <v>197.16147791248727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28.241889602806971</v>
      </c>
      <c r="AV193" s="23">
        <f>EXP(-LN(2)/25)*AV192+(1-EXP(-LN(2)/25))/(LN(2)/25)*Calculateur!AQ193*Calculateur!AS193*VLOOKUP('Données projet'!$B$10,Paramètres!$A$1:$I$89,3,0)*0.475*44/12</f>
        <v>5.8487936045157403</v>
      </c>
      <c r="AW193" s="23">
        <f>EXP(-LN(2)/2)*AW192+(1-EXP(-LN(2)/2))/(LN(2)/2)*AQ193*AT193*VLOOKUP('Données projet'!$B$10,Paramètres!$A$1:$I$89,3,0)*0.475*44/12</f>
        <v>2.4683846904467283E-12</v>
      </c>
      <c r="AX193" s="23">
        <f t="shared" si="166"/>
        <v>34.090683207325178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287</v>
      </c>
      <c r="BE193" s="14">
        <f>BD193*VLOOKUP('Données projet'!$B$11,Paramètres!$A$1:$I$89,3,0)*VLOOKUP('Données projet'!$B$11,Paramètres!$A$1:$I$89,5,0)</f>
        <v>291.01800000000003</v>
      </c>
      <c r="BF193" s="14">
        <f t="shared" si="167"/>
        <v>69.290173032120919</v>
      </c>
      <c r="BG193" s="22">
        <f t="shared" si="168"/>
        <v>627.53673469761077</v>
      </c>
      <c r="BH193" s="62">
        <f t="shared" si="116"/>
        <v>920.87006803094414</v>
      </c>
      <c r="BI193" s="62">
        <f ca="1">AVERAGE(OFFSET($BH$3,0,0,'Données projet'!$E$11+1,1))-AVERAGE(OFFSET($H$3,0,0,'Données projet'!$E$11+1,1))</f>
        <v>234.66244049825644</v>
      </c>
      <c r="BJ193" s="62">
        <f t="shared" si="146"/>
        <v>87.037318032671465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46.646080251954274</v>
      </c>
      <c r="BQ193" s="23">
        <f>EXP(-LN(2)/25)*BQ192+(1-EXP(-LN(2)/25))/(LN(2)/25)*Calculateur!BL193*Calculateur!BN193*VLOOKUP('Données projet'!$B$11,Paramètres!$A$1:$I$89,3,0)*0.475*44/12</f>
        <v>1.7659424900347707</v>
      </c>
      <c r="BR193" s="23">
        <f>EXP(-LN(2)/2)*BR192+(1-EXP(-LN(2)/2))/(LN(2)/2)*BL193*BO193*VLOOKUP('Données projet'!$B$11,Paramètres!$A$1:$I$89,3,0)*0.475*44/12</f>
        <v>1.1862740800774674E-3</v>
      </c>
      <c r="BS193" s="24">
        <f t="shared" si="169"/>
        <v>48.413209016069118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395.00000000000017</v>
      </c>
      <c r="O194" s="14">
        <f>N194*VLOOKUP('Données projet'!$B$9,Paramètres!$A$1:$I$89,3,0)*VLOOKUP('Données projet'!$B$9,Paramètres!$A$1:$I$89,5,0)</f>
        <v>236.21000000000009</v>
      </c>
      <c r="P194" s="14">
        <f t="shared" si="141"/>
        <v>57.62333963053878</v>
      </c>
      <c r="Q194" s="22">
        <f t="shared" si="162"/>
        <v>511.75973318985524</v>
      </c>
      <c r="R194" s="62">
        <f t="shared" si="109"/>
        <v>805.09306652318855</v>
      </c>
      <c r="S194" s="62">
        <f ca="1">AVERAGE(OFFSET($R$3,0,0,'Données projet'!$E$9+1,1))-AVERAGE(OFFSET($H$3,0,0,'Données projet'!$E$9+1,1))</f>
        <v>217.62295992724461</v>
      </c>
      <c r="T194" s="62">
        <f t="shared" si="142"/>
        <v>198.62788037979772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2.8854885423346142</v>
      </c>
      <c r="AA194" s="23">
        <f>EXP(-LN(2)/25)*AA193+(1-EXP(-LN(2)/25))/(LN(2)/25)*Calculateur!V194*Calculateur!X194*VLOOKUP('Données projet'!$B$9,Paramètres!$A$1:$I$89,3,0)*0.475*44/12</f>
        <v>0.17457773655128464</v>
      </c>
      <c r="AB194" s="23">
        <f>EXP(-LN(2)/2)*AB193+(1-EXP(-LN(2)/2))/(LN(2)/2)*V194*Y194*VLOOKUP('Données projet'!$B$9,Paramètres!$A$1:$I$89,3,0)*0.475*44/12</f>
        <v>3.8145439475794043E-20</v>
      </c>
      <c r="AC194" s="24">
        <f t="shared" si="163"/>
        <v>3.0600662788858988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1.5961632016114892E-13</v>
      </c>
      <c r="AK194" s="14">
        <f t="shared" si="164"/>
        <v>2.2708641912150958E-12</v>
      </c>
      <c r="AL194" s="22">
        <f t="shared" si="165"/>
        <v>4.2330868906469593E-12</v>
      </c>
      <c r="AM194" s="62">
        <f t="shared" si="113"/>
        <v>293.33333333333752</v>
      </c>
      <c r="AN194" s="62">
        <f ca="1">AVERAGE(OFFSET($AM$3,0,0,'Données projet'!$E$10+1,1))-AVERAGE(OFFSET($H$3,0,0,'Données projet'!$E$10+1,1))</f>
        <v>201.92726874818067</v>
      </c>
      <c r="AO194" s="62">
        <f t="shared" si="144"/>
        <v>197.16147791248727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27.688083373547673</v>
      </c>
      <c r="AV194" s="23">
        <f>EXP(-LN(2)/25)*AV193+(1-EXP(-LN(2)/25))/(LN(2)/25)*Calculateur!AQ194*Calculateur!AS194*VLOOKUP('Données projet'!$B$10,Paramètres!$A$1:$I$89,3,0)*0.475*44/12</f>
        <v>5.6888580358255689</v>
      </c>
      <c r="AW194" s="23">
        <f>EXP(-LN(2)/2)*AW193+(1-EXP(-LN(2)/2))/(LN(2)/2)*AQ194*AT194*VLOOKUP('Données projet'!$B$10,Paramètres!$A$1:$I$89,3,0)*0.475*44/12</f>
        <v>1.7454115531919385E-12</v>
      </c>
      <c r="AX194" s="23">
        <f t="shared" si="166"/>
        <v>33.376941409374993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287</v>
      </c>
      <c r="BE194" s="14">
        <f>BD194*VLOOKUP('Données projet'!$B$11,Paramètres!$A$1:$I$89,3,0)*VLOOKUP('Données projet'!$B$11,Paramètres!$A$1:$I$89,5,0)</f>
        <v>291.01800000000003</v>
      </c>
      <c r="BF194" s="14">
        <f t="shared" si="167"/>
        <v>69.290173032120919</v>
      </c>
      <c r="BG194" s="22">
        <f t="shared" si="168"/>
        <v>627.53673469761077</v>
      </c>
      <c r="BH194" s="62">
        <f t="shared" si="116"/>
        <v>920.87006803094414</v>
      </c>
      <c r="BI194" s="62">
        <f ca="1">AVERAGE(OFFSET($BH$3,0,0,'Données projet'!$E$11+1,1))-AVERAGE(OFFSET($H$3,0,0,'Données projet'!$E$11+1,1))</f>
        <v>234.66244049825644</v>
      </c>
      <c r="BJ194" s="62">
        <f t="shared" si="146"/>
        <v>87.037318032671465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45.731379069513075</v>
      </c>
      <c r="BQ194" s="23">
        <f>EXP(-LN(2)/25)*BQ193+(1-EXP(-LN(2)/25))/(LN(2)/25)*Calculateur!BL194*Calculateur!BN194*VLOOKUP('Données projet'!$B$11,Paramètres!$A$1:$I$89,3,0)*0.475*44/12</f>
        <v>1.7176526997778905</v>
      </c>
      <c r="BR194" s="23">
        <f>EXP(-LN(2)/2)*BR193+(1-EXP(-LN(2)/2))/(LN(2)/2)*BL194*BO194*VLOOKUP('Données projet'!$B$11,Paramètres!$A$1:$I$89,3,0)*0.475*44/12</f>
        <v>8.3882244636861072E-4</v>
      </c>
      <c r="BS194" s="24">
        <f t="shared" si="169"/>
        <v>47.449870591737337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395.00000000000017</v>
      </c>
      <c r="O195" s="14">
        <f>N195*VLOOKUP('Données projet'!$B$9,Paramètres!$A$1:$I$89,3,0)*VLOOKUP('Données projet'!$B$9,Paramètres!$A$1:$I$89,5,0)</f>
        <v>236.21000000000009</v>
      </c>
      <c r="P195" s="14">
        <f t="shared" si="141"/>
        <v>57.62333963053878</v>
      </c>
      <c r="Q195" s="22">
        <f t="shared" si="162"/>
        <v>511.75973318985524</v>
      </c>
      <c r="R195" s="62">
        <f t="shared" ref="R195:R203" si="191">Q195+(I195+J195)*44/12</f>
        <v>805.09306652318855</v>
      </c>
      <c r="S195" s="62">
        <f ca="1">AVERAGE(OFFSET($R$3,0,0,'Données projet'!$E$9+1,1))-AVERAGE(OFFSET($H$3,0,0,'Données projet'!$E$9+1,1))</f>
        <v>217.62295992724461</v>
      </c>
      <c r="T195" s="62">
        <f t="shared" si="142"/>
        <v>198.62788037979772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2.8289058719936602</v>
      </c>
      <c r="AA195" s="23">
        <f>EXP(-LN(2)/25)*AA194+(1-EXP(-LN(2)/25))/(LN(2)/25)*Calculateur!V195*Calculateur!X195*VLOOKUP('Données projet'!$B$9,Paramètres!$A$1:$I$89,3,0)*0.475*44/12</f>
        <v>0.16980389916464561</v>
      </c>
      <c r="AB195" s="23">
        <f>EXP(-LN(2)/2)*AB194+(1-EXP(-LN(2)/2))/(LN(2)/2)*V195*Y195*VLOOKUP('Données projet'!$B$9,Paramètres!$A$1:$I$89,3,0)*0.475*44/12</f>
        <v>2.6972898924674992E-20</v>
      </c>
      <c r="AC195" s="24">
        <f t="shared" si="163"/>
        <v>2.9987097711583059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1.5961632016114892E-13</v>
      </c>
      <c r="AK195" s="14">
        <f t="shared" si="164"/>
        <v>2.2708641912150958E-12</v>
      </c>
      <c r="AL195" s="22">
        <f t="shared" si="165"/>
        <v>4.2330868906469593E-12</v>
      </c>
      <c r="AM195" s="62">
        <f t="shared" si="113"/>
        <v>293.33333333333752</v>
      </c>
      <c r="AN195" s="62">
        <f ca="1">AVERAGE(OFFSET($AM$3,0,0,'Données projet'!$E$10+1,1))-AVERAGE(OFFSET($H$3,0,0,'Données projet'!$E$10+1,1))</f>
        <v>201.92726874818067</v>
      </c>
      <c r="AO195" s="62">
        <f t="shared" si="144"/>
        <v>197.16147791248727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27.145136946655704</v>
      </c>
      <c r="AV195" s="23">
        <f>EXP(-LN(2)/25)*AV194+(1-EXP(-LN(2)/25))/(LN(2)/25)*Calculateur!AQ195*Calculateur!AS195*VLOOKUP('Données projet'!$B$10,Paramètres!$A$1:$I$89,3,0)*0.475*44/12</f>
        <v>5.5332959136718767</v>
      </c>
      <c r="AW195" s="23">
        <f>EXP(-LN(2)/2)*AW194+(1-EXP(-LN(2)/2))/(LN(2)/2)*AQ195*AT195*VLOOKUP('Données projet'!$B$10,Paramètres!$A$1:$I$89,3,0)*0.475*44/12</f>
        <v>1.2341923452233641E-12</v>
      </c>
      <c r="AX195" s="23">
        <f t="shared" si="166"/>
        <v>32.678432860328819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287</v>
      </c>
      <c r="BE195" s="14">
        <f>BD195*VLOOKUP('Données projet'!$B$11,Paramètres!$A$1:$I$89,3,0)*VLOOKUP('Données projet'!$B$11,Paramètres!$A$1:$I$89,5,0)</f>
        <v>291.01800000000003</v>
      </c>
      <c r="BF195" s="14">
        <f t="shared" si="167"/>
        <v>69.290173032120919</v>
      </c>
      <c r="BG195" s="22">
        <f t="shared" si="168"/>
        <v>627.53673469761077</v>
      </c>
      <c r="BH195" s="62">
        <f t="shared" si="116"/>
        <v>920.87006803094414</v>
      </c>
      <c r="BI195" s="62">
        <f ca="1">AVERAGE(OFFSET($BH$3,0,0,'Données projet'!$E$11+1,1))-AVERAGE(OFFSET($H$3,0,0,'Données projet'!$E$11+1,1))</f>
        <v>234.66244049825644</v>
      </c>
      <c r="BJ195" s="62">
        <f t="shared" si="146"/>
        <v>87.037318032671465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44.834614619346915</v>
      </c>
      <c r="BQ195" s="23">
        <f>EXP(-LN(2)/25)*BQ194+(1-EXP(-LN(2)/25))/(LN(2)/25)*Calculateur!BL195*Calculateur!BN195*VLOOKUP('Données projet'!$B$11,Paramètres!$A$1:$I$89,3,0)*0.475*44/12</f>
        <v>1.6706833963750343</v>
      </c>
      <c r="BR195" s="23">
        <f>EXP(-LN(2)/2)*BR194+(1-EXP(-LN(2)/2))/(LN(2)/2)*BL195*BO195*VLOOKUP('Données projet'!$B$11,Paramètres!$A$1:$I$89,3,0)*0.475*44/12</f>
        <v>5.931370400387337E-4</v>
      </c>
      <c r="BS195" s="24">
        <f t="shared" si="169"/>
        <v>46.50589115276199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395.00000000000017</v>
      </c>
      <c r="O196" s="14">
        <f>N196*VLOOKUP('Données projet'!$B$9,Paramètres!$A$1:$I$89,3,0)*VLOOKUP('Données projet'!$B$9,Paramètres!$A$1:$I$89,5,0)</f>
        <v>236.21000000000009</v>
      </c>
      <c r="P196" s="14">
        <f t="shared" si="141"/>
        <v>57.62333963053878</v>
      </c>
      <c r="Q196" s="22">
        <f t="shared" si="162"/>
        <v>511.75973318985524</v>
      </c>
      <c r="R196" s="62">
        <f t="shared" si="191"/>
        <v>805.09306652318855</v>
      </c>
      <c r="S196" s="62">
        <f ca="1">AVERAGE(OFFSET($R$3,0,0,'Données projet'!$E$9+1,1))-AVERAGE(OFFSET($H$3,0,0,'Données projet'!$E$9+1,1))</f>
        <v>217.62295992724461</v>
      </c>
      <c r="T196" s="62">
        <f t="shared" si="142"/>
        <v>198.62788037979772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2.773432753306071</v>
      </c>
      <c r="AA196" s="23">
        <f>EXP(-LN(2)/25)*AA195+(1-EXP(-LN(2)/25))/(LN(2)/25)*Calculateur!V196*Calculateur!X196*VLOOKUP('Données projet'!$B$9,Paramètres!$A$1:$I$89,3,0)*0.475*44/12</f>
        <v>0.16516060261238941</v>
      </c>
      <c r="AB196" s="23">
        <f>EXP(-LN(2)/2)*AB195+(1-EXP(-LN(2)/2))/(LN(2)/2)*V196*Y196*VLOOKUP('Données projet'!$B$9,Paramètres!$A$1:$I$89,3,0)*0.475*44/12</f>
        <v>1.9072719737897025E-20</v>
      </c>
      <c r="AC196" s="24">
        <f t="shared" si="163"/>
        <v>2.9385933559184605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1.5961632016114892E-13</v>
      </c>
      <c r="AK196" s="14">
        <f t="shared" si="164"/>
        <v>2.2708641912150958E-12</v>
      </c>
      <c r="AL196" s="22">
        <f t="shared" si="165"/>
        <v>4.2330868906469593E-12</v>
      </c>
      <c r="AM196" s="62">
        <f t="shared" ref="AM196:AM203" si="193">AL196+(AD196+AE196)*44/12</f>
        <v>293.33333333333752</v>
      </c>
      <c r="AN196" s="62">
        <f ca="1">AVERAGE(OFFSET($AM$3,0,0,'Données projet'!$E$10+1,1))-AVERAGE(OFFSET($H$3,0,0,'Données projet'!$E$10+1,1))</f>
        <v>201.92726874818067</v>
      </c>
      <c r="AO196" s="62">
        <f t="shared" si="144"/>
        <v>197.16147791248727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26.612837368030466</v>
      </c>
      <c r="AV196" s="23">
        <f>EXP(-LN(2)/25)*AV195+(1-EXP(-LN(2)/25))/(LN(2)/25)*Calculateur!AQ196*Calculateur!AS196*VLOOKUP('Données projet'!$B$10,Paramètres!$A$1:$I$89,3,0)*0.475*44/12</f>
        <v>5.3819876459291338</v>
      </c>
      <c r="AW196" s="23">
        <f>EXP(-LN(2)/2)*AW195+(1-EXP(-LN(2)/2))/(LN(2)/2)*AQ196*AT196*VLOOKUP('Données projet'!$B$10,Paramètres!$A$1:$I$89,3,0)*0.475*44/12</f>
        <v>8.7270577659596927E-13</v>
      </c>
      <c r="AX196" s="23">
        <f t="shared" si="166"/>
        <v>31.994825013960472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287</v>
      </c>
      <c r="BE196" s="14">
        <f>BD196*VLOOKUP('Données projet'!$B$11,Paramètres!$A$1:$I$89,3,0)*VLOOKUP('Données projet'!$B$11,Paramètres!$A$1:$I$89,5,0)</f>
        <v>291.01800000000003</v>
      </c>
      <c r="BF196" s="14">
        <f t="shared" si="167"/>
        <v>69.290173032120919</v>
      </c>
      <c r="BG196" s="22">
        <f t="shared" si="168"/>
        <v>627.53673469761077</v>
      </c>
      <c r="BH196" s="62">
        <f t="shared" ref="BH196:BH203" si="194">BG196+(AY196+AZ196)*44/12</f>
        <v>920.87006803094414</v>
      </c>
      <c r="BI196" s="62">
        <f ca="1">AVERAGE(OFFSET($BH$3,0,0,'Données projet'!$E$11+1,1))-AVERAGE(OFFSET($H$3,0,0,'Données projet'!$E$11+1,1))</f>
        <v>234.66244049825644</v>
      </c>
      <c r="BJ196" s="62">
        <f t="shared" si="146"/>
        <v>87.037318032671465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43.955435173076204</v>
      </c>
      <c r="BQ196" s="23">
        <f>EXP(-LN(2)/25)*BQ195+(1-EXP(-LN(2)/25))/(LN(2)/25)*Calculateur!BL196*Calculateur!BN196*VLOOKUP('Données projet'!$B$11,Paramètres!$A$1:$I$89,3,0)*0.475*44/12</f>
        <v>1.6249984710437375</v>
      </c>
      <c r="BR196" s="23">
        <f>EXP(-LN(2)/2)*BR195+(1-EXP(-LN(2)/2))/(LN(2)/2)*BL196*BO196*VLOOKUP('Données projet'!$B$11,Paramètres!$A$1:$I$89,3,0)*0.475*44/12</f>
        <v>4.1941122318430536E-4</v>
      </c>
      <c r="BS196" s="24">
        <f t="shared" si="169"/>
        <v>45.580853055343127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395.00000000000017</v>
      </c>
      <c r="O197" s="14">
        <f>N197*VLOOKUP('Données projet'!$B$9,Paramètres!$A$1:$I$89,3,0)*VLOOKUP('Données projet'!$B$9,Paramètres!$A$1:$I$89,5,0)</f>
        <v>236.21000000000009</v>
      </c>
      <c r="P197" s="14">
        <f t="shared" ref="P197:P203" si="203">EXP(-1.0587+0.8836*LN(O197)+0.284)</f>
        <v>57.62333963053878</v>
      </c>
      <c r="Q197" s="22">
        <f t="shared" si="162"/>
        <v>511.75973318985524</v>
      </c>
      <c r="R197" s="62">
        <f t="shared" si="191"/>
        <v>805.09306652318855</v>
      </c>
      <c r="S197" s="62">
        <f ca="1">AVERAGE(OFFSET($R$3,0,0,'Données projet'!$E$9+1,1))-AVERAGE(OFFSET($H$3,0,0,'Données projet'!$E$9+1,1))</f>
        <v>217.62295992724461</v>
      </c>
      <c r="T197" s="62">
        <f t="shared" ref="T197:T203" si="204">$T$3</f>
        <v>198.62788037979772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2.719047428640684</v>
      </c>
      <c r="AA197" s="23">
        <f>EXP(-LN(2)/25)*AA196+(1-EXP(-LN(2)/25))/(LN(2)/25)*Calculateur!V197*Calculateur!X197*VLOOKUP('Données projet'!$B$9,Paramètres!$A$1:$I$89,3,0)*0.475*44/12</f>
        <v>0.160644277248535</v>
      </c>
      <c r="AB197" s="23">
        <f>EXP(-LN(2)/2)*AB196+(1-EXP(-LN(2)/2))/(LN(2)/2)*V197*Y197*VLOOKUP('Données projet'!$B$9,Paramètres!$A$1:$I$89,3,0)*0.475*44/12</f>
        <v>1.3486449462337499E-20</v>
      </c>
      <c r="AC197" s="24">
        <f t="shared" si="163"/>
        <v>2.8796917058892189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1.5961632016114892E-13</v>
      </c>
      <c r="AK197" s="14">
        <f t="shared" si="164"/>
        <v>2.2708641912150958E-12</v>
      </c>
      <c r="AL197" s="22">
        <f t="shared" si="165"/>
        <v>4.2330868906469593E-12</v>
      </c>
      <c r="AM197" s="62">
        <f t="shared" si="193"/>
        <v>293.33333333333752</v>
      </c>
      <c r="AN197" s="62">
        <f ca="1">AVERAGE(OFFSET($AM$3,0,0,'Données projet'!$E$10+1,1))-AVERAGE(OFFSET($H$3,0,0,'Données projet'!$E$10+1,1))</f>
        <v>201.92726874818067</v>
      </c>
      <c r="AO197" s="62">
        <f t="shared" ref="AO197:AO203" si="205">$AO$3</f>
        <v>197.16147791248727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26.090975859471381</v>
      </c>
      <c r="AV197" s="23">
        <f>EXP(-LN(2)/25)*AV196+(1-EXP(-LN(2)/25))/(LN(2)/25)*Calculateur!AQ197*Calculateur!AS197*VLOOKUP('Données projet'!$B$10,Paramètres!$A$1:$I$89,3,0)*0.475*44/12</f>
        <v>5.2348169107247724</v>
      </c>
      <c r="AW197" s="23">
        <f>EXP(-LN(2)/2)*AW196+(1-EXP(-LN(2)/2))/(LN(2)/2)*AQ197*AT197*VLOOKUP('Données projet'!$B$10,Paramètres!$A$1:$I$89,3,0)*0.475*44/12</f>
        <v>6.1709617261168206E-13</v>
      </c>
      <c r="AX197" s="23">
        <f t="shared" si="166"/>
        <v>31.32579277019677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287</v>
      </c>
      <c r="BE197" s="14">
        <f>BD197*VLOOKUP('Données projet'!$B$11,Paramètres!$A$1:$I$89,3,0)*VLOOKUP('Données projet'!$B$11,Paramètres!$A$1:$I$89,5,0)</f>
        <v>291.01800000000003</v>
      </c>
      <c r="BF197" s="14">
        <f t="shared" si="167"/>
        <v>69.290173032120919</v>
      </c>
      <c r="BG197" s="22">
        <f t="shared" si="168"/>
        <v>627.53673469761077</v>
      </c>
      <c r="BH197" s="62">
        <f t="shared" si="194"/>
        <v>920.87006803094414</v>
      </c>
      <c r="BI197" s="62">
        <f ca="1">AVERAGE(OFFSET($BH$3,0,0,'Données projet'!$E$11+1,1))-AVERAGE(OFFSET($H$3,0,0,'Données projet'!$E$11+1,1))</f>
        <v>234.66244049825644</v>
      </c>
      <c r="BJ197" s="62">
        <f t="shared" ref="BJ197:BJ203" si="206">$BJ$3</f>
        <v>87.037318032671465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43.093495899500354</v>
      </c>
      <c r="BQ197" s="23">
        <f>EXP(-LN(2)/25)*BQ196+(1-EXP(-LN(2)/25))/(LN(2)/25)*Calculateur!BL197*Calculateur!BN197*VLOOKUP('Données projet'!$B$11,Paramètres!$A$1:$I$89,3,0)*0.475*44/12</f>
        <v>1.5805628023980909</v>
      </c>
      <c r="BR197" s="23">
        <f>EXP(-LN(2)/2)*BR196+(1-EXP(-LN(2)/2))/(LN(2)/2)*BL197*BO197*VLOOKUP('Données projet'!$B$11,Paramètres!$A$1:$I$89,3,0)*0.475*44/12</f>
        <v>2.9656852001936685E-4</v>
      </c>
      <c r="BS197" s="24">
        <f t="shared" si="169"/>
        <v>44.674355270418467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395.00000000000017</v>
      </c>
      <c r="O198" s="14">
        <f>N198*VLOOKUP('Données projet'!$B$9,Paramètres!$A$1:$I$89,3,0)*VLOOKUP('Données projet'!$B$9,Paramètres!$A$1:$I$89,5,0)</f>
        <v>236.21000000000009</v>
      </c>
      <c r="P198" s="14">
        <f t="shared" si="203"/>
        <v>57.62333963053878</v>
      </c>
      <c r="Q198" s="22">
        <f t="shared" si="162"/>
        <v>511.75973318985524</v>
      </c>
      <c r="R198" s="62">
        <f t="shared" si="191"/>
        <v>805.09306652318855</v>
      </c>
      <c r="S198" s="62">
        <f ca="1">AVERAGE(OFFSET($R$3,0,0,'Données projet'!$E$9+1,1))-AVERAGE(OFFSET($H$3,0,0,'Données projet'!$E$9+1,1))</f>
        <v>217.62295992724461</v>
      </c>
      <c r="T198" s="62">
        <f t="shared" si="204"/>
        <v>198.62788037979772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2.6657285670202127</v>
      </c>
      <c r="AA198" s="23">
        <f>EXP(-LN(2)/25)*AA197+(1-EXP(-LN(2)/25))/(LN(2)/25)*Calculateur!V198*Calculateur!X198*VLOOKUP('Données projet'!$B$9,Paramètres!$A$1:$I$89,3,0)*0.475*44/12</f>
        <v>0.15625145103925842</v>
      </c>
      <c r="AB198" s="23">
        <f>EXP(-LN(2)/2)*AB197+(1-EXP(-LN(2)/2))/(LN(2)/2)*V198*Y198*VLOOKUP('Données projet'!$B$9,Paramètres!$A$1:$I$89,3,0)*0.475*44/12</f>
        <v>9.5363598689485138E-21</v>
      </c>
      <c r="AC198" s="24">
        <f t="shared" si="163"/>
        <v>2.8219800180594712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1.5961632016114892E-13</v>
      </c>
      <c r="AK198" s="14">
        <f t="shared" si="164"/>
        <v>2.2708641912150958E-12</v>
      </c>
      <c r="AL198" s="22">
        <f t="shared" si="165"/>
        <v>4.2330868906469593E-12</v>
      </c>
      <c r="AM198" s="62">
        <f t="shared" si="193"/>
        <v>293.33333333333752</v>
      </c>
      <c r="AN198" s="62">
        <f ca="1">AVERAGE(OFFSET($AM$3,0,0,'Données projet'!$E$10+1,1))-AVERAGE(OFFSET($H$3,0,0,'Données projet'!$E$10+1,1))</f>
        <v>201.92726874818067</v>
      </c>
      <c r="AO198" s="62">
        <f t="shared" si="205"/>
        <v>197.16147791248727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25.579347736791053</v>
      </c>
      <c r="AV198" s="23">
        <f>EXP(-LN(2)/25)*AV197+(1-EXP(-LN(2)/25))/(LN(2)/25)*Calculateur!AQ198*Calculateur!AS198*VLOOKUP('Données projet'!$B$10,Paramètres!$A$1:$I$89,3,0)*0.475*44/12</f>
        <v>5.0916705670139466</v>
      </c>
      <c r="AW198" s="23">
        <f>EXP(-LN(2)/2)*AW197+(1-EXP(-LN(2)/2))/(LN(2)/2)*AQ198*AT198*VLOOKUP('Données projet'!$B$10,Paramètres!$A$1:$I$89,3,0)*0.475*44/12</f>
        <v>4.3635288829798464E-13</v>
      </c>
      <c r="AX198" s="23">
        <f t="shared" si="166"/>
        <v>30.671018303805436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287</v>
      </c>
      <c r="BE198" s="14">
        <f>BD198*VLOOKUP('Données projet'!$B$11,Paramètres!$A$1:$I$89,3,0)*VLOOKUP('Données projet'!$B$11,Paramètres!$A$1:$I$89,5,0)</f>
        <v>291.01800000000003</v>
      </c>
      <c r="BF198" s="14">
        <f t="shared" si="167"/>
        <v>69.290173032120919</v>
      </c>
      <c r="BG198" s="22">
        <f t="shared" si="168"/>
        <v>627.53673469761077</v>
      </c>
      <c r="BH198" s="62">
        <f t="shared" si="194"/>
        <v>920.87006803094414</v>
      </c>
      <c r="BI198" s="62">
        <f ca="1">AVERAGE(OFFSET($BH$3,0,0,'Données projet'!$E$11+1,1))-AVERAGE(OFFSET($H$3,0,0,'Données projet'!$E$11+1,1))</f>
        <v>234.66244049825644</v>
      </c>
      <c r="BJ198" s="62">
        <f t="shared" si="206"/>
        <v>87.037318032671465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42.248458729348279</v>
      </c>
      <c r="BQ198" s="23">
        <f>EXP(-LN(2)/25)*BQ197+(1-EXP(-LN(2)/25))/(LN(2)/25)*Calculateur!BL198*Calculateur!BN198*VLOOKUP('Données projet'!$B$11,Paramètres!$A$1:$I$89,3,0)*0.475*44/12</f>
        <v>1.5373422294483297</v>
      </c>
      <c r="BR198" s="23">
        <f>EXP(-LN(2)/2)*BR197+(1-EXP(-LN(2)/2))/(LN(2)/2)*BL198*BO198*VLOOKUP('Données projet'!$B$11,Paramètres!$A$1:$I$89,3,0)*0.475*44/12</f>
        <v>2.0970561159215268E-4</v>
      </c>
      <c r="BS198" s="24">
        <f t="shared" si="169"/>
        <v>43.786010664408195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395.00000000000017</v>
      </c>
      <c r="O199" s="14">
        <f>N199*VLOOKUP('Données projet'!$B$9,Paramètres!$A$1:$I$89,3,0)*VLOOKUP('Données projet'!$B$9,Paramètres!$A$1:$I$89,5,0)</f>
        <v>236.21000000000009</v>
      </c>
      <c r="P199" s="14">
        <f t="shared" si="203"/>
        <v>57.62333963053878</v>
      </c>
      <c r="Q199" s="22">
        <f t="shared" si="162"/>
        <v>511.75973318985524</v>
      </c>
      <c r="R199" s="62">
        <f t="shared" si="191"/>
        <v>805.09306652318855</v>
      </c>
      <c r="S199" s="62">
        <f ca="1">AVERAGE(OFFSET($R$3,0,0,'Données projet'!$E$9+1,1))-AVERAGE(OFFSET($H$3,0,0,'Données projet'!$E$9+1,1))</f>
        <v>217.62295992724461</v>
      </c>
      <c r="T199" s="62">
        <f t="shared" si="204"/>
        <v>198.62788037979772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2.6134552557548245</v>
      </c>
      <c r="AA199" s="23">
        <f>EXP(-LN(2)/25)*AA198+(1-EXP(-LN(2)/25))/(LN(2)/25)*Calculateur!V199*Calculateur!X199*VLOOKUP('Données projet'!$B$9,Paramètres!$A$1:$I$89,3,0)*0.475*44/12</f>
        <v>0.15197874689368321</v>
      </c>
      <c r="AB199" s="23">
        <f>EXP(-LN(2)/2)*AB198+(1-EXP(-LN(2)/2))/(LN(2)/2)*V199*Y199*VLOOKUP('Données projet'!$B$9,Paramètres!$A$1:$I$89,3,0)*0.475*44/12</f>
        <v>6.7432247311687502E-21</v>
      </c>
      <c r="AC199" s="24">
        <f t="shared" si="163"/>
        <v>2.7654340026485076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1.5961632016114892E-13</v>
      </c>
      <c r="AK199" s="14">
        <f t="shared" si="164"/>
        <v>2.2708641912150958E-12</v>
      </c>
      <c r="AL199" s="22">
        <f t="shared" si="165"/>
        <v>4.2330868906469593E-12</v>
      </c>
      <c r="AM199" s="62">
        <f t="shared" si="193"/>
        <v>293.33333333333752</v>
      </c>
      <c r="AN199" s="62">
        <f ca="1">AVERAGE(OFFSET($AM$3,0,0,'Données projet'!$E$10+1,1))-AVERAGE(OFFSET($H$3,0,0,'Données projet'!$E$10+1,1))</f>
        <v>201.92726874818067</v>
      </c>
      <c r="AO199" s="62">
        <f t="shared" si="205"/>
        <v>197.16147791248727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25.077752329534146</v>
      </c>
      <c r="AV199" s="23">
        <f>EXP(-LN(2)/25)*AV198+(1-EXP(-LN(2)/25))/(LN(2)/25)*Calculateur!AQ199*Calculateur!AS199*VLOOKUP('Données projet'!$B$10,Paramètres!$A$1:$I$89,3,0)*0.475*44/12</f>
        <v>4.9524385675996321</v>
      </c>
      <c r="AW199" s="23">
        <f>EXP(-LN(2)/2)*AW198+(1-EXP(-LN(2)/2))/(LN(2)/2)*AQ199*AT199*VLOOKUP('Données projet'!$B$10,Paramètres!$A$1:$I$89,3,0)*0.475*44/12</f>
        <v>3.0854808630584103E-13</v>
      </c>
      <c r="AX199" s="23">
        <f t="shared" si="166"/>
        <v>30.030190897134087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287</v>
      </c>
      <c r="BE199" s="14">
        <f>BD199*VLOOKUP('Données projet'!$B$11,Paramètres!$A$1:$I$89,3,0)*VLOOKUP('Données projet'!$B$11,Paramètres!$A$1:$I$89,5,0)</f>
        <v>291.01800000000003</v>
      </c>
      <c r="BF199" s="14">
        <f t="shared" si="167"/>
        <v>69.290173032120919</v>
      </c>
      <c r="BG199" s="22">
        <f t="shared" si="168"/>
        <v>627.53673469761077</v>
      </c>
      <c r="BH199" s="62">
        <f t="shared" si="194"/>
        <v>920.87006803094414</v>
      </c>
      <c r="BI199" s="62">
        <f ca="1">AVERAGE(OFFSET($BH$3,0,0,'Données projet'!$E$11+1,1))-AVERAGE(OFFSET($H$3,0,0,'Données projet'!$E$11+1,1))</f>
        <v>234.66244049825644</v>
      </c>
      <c r="BJ199" s="62">
        <f t="shared" si="206"/>
        <v>87.037318032671465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41.419992222681103</v>
      </c>
      <c r="BQ199" s="23">
        <f>EXP(-LN(2)/25)*BQ198+(1-EXP(-LN(2)/25))/(LN(2)/25)*Calculateur!BL199*Calculateur!BN199*VLOOKUP('Données projet'!$B$11,Paramètres!$A$1:$I$89,3,0)*0.475*44/12</f>
        <v>1.4953035253387508</v>
      </c>
      <c r="BR199" s="23">
        <f>EXP(-LN(2)/2)*BR198+(1-EXP(-LN(2)/2))/(LN(2)/2)*BL199*BO199*VLOOKUP('Données projet'!$B$11,Paramètres!$A$1:$I$89,3,0)*0.475*44/12</f>
        <v>1.4828426000968343E-4</v>
      </c>
      <c r="BS199" s="24">
        <f t="shared" si="169"/>
        <v>42.915444032279858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395.00000000000017</v>
      </c>
      <c r="O200" s="14">
        <f>N200*VLOOKUP('Données projet'!$B$9,Paramètres!$A$1:$I$89,3,0)*VLOOKUP('Données projet'!$B$9,Paramètres!$A$1:$I$89,5,0)</f>
        <v>236.21000000000009</v>
      </c>
      <c r="P200" s="14">
        <f t="shared" si="203"/>
        <v>57.62333963053878</v>
      </c>
      <c r="Q200" s="22">
        <f t="shared" si="162"/>
        <v>511.75973318985524</v>
      </c>
      <c r="R200" s="62">
        <f t="shared" si="191"/>
        <v>805.09306652318855</v>
      </c>
      <c r="S200" s="62">
        <f ca="1">AVERAGE(OFFSET($R$3,0,0,'Données projet'!$E$9+1,1))-AVERAGE(OFFSET($H$3,0,0,'Données projet'!$E$9+1,1))</f>
        <v>217.62295992724461</v>
      </c>
      <c r="T200" s="62">
        <f t="shared" si="204"/>
        <v>198.62788037979772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2.562206992239779</v>
      </c>
      <c r="AA200" s="23">
        <f>EXP(-LN(2)/25)*AA199+(1-EXP(-LN(2)/25))/(LN(2)/25)*Calculateur!V200*Calculateur!X200*VLOOKUP('Données projet'!$B$9,Paramètres!$A$1:$I$89,3,0)*0.475*44/12</f>
        <v>0.14782288006766051</v>
      </c>
      <c r="AB200" s="23">
        <f>EXP(-LN(2)/2)*AB199+(1-EXP(-LN(2)/2))/(LN(2)/2)*V200*Y200*VLOOKUP('Données projet'!$B$9,Paramètres!$A$1:$I$89,3,0)*0.475*44/12</f>
        <v>4.7681799344742577E-21</v>
      </c>
      <c r="AC200" s="24">
        <f t="shared" si="163"/>
        <v>2.7100298723074396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1.5961632016114892E-13</v>
      </c>
      <c r="AK200" s="14">
        <f t="shared" si="164"/>
        <v>2.2708641912150958E-12</v>
      </c>
      <c r="AL200" s="22">
        <f t="shared" si="165"/>
        <v>4.2330868906469593E-12</v>
      </c>
      <c r="AM200" s="62">
        <f t="shared" si="193"/>
        <v>293.33333333333752</v>
      </c>
      <c r="AN200" s="62">
        <f ca="1">AVERAGE(OFFSET($AM$3,0,0,'Données projet'!$E$10+1,1))-AVERAGE(OFFSET($H$3,0,0,'Données projet'!$E$10+1,1))</f>
        <v>201.92726874818067</v>
      </c>
      <c r="AO200" s="62">
        <f t="shared" si="205"/>
        <v>197.16147791248727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24.585992902270554</v>
      </c>
      <c r="AV200" s="23">
        <f>EXP(-LN(2)/25)*AV199+(1-EXP(-LN(2)/25))/(LN(2)/25)*Calculateur!AQ200*Calculateur!AS200*VLOOKUP('Données projet'!$B$10,Paramètres!$A$1:$I$89,3,0)*0.475*44/12</f>
        <v>4.8170138745311952</v>
      </c>
      <c r="AW200" s="23">
        <f>EXP(-LN(2)/2)*AW199+(1-EXP(-LN(2)/2))/(LN(2)/2)*AQ200*AT200*VLOOKUP('Données projet'!$B$10,Paramètres!$A$1:$I$89,3,0)*0.475*44/12</f>
        <v>2.1817644414899232E-13</v>
      </c>
      <c r="AX200" s="23">
        <f t="shared" si="166"/>
        <v>29.403006776801966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287</v>
      </c>
      <c r="BE200" s="14">
        <f>BD200*VLOOKUP('Données projet'!$B$11,Paramètres!$A$1:$I$89,3,0)*VLOOKUP('Données projet'!$B$11,Paramètres!$A$1:$I$89,5,0)</f>
        <v>291.01800000000003</v>
      </c>
      <c r="BF200" s="14">
        <f t="shared" si="167"/>
        <v>69.290173032120919</v>
      </c>
      <c r="BG200" s="22">
        <f t="shared" si="168"/>
        <v>627.53673469761077</v>
      </c>
      <c r="BH200" s="62">
        <f t="shared" si="194"/>
        <v>920.87006803094414</v>
      </c>
      <c r="BI200" s="62">
        <f ca="1">AVERAGE(OFFSET($BH$3,0,0,'Données projet'!$E$11+1,1))-AVERAGE(OFFSET($H$3,0,0,'Données projet'!$E$11+1,1))</f>
        <v>234.66244049825644</v>
      </c>
      <c r="BJ200" s="62">
        <f t="shared" si="206"/>
        <v>87.037318032671465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40.607771438895</v>
      </c>
      <c r="BQ200" s="23">
        <f>EXP(-LN(2)/25)*BQ199+(1-EXP(-LN(2)/25))/(LN(2)/25)*Calculateur!BL200*Calculateur!BN200*VLOOKUP('Données projet'!$B$11,Paramètres!$A$1:$I$89,3,0)*0.475*44/12</f>
        <v>1.4544143718037679</v>
      </c>
      <c r="BR200" s="23">
        <f>EXP(-LN(2)/2)*BR199+(1-EXP(-LN(2)/2))/(LN(2)/2)*BL200*BO200*VLOOKUP('Données projet'!$B$11,Paramètres!$A$1:$I$89,3,0)*0.475*44/12</f>
        <v>1.0485280579607634E-4</v>
      </c>
      <c r="BS200" s="24">
        <f t="shared" si="169"/>
        <v>42.062290663504562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395.00000000000017</v>
      </c>
      <c r="O201" s="14">
        <f>N201*VLOOKUP('Données projet'!$B$9,Paramètres!$A$1:$I$89,3,0)*VLOOKUP('Données projet'!$B$9,Paramètres!$A$1:$I$89,5,0)</f>
        <v>236.21000000000009</v>
      </c>
      <c r="P201" s="14">
        <f t="shared" si="203"/>
        <v>57.62333963053878</v>
      </c>
      <c r="Q201" s="22">
        <f t="shared" si="162"/>
        <v>511.75973318985524</v>
      </c>
      <c r="R201" s="62">
        <f t="shared" si="191"/>
        <v>805.09306652318855</v>
      </c>
      <c r="S201" s="62">
        <f ca="1">AVERAGE(OFFSET($R$3,0,0,'Données projet'!$E$9+1,1))-AVERAGE(OFFSET($H$3,0,0,'Données projet'!$E$9+1,1))</f>
        <v>217.62295992724461</v>
      </c>
      <c r="T201" s="62">
        <f t="shared" si="204"/>
        <v>198.62788037979772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2.5119636759139095</v>
      </c>
      <c r="AA201" s="23">
        <f>EXP(-LN(2)/25)*AA200+(1-EXP(-LN(2)/25))/(LN(2)/25)*Calculateur!V201*Calculateur!X201*VLOOKUP('Données projet'!$B$9,Paramètres!$A$1:$I$89,3,0)*0.475*44/12</f>
        <v>0.14378065563854292</v>
      </c>
      <c r="AB201" s="23">
        <f>EXP(-LN(2)/2)*AB200+(1-EXP(-LN(2)/2))/(LN(2)/2)*V201*Y201*VLOOKUP('Données projet'!$B$9,Paramètres!$A$1:$I$89,3,0)*0.475*44/12</f>
        <v>3.3716123655843755E-21</v>
      </c>
      <c r="AC201" s="24">
        <f t="shared" si="163"/>
        <v>2.6557443315524525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1.5961632016114892E-13</v>
      </c>
      <c r="AK201" s="14">
        <f t="shared" si="164"/>
        <v>2.2708641912150958E-12</v>
      </c>
      <c r="AL201" s="22">
        <f t="shared" si="165"/>
        <v>4.2330868906469593E-12</v>
      </c>
      <c r="AM201" s="62">
        <f t="shared" si="193"/>
        <v>293.33333333333752</v>
      </c>
      <c r="AN201" s="62">
        <f ca="1">AVERAGE(OFFSET($AM$3,0,0,'Données projet'!$E$10+1,1))-AVERAGE(OFFSET($H$3,0,0,'Données projet'!$E$10+1,1))</f>
        <v>201.92726874818067</v>
      </c>
      <c r="AO201" s="62">
        <f t="shared" si="205"/>
        <v>197.16147791248727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24.103876577431969</v>
      </c>
      <c r="AV201" s="23">
        <f>EXP(-LN(2)/25)*AV200+(1-EXP(-LN(2)/25))/(LN(2)/25)*Calculateur!AQ201*Calculateur!AS201*VLOOKUP('Données projet'!$B$10,Paramètres!$A$1:$I$89,3,0)*0.475*44/12</f>
        <v>4.6852923768163892</v>
      </c>
      <c r="AW201" s="23">
        <f>EXP(-LN(2)/2)*AW200+(1-EXP(-LN(2)/2))/(LN(2)/2)*AQ201*AT201*VLOOKUP('Données projet'!$B$10,Paramètres!$A$1:$I$89,3,0)*0.475*44/12</f>
        <v>1.5427404315292052E-13</v>
      </c>
      <c r="AX201" s="23">
        <f t="shared" si="166"/>
        <v>28.78916895424851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287</v>
      </c>
      <c r="BE201" s="14">
        <f>BD201*VLOOKUP('Données projet'!$B$11,Paramètres!$A$1:$I$89,3,0)*VLOOKUP('Données projet'!$B$11,Paramètres!$A$1:$I$89,5,0)</f>
        <v>291.01800000000003</v>
      </c>
      <c r="BF201" s="14">
        <f t="shared" si="167"/>
        <v>69.290173032120919</v>
      </c>
      <c r="BG201" s="22">
        <f t="shared" si="168"/>
        <v>627.53673469761077</v>
      </c>
      <c r="BH201" s="62">
        <f t="shared" si="194"/>
        <v>920.87006803094414</v>
      </c>
      <c r="BI201" s="62">
        <f ca="1">AVERAGE(OFFSET($BH$3,0,0,'Données projet'!$E$11+1,1))-AVERAGE(OFFSET($H$3,0,0,'Données projet'!$E$11+1,1))</f>
        <v>234.66244049825644</v>
      </c>
      <c r="BJ201" s="62">
        <f t="shared" si="206"/>
        <v>87.037318032671465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39.811477809273178</v>
      </c>
      <c r="BQ201" s="23">
        <f>EXP(-LN(2)/25)*BQ200+(1-EXP(-LN(2)/25))/(LN(2)/25)*Calculateur!BL201*Calculateur!BN201*VLOOKUP('Données projet'!$B$11,Paramètres!$A$1:$I$89,3,0)*0.475*44/12</f>
        <v>1.414643334322466</v>
      </c>
      <c r="BR201" s="23">
        <f>EXP(-LN(2)/2)*BR200+(1-EXP(-LN(2)/2))/(LN(2)/2)*BL201*BO201*VLOOKUP('Données projet'!$B$11,Paramètres!$A$1:$I$89,3,0)*0.475*44/12</f>
        <v>7.4142130004841713E-5</v>
      </c>
      <c r="BS201" s="24">
        <f t="shared" si="169"/>
        <v>41.226195285725645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395.00000000000017</v>
      </c>
      <c r="O202" s="14">
        <f>N202*VLOOKUP('Données projet'!$B$9,Paramètres!$A$1:$I$89,3,0)*VLOOKUP('Données projet'!$B$9,Paramètres!$A$1:$I$89,5,0)</f>
        <v>236.21000000000009</v>
      </c>
      <c r="P202" s="14">
        <f t="shared" si="203"/>
        <v>57.62333963053878</v>
      </c>
      <c r="Q202" s="22">
        <f t="shared" si="162"/>
        <v>511.75973318985524</v>
      </c>
      <c r="R202" s="62">
        <f t="shared" si="191"/>
        <v>805.09306652318855</v>
      </c>
      <c r="S202" s="62">
        <f ca="1">AVERAGE(OFFSET($R$3,0,0,'Données projet'!$E$9+1,1))-AVERAGE(OFFSET($H$3,0,0,'Données projet'!$E$9+1,1))</f>
        <v>217.62295992724461</v>
      </c>
      <c r="T202" s="62">
        <f t="shared" si="204"/>
        <v>198.62788037979772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2.4627056003757932</v>
      </c>
      <c r="AA202" s="23">
        <f>EXP(-LN(2)/25)*AA201+(1-EXP(-LN(2)/25))/(LN(2)/25)*Calculateur!V202*Calculateur!X202*VLOOKUP('Données projet'!$B$9,Paramètres!$A$1:$I$89,3,0)*0.475*44/12</f>
        <v>0.1398489660490109</v>
      </c>
      <c r="AB202" s="23">
        <f>EXP(-LN(2)/2)*AB201+(1-EXP(-LN(2)/2))/(LN(2)/2)*V202*Y202*VLOOKUP('Données projet'!$B$9,Paramètres!$A$1:$I$89,3,0)*0.475*44/12</f>
        <v>2.3840899672371292E-21</v>
      </c>
      <c r="AC202" s="24">
        <f t="shared" si="163"/>
        <v>2.602554566424804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1.5961632016114892E-13</v>
      </c>
      <c r="AK202" s="14">
        <f t="shared" si="164"/>
        <v>2.2708641912150958E-12</v>
      </c>
      <c r="AL202" s="22">
        <f t="shared" si="165"/>
        <v>4.2330868906469593E-12</v>
      </c>
      <c r="AM202" s="62">
        <f t="shared" si="193"/>
        <v>293.33333333333752</v>
      </c>
      <c r="AN202" s="62">
        <f ca="1">AVERAGE(OFFSET($AM$3,0,0,'Données projet'!$E$10+1,1))-AVERAGE(OFFSET($H$3,0,0,'Données projet'!$E$10+1,1))</f>
        <v>201.92726874818067</v>
      </c>
      <c r="AO202" s="62">
        <f t="shared" si="205"/>
        <v>197.16147791248727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23.631214259661547</v>
      </c>
      <c r="AV202" s="23">
        <f>EXP(-LN(2)/25)*AV201+(1-EXP(-LN(2)/25))/(LN(2)/25)*Calculateur!AQ202*Calculateur!AS202*VLOOKUP('Données projet'!$B$10,Paramètres!$A$1:$I$89,3,0)*0.475*44/12</f>
        <v>4.557172810383527</v>
      </c>
      <c r="AW202" s="23">
        <f>EXP(-LN(2)/2)*AW201+(1-EXP(-LN(2)/2))/(LN(2)/2)*AQ202*AT202*VLOOKUP('Données projet'!$B$10,Paramètres!$A$1:$I$89,3,0)*0.475*44/12</f>
        <v>1.0908822207449616E-13</v>
      </c>
      <c r="AX202" s="23">
        <f t="shared" si="166"/>
        <v>28.188387070045184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287</v>
      </c>
      <c r="BE202" s="14">
        <f>BD202*VLOOKUP('Données projet'!$B$11,Paramètres!$A$1:$I$89,3,0)*VLOOKUP('Données projet'!$B$11,Paramètres!$A$1:$I$89,5,0)</f>
        <v>291.01800000000003</v>
      </c>
      <c r="BF202" s="14">
        <f t="shared" si="167"/>
        <v>69.290173032120919</v>
      </c>
      <c r="BG202" s="22">
        <f t="shared" si="168"/>
        <v>627.53673469761077</v>
      </c>
      <c r="BH202" s="62">
        <f t="shared" si="194"/>
        <v>920.87006803094414</v>
      </c>
      <c r="BI202" s="62">
        <f ca="1">AVERAGE(OFFSET($BH$3,0,0,'Données projet'!$E$11+1,1))-AVERAGE(OFFSET($H$3,0,0,'Données projet'!$E$11+1,1))</f>
        <v>234.66244049825644</v>
      </c>
      <c r="BJ202" s="62">
        <f t="shared" si="206"/>
        <v>87.037318032671465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39.030799012037086</v>
      </c>
      <c r="BQ202" s="23">
        <f>EXP(-LN(2)/25)*BQ201+(1-EXP(-LN(2)/25))/(LN(2)/25)*Calculateur!BL202*Calculateur!BN202*VLOOKUP('Données projet'!$B$11,Paramètres!$A$1:$I$89,3,0)*0.475*44/12</f>
        <v>1.3759598379525584</v>
      </c>
      <c r="BR202" s="23">
        <f>EXP(-LN(2)/2)*BR201+(1-EXP(-LN(2)/2))/(LN(2)/2)*BL202*BO202*VLOOKUP('Données projet'!$B$11,Paramètres!$A$1:$I$89,3,0)*0.475*44/12</f>
        <v>5.242640289803817E-5</v>
      </c>
      <c r="BS202" s="24">
        <f t="shared" si="169"/>
        <v>40.406811276392538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395.00000000000017</v>
      </c>
      <c r="O203" s="14">
        <f>N203*VLOOKUP('Données projet'!$B$9,Paramètres!$A$1:$I$89,3,0)*VLOOKUP('Données projet'!$B$9,Paramètres!$A$1:$I$89,5,0)</f>
        <v>236.21000000000009</v>
      </c>
      <c r="P203" s="14">
        <f t="shared" si="203"/>
        <v>57.62333963053878</v>
      </c>
      <c r="Q203" s="22">
        <f t="shared" si="162"/>
        <v>511.75973318985524</v>
      </c>
      <c r="R203" s="62">
        <f t="shared" si="191"/>
        <v>805.09306652318855</v>
      </c>
      <c r="S203" s="62">
        <f ca="1">AVERAGE(OFFSET($R$3,0,0,'Données projet'!$E$9+1,1))-AVERAGE(OFFSET($H$3,0,0,'Données projet'!$E$9+1,1))</f>
        <v>217.62295992724461</v>
      </c>
      <c r="T203" s="62">
        <f t="shared" si="204"/>
        <v>198.62788037979772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2.4144134456545201</v>
      </c>
      <c r="AA203" s="23">
        <f>EXP(-LN(2)/25)*AA202+(1-EXP(-LN(2)/25))/(LN(2)/25)*Calculateur!V203*Calculateur!X203*VLOOKUP('Données projet'!$B$9,Paramètres!$A$1:$I$89,3,0)*0.475*44/12</f>
        <v>0.1360247887180632</v>
      </c>
      <c r="AB203" s="23">
        <f>EXP(-LN(2)/2)*AB202+(1-EXP(-LN(2)/2))/(LN(2)/2)*V203*Y203*VLOOKUP('Données projet'!$B$9,Paramètres!$A$1:$I$89,3,0)*0.475*44/12</f>
        <v>1.6858061827921881E-21</v>
      </c>
      <c r="AC203" s="24">
        <f t="shared" si="163"/>
        <v>2.5504382343725833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1.5961632016114892E-13</v>
      </c>
      <c r="AK203" s="14">
        <f t="shared" si="164"/>
        <v>2.2708641912150958E-12</v>
      </c>
      <c r="AL203" s="22">
        <f t="shared" si="165"/>
        <v>4.2330868906469593E-12</v>
      </c>
      <c r="AM203" s="62">
        <f t="shared" si="193"/>
        <v>293.33333333333752</v>
      </c>
      <c r="AN203" s="62">
        <f ca="1">AVERAGE(OFFSET($AM$3,0,0,'Données projet'!$E$10+1,1))-AVERAGE(OFFSET($H$3,0,0,'Données projet'!$E$10+1,1))</f>
        <v>201.92726874818067</v>
      </c>
      <c r="AO203" s="62">
        <f t="shared" si="205"/>
        <v>197.16147791248727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23.167820561647055</v>
      </c>
      <c r="AV203" s="23">
        <f>EXP(-LN(2)/25)*AV202+(1-EXP(-LN(2)/25))/(LN(2)/25)*Calculateur!AQ203*Calculateur!AS203*VLOOKUP('Données projet'!$B$10,Paramètres!$A$1:$I$89,3,0)*0.475*44/12</f>
        <v>4.4325566802322864</v>
      </c>
      <c r="AW203" s="23">
        <f>EXP(-LN(2)/2)*AW202+(1-EXP(-LN(2)/2))/(LN(2)/2)*AQ203*AT203*VLOOKUP('Données projet'!$B$10,Paramètres!$A$1:$I$89,3,0)*0.475*44/12</f>
        <v>7.7137021576460258E-14</v>
      </c>
      <c r="AX203" s="23">
        <f t="shared" si="166"/>
        <v>27.600377241879421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287</v>
      </c>
      <c r="BE203" s="14">
        <f>BD203*VLOOKUP('Données projet'!$B$11,Paramètres!$A$1:$I$89,3,0)*VLOOKUP('Données projet'!$B$11,Paramètres!$A$1:$I$89,5,0)</f>
        <v>291.01800000000003</v>
      </c>
      <c r="BF203" s="14">
        <f t="shared" si="167"/>
        <v>69.290173032120919</v>
      </c>
      <c r="BG203" s="22">
        <f t="shared" si="168"/>
        <v>627.53673469761077</v>
      </c>
      <c r="BH203" s="62">
        <f t="shared" si="194"/>
        <v>920.87006803094414</v>
      </c>
      <c r="BI203" s="62">
        <f ca="1">AVERAGE(OFFSET($BH$3,0,0,'Données projet'!$E$11+1,1))-AVERAGE(OFFSET($H$3,0,0,'Données projet'!$E$11+1,1))</f>
        <v>234.66244049825644</v>
      </c>
      <c r="BJ203" s="62">
        <f t="shared" si="206"/>
        <v>87.037318032671465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38.265428849847744</v>
      </c>
      <c r="BQ203" s="23">
        <f>EXP(-LN(2)/25)*BQ202+(1-EXP(-LN(2)/25))/(LN(2)/25)*Calculateur!BL203*Calculateur!BN203*VLOOKUP('Données projet'!$B$11,Paramètres!$A$1:$I$89,3,0)*0.475*44/12</f>
        <v>1.3383341438251626</v>
      </c>
      <c r="BR203" s="23">
        <f>EXP(-LN(2)/2)*BR202+(1-EXP(-LN(2)/2))/(LN(2)/2)*BL203*BO203*VLOOKUP('Données projet'!$B$11,Paramètres!$A$1:$I$89,3,0)*0.475*44/12</f>
        <v>3.7071065002420857E-5</v>
      </c>
      <c r="BS203" s="24">
        <f t="shared" si="169"/>
        <v>39.603800064737911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1.3758248603770518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1.2370441695353693</v>
      </c>
      <c r="BA205" s="88">
        <f>EXP(LN('Données projet'!B88)/'Données projet'!A88)</f>
        <v>1.0921764532704423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80" zoomScaleNormal="80" workbookViewId="0">
      <selection activeCell="E11" sqref="E1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9.8642000000000003</v>
      </c>
      <c r="C6" s="156">
        <f ca="1">IF(OR('Données projet'!B9="",'Données projet'!C9="",'Données projet'!C9=0%),0,Calculateur!S3)</f>
        <v>217.62295992724461</v>
      </c>
      <c r="D6" s="156">
        <f>IF(OR('Données projet'!B9="",'Données projet'!C9="",'Données projet'!C9=0%),0,Calculateur!T3)</f>
        <v>198.62788037979772</v>
      </c>
      <c r="E6" s="156">
        <f ca="1">MIN(C6,D6)</f>
        <v>198.62788037979772</v>
      </c>
      <c r="F6" s="156">
        <f ca="1">E6*B6</f>
        <v>1959.3051376424007</v>
      </c>
      <c r="G6" s="156">
        <f ca="1">F6*(100%-'Données projet'!$C$24)*(100%-'Données projet'!$C$25)*(100%-'Données projet'!$C$26)*(100%-'Données projet'!$C$27)</f>
        <v>1675.2058926842526</v>
      </c>
      <c r="H6" s="157">
        <f>IF(OR('Données projet'!B9="",'Données projet'!C9="",'Données projet'!C9=0%),0,AVERAGE(Calculateur!$AC$3:$AC$33)*B6)</f>
        <v>108.353064263829</v>
      </c>
      <c r="I6" s="158">
        <f>H6*(100%-'Données projet'!$C$24)*(100%-'Données projet'!$C$25)*(100%-'Données projet'!$C$26)*(100%-'Données projet'!$C$27)</f>
        <v>92.641869945573788</v>
      </c>
      <c r="J6" s="159">
        <f>IF(OR('Données projet'!B9="",'Données projet'!C9="",'Données projet'!C9=0%),0,SUM(Calculateur!$V$3:$V$33)*VLOOKUP('Données projet'!$B$9,Paramètres!$A$1:$I$89,9,0)*B6)</f>
        <v>832.24255399999993</v>
      </c>
      <c r="K6" s="160">
        <f>J6*(100%-'Données projet'!$C$24)*(100%-'Données projet'!$C$25)*(100%-'Données projet'!$C$26)*(100%-'Données projet'!$C$27)</f>
        <v>711.56738366999991</v>
      </c>
      <c r="L6" s="161">
        <f ca="1">G6+I6+K6</f>
        <v>2479.4151462998261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2.9325999999999999</v>
      </c>
      <c r="C7" s="156">
        <f ca="1">IF(OR('Données projet'!B10="",'Données projet'!C10="",'Données projet'!C10=0%),0,Calculateur!AN3)</f>
        <v>201.92726874818067</v>
      </c>
      <c r="D7" s="156">
        <f>IF(OR('Données projet'!B10="",'Données projet'!C10="",'Données projet'!C10=0%),0,Calculateur!AO3)</f>
        <v>197.16147791248727</v>
      </c>
      <c r="E7" s="156">
        <f t="shared" ref="E7:E15" ca="1" si="0">MIN(C7,D7)</f>
        <v>197.16147791248727</v>
      </c>
      <c r="F7" s="156">
        <f t="shared" ref="F7:F15" ca="1" si="1">E7*B7</f>
        <v>578.19575012616019</v>
      </c>
      <c r="G7" s="156">
        <f ca="1">F7*(100%-'Données projet'!$C$24)*(100%-'Données projet'!$C$25)*(100%-'Données projet'!$C$26)*(100%-'Données projet'!$C$27)</f>
        <v>494.35736635786691</v>
      </c>
      <c r="H7" s="164">
        <f>IF(OR('Données projet'!B10="",'Données projet'!C10="",'Données projet'!C10=0%),0,AVERAGE(Calculateur!$AX$3:$AX$33)*B7)</f>
        <v>3.304389505929568</v>
      </c>
      <c r="I7" s="158">
        <f>H7*(100%-'Données projet'!$C$24)*(100%-'Données projet'!$C$25)*(100%-'Données projet'!$C$26)*(100%-'Données projet'!$C$27)</f>
        <v>2.8252530275697807</v>
      </c>
      <c r="J7" s="159">
        <f>IF(OR('Données projet'!B10="",'Données projet'!C10="",'Données projet'!C10=0%),0,SUM(Calculateur!$AQ$3:$AQ$33)*VLOOKUP('Données projet'!$B$10,Paramètres!$A$1:$I$89,9,0)*B7)</f>
        <v>25.724767199999995</v>
      </c>
      <c r="K7" s="160">
        <f>J7*(100%-'Données projet'!$C$24)*(100%-'Données projet'!$C$25)*(100%-'Données projet'!$C$26)*(100%-'Données projet'!$C$27)</f>
        <v>21.994675955999998</v>
      </c>
      <c r="L7" s="161">
        <f t="shared" ref="L7:L15" ca="1" si="2">G7+I7+K7</f>
        <v>519.17729534143666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pubescent</v>
      </c>
      <c r="B8" s="163">
        <f>'Données projet'!D11</f>
        <v>0.53320000000000001</v>
      </c>
      <c r="C8" s="156">
        <f ca="1">IF(OR('Données projet'!B11="",'Données projet'!C11="",'Données projet'!C11=0%),0,Calculateur!BI3)</f>
        <v>234.66244049825644</v>
      </c>
      <c r="D8" s="156">
        <f>IF(OR('Données projet'!B11="",'Données projet'!C11="",'Données projet'!C11=0%),0,Calculateur!BJ3)</f>
        <v>87.037318032671465</v>
      </c>
      <c r="E8" s="156">
        <f t="shared" ca="1" si="0"/>
        <v>87.037318032671465</v>
      </c>
      <c r="F8" s="156">
        <f t="shared" ca="1" si="1"/>
        <v>46.408297975020425</v>
      </c>
      <c r="G8" s="156">
        <f ca="1">F8*(100%-'Données projet'!$C$24)*(100%-'Données projet'!$C$25)*(100%-'Données projet'!$C$26)*(100%-'Données projet'!$C$27)</f>
        <v>39.679094768642457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39.679094768642457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2583.9091857435815</v>
      </c>
      <c r="G16" s="175">
        <f t="shared" ca="1" si="3"/>
        <v>2209.2423538107619</v>
      </c>
      <c r="H16" s="176">
        <f t="shared" si="3"/>
        <v>111.65745376975856</v>
      </c>
      <c r="I16" s="176">
        <f t="shared" si="3"/>
        <v>95.467122973143574</v>
      </c>
      <c r="J16" s="177">
        <f t="shared" si="3"/>
        <v>857.9673211999999</v>
      </c>
      <c r="K16" s="177">
        <f t="shared" si="3"/>
        <v>733.56205962599995</v>
      </c>
      <c r="L16" s="178">
        <f t="shared" ca="1" si="3"/>
        <v>3038.2715364099049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L11" sqref="L1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1225.1031454082963</v>
      </c>
      <c r="U10" s="190">
        <f>'Données projet'!D9</f>
        <v>9.8642000000000003</v>
      </c>
      <c r="V10" s="189">
        <f>U10*T10</f>
        <v>12084.662446936516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1451.5741889688209</v>
      </c>
      <c r="U11" s="190">
        <f>'Données projet'!D10</f>
        <v>2.9325999999999999</v>
      </c>
      <c r="V11" s="189">
        <f t="shared" ref="V11" si="0">U11*T11</f>
        <v>4256.8864665699639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112.91857197875073</v>
      </c>
      <c r="U12" s="190">
        <f>'Données projet'!D11</f>
        <v>0.53320000000000001</v>
      </c>
      <c r="V12" s="189">
        <f t="shared" ref="V12:V19" si="1">U12*T12</f>
        <v>60.208182579069891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39.999999999999986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f>20*1.1</f>
        <v>22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879.99999999999966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4000*1.1</f>
        <v>4400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500*1.1</f>
        <v>550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4</v>
      </c>
      <c r="I22" s="204">
        <f>500*1.1</f>
        <v>550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0</v>
      </c>
      <c r="C23" s="206">
        <f>7.6*1.1</f>
        <v>8.36</v>
      </c>
      <c r="D23" s="194">
        <f>B23*C23</f>
        <v>0</v>
      </c>
      <c r="E23" s="206">
        <f>75+(D23*12%)</f>
        <v>75</v>
      </c>
      <c r="F23" s="261"/>
      <c r="H23" s="203">
        <v>5</v>
      </c>
      <c r="I23" s="204">
        <f>500*1.1</f>
        <v>550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-58469.315168858418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16</v>
      </c>
      <c r="B24" s="193">
        <f>'Données projet'!D37</f>
        <v>25</v>
      </c>
      <c r="C24" s="206">
        <f>13.2*1.1</f>
        <v>14.52</v>
      </c>
      <c r="D24" s="194">
        <f t="shared" ref="D24:D42" si="2">B24*C24</f>
        <v>363</v>
      </c>
      <c r="E24" s="206">
        <f t="shared" ref="E24:E27" si="3">75+(D24*12%)</f>
        <v>118.56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2016.7924352357545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20</v>
      </c>
      <c r="B25" s="193">
        <f>'Données projet'!D38</f>
        <v>34</v>
      </c>
      <c r="C25" s="206">
        <f>18.8*1.1</f>
        <v>20.680000000000003</v>
      </c>
      <c r="D25" s="194">
        <f t="shared" si="2"/>
        <v>703.12000000000012</v>
      </c>
      <c r="E25" s="206">
        <f t="shared" si="3"/>
        <v>159.37440000000001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-60486.10760409417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24</v>
      </c>
      <c r="B26" s="193">
        <f>'Données projet'!D39</f>
        <v>43</v>
      </c>
      <c r="C26" s="206">
        <f>37.28*1.1</f>
        <v>41.008000000000003</v>
      </c>
      <c r="D26" s="194">
        <f t="shared" si="2"/>
        <v>1763.3440000000001</v>
      </c>
      <c r="E26" s="206">
        <f t="shared" si="3"/>
        <v>286.60127999999997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28</v>
      </c>
      <c r="B27" s="193">
        <f>'Données projet'!D40</f>
        <v>41</v>
      </c>
      <c r="C27" s="206">
        <f>37.28*1.1</f>
        <v>41.008000000000003</v>
      </c>
      <c r="D27" s="194">
        <f t="shared" si="2"/>
        <v>1681.3280000000002</v>
      </c>
      <c r="E27" s="206">
        <f t="shared" si="3"/>
        <v>276.75936000000002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34</v>
      </c>
      <c r="B28" s="193">
        <f>'Données projet'!D41</f>
        <v>60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40</v>
      </c>
      <c r="B29" s="193">
        <f>'Données projet'!D42</f>
        <v>34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46</v>
      </c>
      <c r="B30" s="193">
        <f>'Données projet'!D43</f>
        <v>21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54</v>
      </c>
      <c r="B31" s="193">
        <f>'Données projet'!D44</f>
        <v>17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62</v>
      </c>
      <c r="B32" s="193">
        <f>'Données projet'!D45</f>
        <v>7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20.399999999999999</v>
      </c>
      <c r="C54" s="204">
        <f>7.6*1.1</f>
        <v>8.36</v>
      </c>
      <c r="D54" s="191">
        <f>B54*C54</f>
        <v>170.54399999999998</v>
      </c>
      <c r="E54" s="206">
        <f>75+(D54*12%)</f>
        <v>95.465279999999993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33</v>
      </c>
      <c r="B55" s="193">
        <f>'Données projet'!D63</f>
        <v>38.94</v>
      </c>
      <c r="C55" s="204">
        <f t="shared" ref="C55" si="5">7.6*1.1</f>
        <v>8.36</v>
      </c>
      <c r="D55" s="191">
        <f t="shared" ref="D55:D73" si="6">B55*C55</f>
        <v>325.53839999999997</v>
      </c>
      <c r="E55" s="206">
        <f t="shared" ref="E55:E62" si="7">75+(D55*12%)</f>
        <v>114.06460799999999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41</v>
      </c>
      <c r="B56" s="193">
        <f>'Données projet'!D64</f>
        <v>60.43</v>
      </c>
      <c r="C56" s="204">
        <f>12.82*1.1</f>
        <v>14.102000000000002</v>
      </c>
      <c r="D56" s="191">
        <f t="shared" si="6"/>
        <v>852.1838600000001</v>
      </c>
      <c r="E56" s="206">
        <f t="shared" si="7"/>
        <v>177.2620632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52</v>
      </c>
      <c r="B57" s="193">
        <f>'Données projet'!D65</f>
        <v>74.45</v>
      </c>
      <c r="C57" s="204">
        <f>16.56*1.1</f>
        <v>18.216000000000001</v>
      </c>
      <c r="D57" s="191">
        <f t="shared" si="6"/>
        <v>1356.1812000000002</v>
      </c>
      <c r="E57" s="206">
        <f t="shared" si="7"/>
        <v>237.74174400000001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60</v>
      </c>
      <c r="B58" s="193">
        <f>'Données projet'!D66</f>
        <v>405.78</v>
      </c>
      <c r="C58" s="204">
        <f>24.56*1.1</f>
        <v>27.016000000000002</v>
      </c>
      <c r="D58" s="191">
        <f t="shared" si="6"/>
        <v>10962.55248</v>
      </c>
      <c r="E58" s="206">
        <f t="shared" si="7"/>
        <v>1390.5062975999999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70</v>
      </c>
      <c r="B59" s="193">
        <f>'Données projet'!D67</f>
        <v>131.71</v>
      </c>
      <c r="C59" s="204">
        <f>24.56*1.1</f>
        <v>27.016000000000002</v>
      </c>
      <c r="D59" s="191">
        <f t="shared" si="6"/>
        <v>3558.2773600000005</v>
      </c>
      <c r="E59" s="206">
        <f t="shared" si="7"/>
        <v>501.99328320000006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80</v>
      </c>
      <c r="B60" s="193">
        <f>'Données projet'!D68</f>
        <v>143.19999999999999</v>
      </c>
      <c r="C60" s="204">
        <f>28.8*1.1</f>
        <v>31.680000000000003</v>
      </c>
      <c r="D60" s="191">
        <f t="shared" si="6"/>
        <v>4536.576</v>
      </c>
      <c r="E60" s="206">
        <f t="shared" si="7"/>
        <v>619.38911999999993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90</v>
      </c>
      <c r="B61" s="193">
        <f>'Données projet'!D69</f>
        <v>152.74</v>
      </c>
      <c r="C61" s="204">
        <f t="shared" ref="C61:C62" si="8">28.8*1.1</f>
        <v>31.680000000000003</v>
      </c>
      <c r="D61" s="191">
        <f t="shared" si="6"/>
        <v>4838.8032000000012</v>
      </c>
      <c r="E61" s="206">
        <f t="shared" si="7"/>
        <v>655.65638400000012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100</v>
      </c>
      <c r="B62" s="193">
        <f>'Données projet'!D70</f>
        <v>541.39</v>
      </c>
      <c r="C62" s="204">
        <f t="shared" si="8"/>
        <v>31.680000000000003</v>
      </c>
      <c r="D62" s="191">
        <f t="shared" si="6"/>
        <v>17151.235200000003</v>
      </c>
      <c r="E62" s="206">
        <f t="shared" si="7"/>
        <v>2133.1482240000005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6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6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6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9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6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9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6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9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6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9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6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9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6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9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6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9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6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9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6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9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9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9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9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9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9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9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9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9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9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9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9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52</v>
      </c>
      <c r="B85" s="193">
        <f>'Données projet'!D88</f>
        <v>29</v>
      </c>
      <c r="C85" s="204">
        <f>7.6*1.1</f>
        <v>8.36</v>
      </c>
      <c r="D85" s="191">
        <f>B85*C85</f>
        <v>242.44</v>
      </c>
      <c r="E85" s="206">
        <f>75+(D54*12%)</f>
        <v>95.465279999999993</v>
      </c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9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60</v>
      </c>
      <c r="B86" s="193">
        <f>'Données projet'!D89</f>
        <v>30</v>
      </c>
      <c r="C86" s="204">
        <f>13*1.1</f>
        <v>14.3</v>
      </c>
      <c r="D86" s="191">
        <f t="shared" ref="D86:D104" si="10">B86*C86</f>
        <v>429</v>
      </c>
      <c r="E86" s="206">
        <f t="shared" ref="E86:E97" si="11">75+(D55*12%)</f>
        <v>114.06460799999999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9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68</v>
      </c>
      <c r="B87" s="193">
        <f>'Données projet'!D90</f>
        <v>31</v>
      </c>
      <c r="C87" s="204">
        <f>13*1.1</f>
        <v>14.3</v>
      </c>
      <c r="D87" s="191">
        <f t="shared" si="10"/>
        <v>443.3</v>
      </c>
      <c r="E87" s="206">
        <f t="shared" si="11"/>
        <v>177.2620632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9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78</v>
      </c>
      <c r="B88" s="193">
        <f>'Données projet'!D91</f>
        <v>32</v>
      </c>
      <c r="C88" s="204">
        <f>25*1.1</f>
        <v>27.500000000000004</v>
      </c>
      <c r="D88" s="191">
        <f t="shared" si="10"/>
        <v>880.00000000000011</v>
      </c>
      <c r="E88" s="206">
        <f t="shared" si="11"/>
        <v>237.74174400000001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9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88</v>
      </c>
      <c r="B89" s="193">
        <f>'Données projet'!D92</f>
        <v>35</v>
      </c>
      <c r="C89" s="204">
        <f>25*1.1</f>
        <v>27.500000000000004</v>
      </c>
      <c r="D89" s="191">
        <f t="shared" si="10"/>
        <v>962.50000000000011</v>
      </c>
      <c r="E89" s="206">
        <f t="shared" si="11"/>
        <v>1390.5062975999999</v>
      </c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9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98</v>
      </c>
      <c r="B90" s="193">
        <f>'Données projet'!D93</f>
        <v>34</v>
      </c>
      <c r="C90" s="204">
        <f>40*1.1</f>
        <v>44</v>
      </c>
      <c r="D90" s="191">
        <f t="shared" si="10"/>
        <v>1496</v>
      </c>
      <c r="E90" s="206">
        <f t="shared" si="11"/>
        <v>501.99328320000006</v>
      </c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9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108</v>
      </c>
      <c r="B91" s="193">
        <f>'Données projet'!D94</f>
        <v>39</v>
      </c>
      <c r="C91" s="204">
        <f>45*1.1</f>
        <v>49.500000000000007</v>
      </c>
      <c r="D91" s="191">
        <f t="shared" si="10"/>
        <v>1930.5000000000002</v>
      </c>
      <c r="E91" s="206">
        <f t="shared" si="11"/>
        <v>619.38911999999993</v>
      </c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9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118</v>
      </c>
      <c r="B92" s="193">
        <f>'Données projet'!D95</f>
        <v>40</v>
      </c>
      <c r="C92" s="204">
        <f>45*1.1</f>
        <v>49.500000000000007</v>
      </c>
      <c r="D92" s="191">
        <f t="shared" si="10"/>
        <v>1980.0000000000002</v>
      </c>
      <c r="E92" s="206">
        <f t="shared" si="11"/>
        <v>655.65638400000012</v>
      </c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9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128</v>
      </c>
      <c r="B93" s="193">
        <f>'Données projet'!D96</f>
        <v>39</v>
      </c>
      <c r="C93" s="204">
        <f>45*1.1</f>
        <v>49.500000000000007</v>
      </c>
      <c r="D93" s="191">
        <f t="shared" si="10"/>
        <v>1930.5000000000002</v>
      </c>
      <c r="E93" s="206">
        <f t="shared" si="11"/>
        <v>2133.1482240000005</v>
      </c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9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138</v>
      </c>
      <c r="B94" s="193">
        <f>'Données projet'!D97</f>
        <v>39</v>
      </c>
      <c r="C94" s="204">
        <f>60*1.1</f>
        <v>66</v>
      </c>
      <c r="D94" s="191">
        <f t="shared" si="10"/>
        <v>2574</v>
      </c>
      <c r="E94" s="206">
        <f t="shared" si="11"/>
        <v>75</v>
      </c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9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148</v>
      </c>
      <c r="B95" s="193">
        <f>'Données projet'!D98</f>
        <v>41</v>
      </c>
      <c r="C95" s="204">
        <f>90*1.1</f>
        <v>99.000000000000014</v>
      </c>
      <c r="D95" s="191">
        <f t="shared" si="10"/>
        <v>4059.0000000000005</v>
      </c>
      <c r="E95" s="206">
        <f t="shared" si="11"/>
        <v>75</v>
      </c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9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158</v>
      </c>
      <c r="B96" s="193">
        <f>'Données projet'!D99</f>
        <v>41</v>
      </c>
      <c r="C96" s="204">
        <f>100*1.1</f>
        <v>110.00000000000001</v>
      </c>
      <c r="D96" s="191">
        <f t="shared" si="10"/>
        <v>4510.0000000000009</v>
      </c>
      <c r="E96" s="206">
        <f t="shared" si="11"/>
        <v>75</v>
      </c>
      <c r="F96" s="263"/>
      <c r="G96" s="223"/>
      <c r="H96" s="203"/>
      <c r="I96" s="204"/>
      <c r="J96" s="5"/>
      <c r="K96" s="183"/>
      <c r="L96" s="5"/>
      <c r="M96" s="5"/>
      <c r="N96" s="5"/>
      <c r="O96" s="207" t="str">
        <f>IF(O95+1&lt;=MIN('Données projet'!$E$9:$E$18),O95+1,"STOP")</f>
        <v>STOP</v>
      </c>
      <c r="P96" s="197" t="e">
        <f t="shared" si="9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168</v>
      </c>
      <c r="B97" s="193">
        <f>'Données projet'!D100</f>
        <v>41</v>
      </c>
      <c r="C97" s="204">
        <f>120*1.1</f>
        <v>132</v>
      </c>
      <c r="D97" s="191">
        <f t="shared" si="10"/>
        <v>5412</v>
      </c>
      <c r="E97" s="206">
        <f t="shared" si="11"/>
        <v>75</v>
      </c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12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10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12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10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12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10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12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10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12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10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12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10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12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10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12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12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12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12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12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12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12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12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12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12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12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12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12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13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12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13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12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13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12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13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12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13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12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13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12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13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12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13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12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13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12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13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12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13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12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13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12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13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4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13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4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13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4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13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4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13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13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13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5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5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5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5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5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5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5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5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5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5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5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5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5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5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5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5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5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5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5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6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6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6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6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6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6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6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6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6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6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6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6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6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6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6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6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6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6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6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7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7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7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7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7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7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7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7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7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7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7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7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7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7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7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7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7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7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7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8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8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8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8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8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8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8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8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8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8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8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8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8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8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8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8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8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8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8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9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9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9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9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9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9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9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9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9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9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9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9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9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9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9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9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9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9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9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20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20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20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20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20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20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20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20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20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20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20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20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20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20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20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20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20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20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20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2022-05-30T15:46:36Z</dcterms:modified>
</cp:coreProperties>
</file>