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harentes\MAINXE-GONDEVILLE (16) - Ind BRETON\"/>
    </mc:Choice>
  </mc:AlternateContent>
  <xr:revisionPtr revIDLastSave="0" documentId="13_ncr:1_{5F4F8993-F9BE-4E92-8828-2DE1ED252DEF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<sst xmlns="http://schemas.openxmlformats.org/spreadsheetml/2006/main" count="1170" uniqueCount="324">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</sst>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2.0067659658451995</c:v>
                </c:pt>
                <c:pt idx="2">
                  <c:v>2.7081068311279615</c:v>
                </c:pt>
                <c:pt idx="3">
                  <c:v>3.6555910025968879</c:v>
                </c:pt>
                <c:pt idx="4">
                  <c:v>4.9359467952770988</c:v>
                </c:pt>
                <c:pt idx="5">
                  <c:v>6.6665736417327581</c:v>
                </c:pt>
                <c:pt idx="6">
                  <c:v>9.0064257077135057</c:v>
                </c:pt>
                <c:pt idx="7">
                  <c:v>12.17076960687214</c:v>
                </c:pt>
                <c:pt idx="8">
                  <c:v>16.451199154746675</c:v>
                </c:pt>
                <c:pt idx="9">
                  <c:v>22.242785046662021</c:v>
                </c:pt>
                <c:pt idx="10">
                  <c:v>30.080909838638643</c:v>
                </c:pt>
                <c:pt idx="11">
                  <c:v>40.691252480101745</c:v>
                </c:pt>
                <c:pt idx="12">
                  <c:v>55.05762870421507</c:v>
                </c:pt>
                <c:pt idx="13">
                  <c:v>74.514081917323779</c:v>
                </c:pt>
                <c:pt idx="14">
                  <c:v>100.86991450231862</c:v>
                </c:pt>
                <c:pt idx="15">
                  <c:v>136.57947025677328</c:v>
                </c:pt>
                <c:pt idx="16">
                  <c:v>184.9727224809175</c:v>
                </c:pt>
                <c:pt idx="17">
                  <c:v>250.56849382056802</c:v>
                </c:pt>
                <c:pt idx="18">
                  <c:v>339.49998431507902</c:v>
                </c:pt>
                <c:pt idx="19">
                  <c:v>460.09296315034112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F40" sqref="F4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3.21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3.21</v>
      </c>
      <c r="E9" s="37">
        <v>19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3.21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370</v>
      </c>
      <c r="C36" s="63">
        <v>1</v>
      </c>
      <c r="D36" s="63">
        <v>370</v>
      </c>
      <c r="E36" s="54">
        <v>0.9</v>
      </c>
      <c r="F36" s="54">
        <v>0.05</v>
      </c>
      <c r="G36" s="54">
        <v>0.05</v>
      </c>
      <c r="H36" s="54"/>
      <c r="I36" s="52">
        <f>IFERROR(B36/A36,"")</f>
        <v>19.473684210526315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7" zoomScale="115" zoomScaleNormal="115" workbookViewId="0">
      <selection activeCell="G26" sqref="G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74.666349571117792</v>
      </c>
      <c r="T3" s="62">
        <f>IF('Données projet'!E9&gt;30,$R$33-$H$33,LOOKUP('Données projet'!$E$9,$A$3:$A$203,R3:R203)-LOOKUP('Données projet'!$E$9,$A$3:$A$203,$H$3:$H$203))</f>
        <v>434.53418368205706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0.57252000000000003</v>
      </c>
      <c r="D4" s="12">
        <f>IFERROR(EXP(-1.0587+0.8836*LN(C4)+0.284),0)</f>
        <v>0.28153726954860292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6.5927227824804442</v>
      </c>
      <c r="H4" s="70">
        <f t="shared" ref="H4:H67" si="1">(B4+E4+F4)*44/12+(C4+D4)*0.475*44/12</f>
        <v>294.82081641113047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19.473684210526315</v>
      </c>
      <c r="N4" s="14">
        <f>IF('Données projet'!$A$36&gt;35,N3+M4-V3,IF(A4&lt;'Données projet'!$A$36,$K$205^A4,IF(A4='Données projet'!$A$36,'Données projet'!$B$36,N3+M4-V3)))</f>
        <v>1.3651127149691322</v>
      </c>
      <c r="O4" s="14">
        <f>N4*VLOOKUP('Données projet'!$B$9,Paramètres!$A$1:$I$89,3,0)*VLOOKUP('Données projet'!$B$9,Paramètres!$A$1:$I$89,5,0)</f>
        <v>0.78155433157412757</v>
      </c>
      <c r="P4" s="14">
        <f>EXP(-1.0587+0.8836*LN(O4)+0.284)</f>
        <v>0.37065579235613039</v>
      </c>
      <c r="Q4" s="22">
        <f t="shared" ref="Q4:Q34" si="2">(O4+P4)*0.475*44/12</f>
        <v>2.0067659658451995</v>
      </c>
      <c r="R4" s="62">
        <f t="shared" si="0"/>
        <v>295.34009929917852</v>
      </c>
      <c r="S4" s="62">
        <f ca="1">AVERAGE(OFFSET($R$3,0,0,'Données projet'!$E$9+1,1))-AVERAGE(OFFSET($H$3,0,0,'Données projet'!$E$9+1,1))</f>
        <v>74.666349571117792</v>
      </c>
      <c r="T4" s="62">
        <f>$T$3</f>
        <v>434.53418368205706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1.1450400000000001</v>
      </c>
      <c r="D5" s="12">
        <f t="shared" ref="D5:D68" si="32">IFERROR(EXP(-1.0587+0.8836*LN(C5)+0.284),0)</f>
        <v>0.51942876755541667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12.848530837269886</v>
      </c>
      <c r="H5" s="70">
        <f t="shared" si="1"/>
        <v>296.23228310349231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19.473684210526315</v>
      </c>
      <c r="N5" s="14">
        <f>IF('Données projet'!$A$36&gt;35,N4+M5-V4,IF(A5&lt;'Données projet'!$A$36,$K$205^A5,IF(A5='Données projet'!$A$36,'Données projet'!$B$36,N4+M5-V4)))</f>
        <v>1.8635327245703952</v>
      </c>
      <c r="O5" s="14">
        <f>N5*VLOOKUP('Données projet'!$B$9,Paramètres!$A$1:$I$89,3,0)*VLOOKUP('Données projet'!$B$9,Paramètres!$A$1:$I$89,5,0)</f>
        <v>1.0669097554710427</v>
      </c>
      <c r="P5" s="14">
        <f t="shared" ref="P5:P68" si="33">EXP(-1.0587+0.8836*LN(O5)+0.284)</f>
        <v>0.4879841188608009</v>
      </c>
      <c r="Q5" s="22">
        <f t="shared" si="2"/>
        <v>2.7081068311279615</v>
      </c>
      <c r="R5" s="62">
        <f t="shared" si="0"/>
        <v>296.04144016446128</v>
      </c>
      <c r="S5" s="62">
        <f ca="1">AVERAGE(OFFSET($R$3,0,0,'Données projet'!$E$9+1,1))-AVERAGE(OFFSET($H$3,0,0,'Données projet'!$E$9+1,1))</f>
        <v>74.666349571117792</v>
      </c>
      <c r="T5" s="62">
        <f t="shared" ref="T5:T68" si="34">$T$3</f>
        <v>434.53418368205706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1.7175600000000002</v>
      </c>
      <c r="D6" s="12">
        <f t="shared" si="32"/>
        <v>0.74322487223491107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18.995532347076509</v>
      </c>
      <c r="H6" s="70">
        <f t="shared" si="1"/>
        <v>297.61920031914246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19.473684210526315</v>
      </c>
      <c r="N6" s="14">
        <f>IF('Données projet'!$A$36&gt;35,N5+M6-V5,IF(A6&lt;'Données projet'!$A$36,$K$205^A6,IF(A6='Données projet'!$A$36,'Données projet'!$B$36,N5+M6-V5)))</f>
        <v>2.5439322170721161</v>
      </c>
      <c r="O6" s="14">
        <f>N6*VLOOKUP('Données projet'!$B$9,Paramètres!$A$1:$I$89,3,0)*VLOOKUP('Données projet'!$B$9,Paramètres!$A$1:$I$89,5,0)</f>
        <v>1.4564520729181281</v>
      </c>
      <c r="P6" s="14">
        <f t="shared" si="33"/>
        <v>0.64245185201788413</v>
      </c>
      <c r="Q6" s="22">
        <f t="shared" si="2"/>
        <v>3.6555910025968879</v>
      </c>
      <c r="R6" s="62">
        <f t="shared" si="0"/>
        <v>296.98892433593022</v>
      </c>
      <c r="S6" s="62">
        <f ca="1">AVERAGE(OFFSET($R$3,0,0,'Données projet'!$E$9+1,1))-AVERAGE(OFFSET($H$3,0,0,'Données projet'!$E$9+1,1))</f>
        <v>74.666349571117792</v>
      </c>
      <c r="T6" s="62">
        <f t="shared" si="34"/>
        <v>434.53418368205706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2.2900800000000001</v>
      </c>
      <c r="D7" s="12">
        <f t="shared" si="32"/>
        <v>0.95833224850382137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25.075462970906695</v>
      </c>
      <c r="H7" s="70">
        <f t="shared" si="1"/>
        <v>298.99098466614413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19.473684210526315</v>
      </c>
      <c r="N7" s="14">
        <f>IF('Données projet'!$A$36&gt;35,N6+M7-V6,IF(A7&lt;'Données projet'!$A$36,$K$205^A7,IF(A7='Données projet'!$A$36,'Données projet'!$B$36,N6+M7-V6)))</f>
        <v>3.4727542155447604</v>
      </c>
      <c r="O7" s="14">
        <f>N7*VLOOKUP('Données projet'!$B$9,Paramètres!$A$1:$I$89,3,0)*VLOOKUP('Données projet'!$B$9,Paramètres!$A$1:$I$89,5,0)</f>
        <v>1.9882212434836863</v>
      </c>
      <c r="P7" s="14">
        <f t="shared" si="33"/>
        <v>0.84581519399598759</v>
      </c>
      <c r="Q7" s="22">
        <f t="shared" si="2"/>
        <v>4.9359467952770988</v>
      </c>
      <c r="R7" s="62">
        <f t="shared" si="0"/>
        <v>298.26928012861043</v>
      </c>
      <c r="S7" s="62">
        <f ca="1">AVERAGE(OFFSET($R$3,0,0,'Données projet'!$E$9+1,1))-AVERAGE(OFFSET($H$3,0,0,'Données projet'!$E$9+1,1))</f>
        <v>74.666349571117792</v>
      </c>
      <c r="T7" s="62">
        <f t="shared" si="34"/>
        <v>434.53418368205706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2.8626</v>
      </c>
      <c r="D8" s="12">
        <f t="shared" si="32"/>
        <v>1.1672013741446075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31.107238677607498</v>
      </c>
      <c r="H8" s="70">
        <f t="shared" si="1"/>
        <v>300.35190405996849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19.473684210526315</v>
      </c>
      <c r="N8" s="14">
        <f>IF('Données projet'!$A$36&gt;35,N7+M8-V7,IF(A8&lt;'Données projet'!$A$36,$K$205^A8,IF(A8='Données projet'!$A$36,'Données projet'!$B$36,N7+M8-V7)))</f>
        <v>4.7407009356028071</v>
      </c>
      <c r="O8" s="14">
        <f>N8*VLOOKUP('Données projet'!$B$9,Paramètres!$A$1:$I$89,3,0)*VLOOKUP('Données projet'!$B$9,Paramètres!$A$1:$I$89,5,0)</f>
        <v>2.7141460996513191</v>
      </c>
      <c r="P8" s="14">
        <f t="shared" si="33"/>
        <v>1.1135516850756235</v>
      </c>
      <c r="Q8" s="22">
        <f t="shared" si="2"/>
        <v>6.6665736417327581</v>
      </c>
      <c r="R8" s="62">
        <f t="shared" si="0"/>
        <v>299.9999069750661</v>
      </c>
      <c r="S8" s="62">
        <f ca="1">AVERAGE(OFFSET($R$3,0,0,'Données projet'!$E$9+1,1))-AVERAGE(OFFSET($H$3,0,0,'Données projet'!$E$9+1,1))</f>
        <v>74.666349571117792</v>
      </c>
      <c r="T8" s="62">
        <f t="shared" si="34"/>
        <v>434.53418368205706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3.43512</v>
      </c>
      <c r="D9" s="12">
        <f t="shared" si="32"/>
        <v>1.3712301039946899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37.101649925573049</v>
      </c>
      <c r="H9" s="70">
        <f t="shared" si="1"/>
        <v>301.70439309779073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19.473684210526315</v>
      </c>
      <c r="N9" s="14">
        <f>IF('Données projet'!$A$36&gt;35,N8+M9-V8,IF(A9&lt;'Données projet'!$A$36,$K$205^A9,IF(A9='Données projet'!$A$36,'Données projet'!$B$36,N8+M9-V8)))</f>
        <v>6.4715911250574525</v>
      </c>
      <c r="O9" s="14">
        <f>N9*VLOOKUP('Données projet'!$B$9,Paramètres!$A$1:$I$89,3,0)*VLOOKUP('Données projet'!$B$9,Paramètres!$A$1:$I$89,5,0)</f>
        <v>3.7051153509178931</v>
      </c>
      <c r="P9" s="14">
        <f t="shared" si="33"/>
        <v>1.4660381654726375</v>
      </c>
      <c r="Q9" s="22">
        <f t="shared" si="2"/>
        <v>9.0064257077135057</v>
      </c>
      <c r="R9" s="62">
        <f t="shared" si="0"/>
        <v>302.33975904104682</v>
      </c>
      <c r="S9" s="62">
        <f ca="1">AVERAGE(OFFSET($R$3,0,0,'Données projet'!$E$9+1,1))-AVERAGE(OFFSET($H$3,0,0,'Données projet'!$E$9+1,1))</f>
        <v>74.666349571117792</v>
      </c>
      <c r="T9" s="62">
        <f t="shared" si="34"/>
        <v>434.53418368205706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4.0076400000000003</v>
      </c>
      <c r="D10" s="12">
        <f t="shared" si="32"/>
        <v>1.5713195810189087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43.06565290611087</v>
      </c>
      <c r="H10" s="70">
        <f t="shared" si="1"/>
        <v>303.05002127027456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19.473684210526315</v>
      </c>
      <c r="N10" s="14">
        <f>IF('Données projet'!$A$36&gt;35,N9+M10-V9,IF(A10&lt;'Données projet'!$A$36,$K$205^A10,IF(A10='Données projet'!$A$36,'Données projet'!$B$36,N9+M10-V9)))</f>
        <v>8.8344513308973198</v>
      </c>
      <c r="O10" s="14">
        <f>N10*VLOOKUP('Données projet'!$B$9,Paramètres!$A$1:$I$89,3,0)*VLOOKUP('Données projet'!$B$9,Paramètres!$A$1:$I$89,5,0)</f>
        <v>5.0579000759653336</v>
      </c>
      <c r="P10" s="14">
        <f t="shared" si="33"/>
        <v>1.93010161219092</v>
      </c>
      <c r="Q10" s="22">
        <f t="shared" si="2"/>
        <v>12.17076960687214</v>
      </c>
      <c r="R10" s="62">
        <f t="shared" si="0"/>
        <v>305.50410294020543</v>
      </c>
      <c r="S10" s="62">
        <f ca="1">AVERAGE(OFFSET($R$3,0,0,'Données projet'!$E$9+1,1))-AVERAGE(OFFSET($H$3,0,0,'Données projet'!$E$9+1,1))</f>
        <v>74.666349571117792</v>
      </c>
      <c r="T10" s="62">
        <f t="shared" si="34"/>
        <v>434.53418368205706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4.5801600000000002</v>
      </c>
      <c r="D11" s="12">
        <f t="shared" si="32"/>
        <v>1.7680974868693768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49.004092881096945</v>
      </c>
      <c r="H11" s="70">
        <f t="shared" si="1"/>
        <v>304.38988178963081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19.473684210526315</v>
      </c>
      <c r="N11" s="14">
        <f>IF('Données projet'!$A$36&gt;35,N10+M11-V10,IF(A11&lt;'Données projet'!$A$36,$K$205^A11,IF(A11='Données projet'!$A$36,'Données projet'!$B$36,N10+M11-V10)))</f>
        <v>12.060021841583904</v>
      </c>
      <c r="O11" s="14">
        <f>N11*VLOOKUP('Données projet'!$B$9,Paramètres!$A$1:$I$89,3,0)*VLOOKUP('Données projet'!$B$9,Paramètres!$A$1:$I$89,5,0)</f>
        <v>6.9046037047436162</v>
      </c>
      <c r="P11" s="14">
        <f t="shared" si="33"/>
        <v>2.5410608817138045</v>
      </c>
      <c r="Q11" s="22">
        <f t="shared" si="2"/>
        <v>16.451199154746675</v>
      </c>
      <c r="R11" s="62">
        <f t="shared" si="0"/>
        <v>309.78453248808</v>
      </c>
      <c r="S11" s="62">
        <f ca="1">AVERAGE(OFFSET($R$3,0,0,'Données projet'!$E$9+1,1))-AVERAGE(OFFSET($H$3,0,0,'Données projet'!$E$9+1,1))</f>
        <v>74.666349571117792</v>
      </c>
      <c r="T11" s="62">
        <f t="shared" si="34"/>
        <v>434.53418368205706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5.1526800000000001</v>
      </c>
      <c r="D12" s="12">
        <f t="shared" si="32"/>
        <v>1.9620251755451499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54.920531179646765</v>
      </c>
      <c r="H12" s="70">
        <f t="shared" si="1"/>
        <v>305.72477818074111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19.473684210526315</v>
      </c>
      <c r="N12" s="14">
        <f>IF('Données projet'!$A$36&gt;35,N11+M12-V11,IF(A12&lt;'Données projet'!$A$36,$K$205^A12,IF(A12='Données projet'!$A$36,'Données projet'!$B$36,N11+M12-V11)))</f>
        <v>16.463289158751635</v>
      </c>
      <c r="O12" s="14">
        <f>N12*VLOOKUP('Données projet'!$B$9,Paramètres!$A$1:$I$89,3,0)*VLOOKUP('Données projet'!$B$9,Paramètres!$A$1:$I$89,5,0)</f>
        <v>9.4255623091684875</v>
      </c>
      <c r="P12" s="14">
        <f t="shared" si="33"/>
        <v>3.345414751115928</v>
      </c>
      <c r="Q12" s="22">
        <f t="shared" si="2"/>
        <v>22.242785046662021</v>
      </c>
      <c r="R12" s="62">
        <f t="shared" si="0"/>
        <v>315.57611837999536</v>
      </c>
      <c r="S12" s="62">
        <f ca="1">AVERAGE(OFFSET($R$3,0,0,'Données projet'!$E$9+1,1))-AVERAGE(OFFSET($H$3,0,0,'Données projet'!$E$9+1,1))</f>
        <v>74.666349571117792</v>
      </c>
      <c r="T12" s="62">
        <f t="shared" si="34"/>
        <v>434.53418368205706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5.7252000000000001</v>
      </c>
      <c r="D13" s="12">
        <f t="shared" si="32"/>
        <v>2.1534554634027163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60.817691296442028</v>
      </c>
      <c r="H13" s="70">
        <f t="shared" si="1"/>
        <v>307.05532493209307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19.473684210526315</v>
      </c>
      <c r="N13" s="14">
        <f>IF('Données projet'!$A$36&gt;35,N12+M13-V12,IF(A13&lt;'Données projet'!$A$36,$K$205^A13,IF(A13='Données projet'!$A$36,'Données projet'!$B$36,N12+M13-V12)))</f>
        <v>22.474245360825329</v>
      </c>
      <c r="O13" s="14">
        <f>N13*VLOOKUP('Données projet'!$B$9,Paramètres!$A$1:$I$89,3,0)*VLOOKUP('Données projet'!$B$9,Paramètres!$A$1:$I$89,5,0)</f>
        <v>12.866954953979716</v>
      </c>
      <c r="P13" s="14">
        <f t="shared" si="33"/>
        <v>4.4043808385400798</v>
      </c>
      <c r="Q13" s="22">
        <f t="shared" si="2"/>
        <v>30.080909838638643</v>
      </c>
      <c r="R13" s="62">
        <f t="shared" si="0"/>
        <v>323.41424317197198</v>
      </c>
      <c r="S13" s="62">
        <f ca="1">AVERAGE(OFFSET($R$3,0,0,'Données projet'!$E$9+1,1))-AVERAGE(OFFSET($H$3,0,0,'Données projet'!$E$9+1,1))</f>
        <v>74.666349571117792</v>
      </c>
      <c r="T13" s="62">
        <f t="shared" si="34"/>
        <v>434.53418368205706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6.29772</v>
      </c>
      <c r="D14" s="12">
        <f t="shared" si="32"/>
        <v>2.3426665202193502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66.697720506956387</v>
      </c>
      <c r="H14" s="70">
        <f t="shared" si="1"/>
        <v>308.38200652271536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19.473684210526315</v>
      </c>
      <c r="N14" s="14">
        <f>IF('Données projet'!$A$36&gt;35,N13+M14-V13,IF(A14&lt;'Données projet'!$A$36,$K$205^A14,IF(A14='Données projet'!$A$36,'Données projet'!$B$36,N13+M14-V13)))</f>
        <v>30.679878101398685</v>
      </c>
      <c r="O14" s="14">
        <f>N14*VLOOKUP('Données projet'!$B$9,Paramètres!$A$1:$I$89,3,0)*VLOOKUP('Données projet'!$B$9,Paramètres!$A$1:$I$89,5,0)</f>
        <v>17.564843810612778</v>
      </c>
      <c r="P14" s="14">
        <f t="shared" si="33"/>
        <v>5.79855474255569</v>
      </c>
      <c r="Q14" s="22">
        <f t="shared" si="2"/>
        <v>40.691252480101745</v>
      </c>
      <c r="R14" s="62">
        <f t="shared" si="0"/>
        <v>334.02458581343507</v>
      </c>
      <c r="S14" s="62">
        <f ca="1">AVERAGE(OFFSET($R$3,0,0,'Données projet'!$E$9+1,1))-AVERAGE(OFFSET($H$3,0,0,'Données projet'!$E$9+1,1))</f>
        <v>74.666349571117792</v>
      </c>
      <c r="T14" s="62">
        <f t="shared" si="34"/>
        <v>434.53418368205706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6.8702399999999999</v>
      </c>
      <c r="D15" s="12">
        <f t="shared" si="32"/>
        <v>2.5298830385576641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72.562353280094257</v>
      </c>
      <c r="H15" s="70">
        <f t="shared" si="1"/>
        <v>309.70521429215455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19.473684210526315</v>
      </c>
      <c r="N15" s="14">
        <f>IF('Données projet'!$A$36&gt;35,N14+M15-V14,IF(A15&lt;'Données projet'!$A$36,$K$205^A15,IF(A15='Données projet'!$A$36,'Données projet'!$B$36,N14+M15-V14)))</f>
        <v>41.881491689922385</v>
      </c>
      <c r="O15" s="14">
        <f>N15*VLOOKUP('Données projet'!$B$9,Paramètres!$A$1:$I$89,3,0)*VLOOKUP('Données projet'!$B$9,Paramètres!$A$1:$I$89,5,0)</f>
        <v>23.977991622314363</v>
      </c>
      <c r="P15" s="14">
        <f t="shared" si="33"/>
        <v>7.6340439973306573</v>
      </c>
      <c r="Q15" s="22">
        <f t="shared" si="2"/>
        <v>55.05762870421507</v>
      </c>
      <c r="R15" s="62">
        <f t="shared" si="0"/>
        <v>348.39096203754838</v>
      </c>
      <c r="S15" s="62">
        <f ca="1">AVERAGE(OFFSET($R$3,0,0,'Données projet'!$E$9+1,1))-AVERAGE(OFFSET($H$3,0,0,'Données projet'!$E$9+1,1))</f>
        <v>74.666349571117792</v>
      </c>
      <c r="T15" s="62">
        <f t="shared" si="34"/>
        <v>434.53418368205706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7.4427599999999998</v>
      </c>
      <c r="D16" s="12">
        <f t="shared" si="32"/>
        <v>2.715290126733509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78.413018522153408</v>
      </c>
      <c r="H16" s="70">
        <f t="shared" si="1"/>
        <v>311.02527063739416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19.473684210526315</v>
      </c>
      <c r="N16" s="14">
        <f>IF('Données projet'!$A$36&gt;35,N15+M16-V15,IF(A16&lt;'Données projet'!$A$36,$K$205^A16,IF(A16='Données projet'!$A$36,'Données projet'!$B$36,N15+M16-V15)))</f>
        <v>57.172956827787104</v>
      </c>
      <c r="O16" s="14">
        <f>N16*VLOOKUP('Données projet'!$B$9,Paramètres!$A$1:$I$89,3,0)*VLOOKUP('Données projet'!$B$9,Paramètres!$A$1:$I$89,5,0)</f>
        <v>32.732661243044674</v>
      </c>
      <c r="P16" s="14">
        <f t="shared" si="33"/>
        <v>10.05054368556228</v>
      </c>
      <c r="Q16" s="22">
        <f t="shared" si="2"/>
        <v>74.514081917323779</v>
      </c>
      <c r="R16" s="62">
        <f t="shared" si="0"/>
        <v>367.84741525065709</v>
      </c>
      <c r="S16" s="62">
        <f ca="1">AVERAGE(OFFSET($R$3,0,0,'Données projet'!$E$9+1,1))-AVERAGE(OFFSET($H$3,0,0,'Données projet'!$E$9+1,1))</f>
        <v>74.666349571117792</v>
      </c>
      <c r="T16" s="62">
        <f t="shared" si="34"/>
        <v>434.53418368205706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8.0152800000000006</v>
      </c>
      <c r="D17" s="12">
        <f t="shared" si="32"/>
        <v>2.8990427971151549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84.250912819836287</v>
      </c>
      <c r="H17" s="70">
        <f t="shared" si="1"/>
        <v>312.34244553830888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19.473684210526315</v>
      </c>
      <c r="N17" s="14">
        <f>IF('Données projet'!$A$36&gt;35,N16+M17-V16,IF(A17&lt;'Données projet'!$A$36,$K$205^A17,IF(A17='Données projet'!$A$36,'Données projet'!$B$36,N16+M17-V16)))</f>
        <v>78.04753031799342</v>
      </c>
      <c r="O17" s="14">
        <f>N17*VLOOKUP('Données projet'!$B$9,Paramètres!$A$1:$I$89,3,0)*VLOOKUP('Données projet'!$B$9,Paramètres!$A$1:$I$89,5,0)</f>
        <v>44.683772057657599</v>
      </c>
      <c r="P17" s="14">
        <f t="shared" si="33"/>
        <v>13.231968326448785</v>
      </c>
      <c r="Q17" s="22">
        <f t="shared" si="2"/>
        <v>100.86991450231862</v>
      </c>
      <c r="R17" s="62">
        <f t="shared" si="0"/>
        <v>394.20324783565195</v>
      </c>
      <c r="S17" s="62">
        <f ca="1">AVERAGE(OFFSET($R$3,0,0,'Données projet'!$E$9+1,1))-AVERAGE(OFFSET($H$3,0,0,'Données projet'!$E$9+1,1))</f>
        <v>74.666349571117792</v>
      </c>
      <c r="T17" s="62">
        <f t="shared" si="34"/>
        <v>434.53418368205706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8.5878000000000014</v>
      </c>
      <c r="D18" s="12">
        <f t="shared" si="32"/>
        <v>3.0812726626279932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90.077052132566976</v>
      </c>
      <c r="H18" s="70">
        <f t="shared" si="1"/>
        <v>313.65696822074375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19.473684210526315</v>
      </c>
      <c r="N18" s="14">
        <f>IF('Données projet'!$A$36&gt;35,N17+M18-V17,IF(A18&lt;'Données projet'!$A$36,$K$205^A18,IF(A18='Données projet'!$A$36,'Données projet'!$B$36,N17+M18-V17)))</f>
        <v>106.54367600903167</v>
      </c>
      <c r="O18" s="14">
        <f>N18*VLOOKUP('Données projet'!$B$9,Paramètres!$A$1:$I$89,3,0)*VLOOKUP('Données projet'!$B$9,Paramètres!$A$1:$I$89,5,0)</f>
        <v>60.998385388690814</v>
      </c>
      <c r="P18" s="14">
        <f t="shared" si="33"/>
        <v>17.420449208499587</v>
      </c>
      <c r="Q18" s="22">
        <f t="shared" si="2"/>
        <v>136.57947025677328</v>
      </c>
      <c r="R18" s="62">
        <f t="shared" si="0"/>
        <v>429.91280359010659</v>
      </c>
      <c r="S18" s="62">
        <f ca="1">AVERAGE(OFFSET($R$3,0,0,'Données projet'!$E$9+1,1))-AVERAGE(OFFSET($H$3,0,0,'Données projet'!$E$9+1,1))</f>
        <v>74.666349571117792</v>
      </c>
      <c r="T18" s="62">
        <f t="shared" si="34"/>
        <v>434.53418368205706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9.1603200000000022</v>
      </c>
      <c r="D19" s="12">
        <f t="shared" si="32"/>
        <v>3.2620927950139214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95.892309294844324</v>
      </c>
      <c r="H19" s="70">
        <f t="shared" si="1"/>
        <v>314.96903561798257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19.473684210526315</v>
      </c>
      <c r="N19" s="14">
        <f>IF('Données projet'!$A$36&gt;35,N18+M19-V18,IF(A19&lt;'Données projet'!$A$36,$K$205^A19,IF(A19='Données projet'!$A$36,'Données projet'!$B$36,N18+M19-V18)))</f>
        <v>145.4441268194808</v>
      </c>
      <c r="O19" s="14">
        <f>N19*VLOOKUP('Données projet'!$B$9,Paramètres!$A$1:$I$89,3,0)*VLOOKUP('Données projet'!$B$9,Paramètres!$A$1:$I$89,5,0)</f>
        <v>83.269671486689148</v>
      </c>
      <c r="P19" s="14">
        <f t="shared" si="33"/>
        <v>22.934762473646266</v>
      </c>
      <c r="Q19" s="22">
        <f t="shared" si="2"/>
        <v>184.9727224809175</v>
      </c>
      <c r="R19" s="62">
        <f t="shared" si="0"/>
        <v>478.30605581425084</v>
      </c>
      <c r="S19" s="62">
        <f ca="1">AVERAGE(OFFSET($R$3,0,0,'Données projet'!$E$9+1,1))-AVERAGE(OFFSET($H$3,0,0,'Données projet'!$E$9+1,1))</f>
        <v>74.666349571117792</v>
      </c>
      <c r="T19" s="62">
        <f t="shared" si="34"/>
        <v>434.53418368205706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9.732840000000003</v>
      </c>
      <c r="D20" s="12">
        <f t="shared" si="32"/>
        <v>3.4416013331926729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101.69744187025925</v>
      </c>
      <c r="H20" s="70">
        <f t="shared" si="1"/>
        <v>316.27881865531054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19.473684210526315</v>
      </c>
      <c r="N20" s="14">
        <f>IF('Données projet'!$A$36&gt;35,N19+M20-V19,IF(A20&lt;'Données projet'!$A$36,$K$205^A20,IF(A20='Données projet'!$A$36,'Données projet'!$B$36,N19+M20-V19)))</f>
        <v>198.54762683885622</v>
      </c>
      <c r="O20" s="14">
        <f>N20*VLOOKUP('Données projet'!$B$9,Paramètres!$A$1:$I$89,3,0)*VLOOKUP('Données projet'!$B$9,Paramètres!$A$1:$I$89,5,0)</f>
        <v>113.67248731778197</v>
      </c>
      <c r="P20" s="14">
        <f t="shared" si="33"/>
        <v>30.194590473931747</v>
      </c>
      <c r="Q20" s="22">
        <f t="shared" si="2"/>
        <v>250.56849382056802</v>
      </c>
      <c r="R20" s="62">
        <f t="shared" si="0"/>
        <v>543.90182715390131</v>
      </c>
      <c r="S20" s="62">
        <f ca="1">AVERAGE(OFFSET($R$3,0,0,'Données projet'!$E$9+1,1))-AVERAGE(OFFSET($H$3,0,0,'Données projet'!$E$9+1,1))</f>
        <v>74.666349571117792</v>
      </c>
      <c r="T20" s="62">
        <f t="shared" si="34"/>
        <v>434.53418368205706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10.305360000000004</v>
      </c>
      <c r="D21" s="12">
        <f t="shared" si="32"/>
        <v>3.6198842181005841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107.49311326253085</v>
      </c>
      <c r="H21" s="70">
        <f t="shared" si="1"/>
        <v>317.58646701319185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19.473684210526315</v>
      </c>
      <c r="N21" s="14">
        <f>IF('Données projet'!$A$36&gt;35,N20+M21-V20,IF(A21&lt;'Données projet'!$A$36,$K$205^A21,IF(A21='Données projet'!$A$36,'Données projet'!$B$36,N20+M21-V20)))</f>
        <v>271.03988992466913</v>
      </c>
      <c r="O21" s="14">
        <f>N21*VLOOKUP('Données projet'!$B$9,Paramètres!$A$1:$I$89,3,0)*VLOOKUP('Données projet'!$B$9,Paramètres!$A$1:$I$89,5,0)</f>
        <v>155.17575777967156</v>
      </c>
      <c r="P21" s="14">
        <f t="shared" si="33"/>
        <v>39.752462879703948</v>
      </c>
      <c r="Q21" s="22">
        <f t="shared" si="2"/>
        <v>339.49998431507902</v>
      </c>
      <c r="R21" s="62">
        <f t="shared" si="0"/>
        <v>632.83331764841228</v>
      </c>
      <c r="S21" s="62">
        <f ca="1">AVERAGE(OFFSET($R$3,0,0,'Données projet'!$E$9+1,1))-AVERAGE(OFFSET($H$3,0,0,'Données projet'!$E$9+1,1))</f>
        <v>74.666349571117792</v>
      </c>
      <c r="T21" s="62">
        <f t="shared" si="34"/>
        <v>434.53418368205706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10.877880000000005</v>
      </c>
      <c r="D22" s="12">
        <f t="shared" si="32"/>
        <v>3.7970173023640066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113.27990900070465</v>
      </c>
      <c r="H22" s="70">
        <f t="shared" si="1"/>
        <v>318.89211280161732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370</v>
      </c>
      <c r="L22" s="13">
        <f>VLOOKUP(A22,'Données projet'!$A$35:$I$55,9,0)</f>
        <v>19.473684210526315</v>
      </c>
      <c r="M22" s="13">
        <f t="array" ref="M22">INDEX(L:L,MIN(IF(ISNUMBER(L22:L218),ROW(L22:L218),"")))</f>
        <v>19.473684210526315</v>
      </c>
      <c r="N22" s="14">
        <f>IF('Données projet'!$A$36&gt;35,N21+M22-V21,IF(A22&lt;'Données projet'!$A$36,$K$205^A22,IF(A22='Données projet'!$A$36,'Données projet'!$B$36,N21+M22-V21)))</f>
        <v>370</v>
      </c>
      <c r="O22" s="14">
        <f>N22*VLOOKUP('Données projet'!$B$9,Paramètres!$A$1:$I$89,3,0)*VLOOKUP('Données projet'!$B$9,Paramètres!$A$1:$I$89,5,0)</f>
        <v>211.83240000000001</v>
      </c>
      <c r="P22" s="14">
        <f t="shared" si="33"/>
        <v>52.335808507372931</v>
      </c>
      <c r="Q22" s="22">
        <f t="shared" si="2"/>
        <v>460.09296315034112</v>
      </c>
      <c r="R22" s="62">
        <f t="shared" si="0"/>
        <v>753.42629648367438</v>
      </c>
      <c r="S22" s="62">
        <f ca="1">AVERAGE(OFFSET($R$3,0,0,'Données projet'!$E$9+1,1))-AVERAGE(OFFSET($H$3,0,0,'Données projet'!$E$9+1,1))</f>
        <v>74.666349571117792</v>
      </c>
      <c r="T22" s="62">
        <f t="shared" si="34"/>
        <v>434.53418368205706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370</v>
      </c>
      <c r="W22" s="17">
        <f>IF(ISNA(VLOOKUP(A22,'Données projet'!$A$35:$I$55,5,0)),0%,VLOOKUP(A22,'Données projet'!$A$35:$I$55,5,0)*VLOOKUP('Données projet'!$B$9,Paramètres!$A$1:$I$89,7,0))</f>
        <v>0.54</v>
      </c>
      <c r="X22" s="17">
        <f>IF(ISNA(VLOOKUP(A22,'Données projet'!$A$35:$I$55,6,0)),0%,VLOOKUP(A22,'Données projet'!$A$35:$I$55,6,0)*VLOOKUP('Données projet'!$B$9,Paramètres!$A$1:$I$89,7,0))</f>
        <v>0.03</v>
      </c>
      <c r="Y22" s="17">
        <f>IF(ISNA(VLOOKUP(A22,'Données projet'!$A$35:$I$55,7,0)),0%,VLOOKUP(A22,'Données projet'!$A$35:$I$55,7,0))</f>
        <v>0.05</v>
      </c>
      <c r="Z22" s="23">
        <f>EXP(-LN(2)/35)*Z21+(1-EXP(-LN(2)/35))/(LN(2)/35)*V22*W22*VLOOKUP('Données projet'!$B$9,Paramètres!$A$1:$I$89,3,0)*0.475*44/12</f>
        <v>126.45419955770289</v>
      </c>
      <c r="AA22" s="23">
        <f>EXP(-LN(2)/25)*AA21+(1-EXP(-LN(2)/25))/(LN(2)/25)*Calculateur!V22*Calculateur!X22*VLOOKUP('Données projet'!$B$9,Paramètres!$A$1:$I$89,3,0)*0.475*44/12</f>
        <v>6.9975722884009279</v>
      </c>
      <c r="AB22" s="23">
        <f>EXP(-LN(2)/2)*AB21+(1-EXP(-LN(2)/2))/(LN(2)/2)*V22*Y22*VLOOKUP('Données projet'!$B$9,Paramètres!$A$1:$I$89,3,0)*0.475*44/12</f>
        <v>9.9934785392727221</v>
      </c>
      <c r="AC22" s="24">
        <f t="shared" si="3"/>
        <v>143.44525038537654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11.450400000000005</v>
      </c>
      <c r="D23" s="12">
        <f t="shared" si="32"/>
        <v>3.9730680031605892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119.05834949808178</v>
      </c>
      <c r="H23" s="70">
        <f t="shared" si="1"/>
        <v>320.19587343883802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74.666349571117792</v>
      </c>
      <c r="T23" s="62">
        <f t="shared" si="34"/>
        <v>434.53418368205706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123.97450983382217</v>
      </c>
      <c r="AA23" s="23">
        <f>EXP(-LN(2)/25)*AA22+(1-EXP(-LN(2)/25))/(LN(2)/25)*Calculateur!V23*Calculateur!X23*VLOOKUP('Données projet'!$B$9,Paramètres!$A$1:$I$89,3,0)*0.475*44/12</f>
        <v>6.8062233061882713</v>
      </c>
      <c r="AB23" s="23">
        <f>EXP(-LN(2)/2)*AB22+(1-EXP(-LN(2)/2))/(LN(2)/2)*V23*Y23*VLOOKUP('Données projet'!$B$9,Paramètres!$A$1:$I$89,3,0)*0.475*44/12</f>
        <v>7.066456442761976</v>
      </c>
      <c r="AC23" s="24">
        <f t="shared" si="3"/>
        <v>137.84718958277242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12.022920000000006</v>
      </c>
      <c r="D24" s="12">
        <f t="shared" si="32"/>
        <v>4.1480966151139835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124.82890018684486</v>
      </c>
      <c r="H24" s="70">
        <f t="shared" si="1"/>
        <v>321.49785393799016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74.666349571117792</v>
      </c>
      <c r="T24" s="62">
        <f t="shared" si="34"/>
        <v>434.53418368205706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121.54344531296536</v>
      </c>
      <c r="AA24" s="23">
        <f>EXP(-LN(2)/25)*AA23+(1-EXP(-LN(2)/25))/(LN(2)/25)*Calculateur!V24*Calculateur!X24*VLOOKUP('Données projet'!$B$9,Paramètres!$A$1:$I$89,3,0)*0.475*44/12</f>
        <v>6.6201067719568254</v>
      </c>
      <c r="AB24" s="23">
        <f>EXP(-LN(2)/2)*AB23+(1-EXP(-LN(2)/2))/(LN(2)/2)*V24*Y24*VLOOKUP('Données projet'!$B$9,Paramètres!$A$1:$I$89,3,0)*0.475*44/12</f>
        <v>4.9967392696363619</v>
      </c>
      <c r="AC24" s="24">
        <f t="shared" si="3"/>
        <v>133.16029135455852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12.595440000000007</v>
      </c>
      <c r="D25" s="12">
        <f t="shared" si="32"/>
        <v>4.3221573660278914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130.59197966758379</v>
      </c>
      <c r="H25" s="70">
        <f t="shared" si="1"/>
        <v>322.7981487458319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74.666349571117792</v>
      </c>
      <c r="T25" s="62">
        <f t="shared" si="34"/>
        <v>434.53418368205706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119.16005248455961</v>
      </c>
      <c r="AA25" s="23">
        <f>EXP(-LN(2)/25)*AA24+(1-EXP(-LN(2)/25))/(LN(2)/25)*Calculateur!V25*Calculateur!X25*VLOOKUP('Données projet'!$B$9,Paramètres!$A$1:$I$89,3,0)*0.475*44/12</f>
        <v>6.4390796041413809</v>
      </c>
      <c r="AB25" s="23">
        <f>EXP(-LN(2)/2)*AB24+(1-EXP(-LN(2)/2))/(LN(2)/2)*V25*Y25*VLOOKUP('Données projet'!$B$9,Paramètres!$A$1:$I$89,3,0)*0.475*44/12</f>
        <v>3.5332282213809885</v>
      </c>
      <c r="AC25" s="24">
        <f t="shared" si="3"/>
        <v>129.13236031008199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13.167960000000008</v>
      </c>
      <c r="D26" s="12">
        <f t="shared" si="32"/>
        <v>4.4952992752424494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136.34796633520494</v>
      </c>
      <c r="H26" s="70">
        <f t="shared" si="1"/>
        <v>324.09684323771393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74.666349571117792</v>
      </c>
      <c r="T26" s="62">
        <f t="shared" si="34"/>
        <v>434.53418368205706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116.82339653579281</v>
      </c>
      <c r="AA26" s="23">
        <f>EXP(-LN(2)/25)*AA25+(1-EXP(-LN(2)/25))/(LN(2)/25)*Calculateur!V26*Calculateur!X26*VLOOKUP('Données projet'!$B$9,Paramètres!$A$1:$I$89,3,0)*0.475*44/12</f>
        <v>6.2630026337496556</v>
      </c>
      <c r="AB26" s="23">
        <f>EXP(-LN(2)/2)*AB25+(1-EXP(-LN(2)/2))/(LN(2)/2)*V26*Y26*VLOOKUP('Données projet'!$B$9,Paramètres!$A$1:$I$89,3,0)*0.475*44/12</f>
        <v>2.4983696348181814</v>
      </c>
      <c r="AC26" s="24">
        <f t="shared" si="3"/>
        <v>125.58476880436064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13.740480000000009</v>
      </c>
      <c r="D27" s="12">
        <f t="shared" si="32"/>
        <v>4.6675668584990078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142.09720381999242</v>
      </c>
      <c r="H27" s="70">
        <f t="shared" si="1"/>
        <v>325.39401494521911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74.666349571117792</v>
      </c>
      <c r="T27" s="62">
        <f t="shared" si="34"/>
        <v>434.53418368205706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114.53256098496193</v>
      </c>
      <c r="AA27" s="23">
        <f>EXP(-LN(2)/25)*AA26+(1-EXP(-LN(2)/25))/(LN(2)/25)*Calculateur!V27*Calculateur!X27*VLOOKUP('Données projet'!$B$9,Paramètres!$A$1:$I$89,3,0)*0.475*44/12</f>
        <v>6.0917404973727773</v>
      </c>
      <c r="AB27" s="23">
        <f>EXP(-LN(2)/2)*AB26+(1-EXP(-LN(2)/2))/(LN(2)/2)*V27*Y27*VLOOKUP('Données projet'!$B$9,Paramètres!$A$1:$I$89,3,0)*0.475*44/12</f>
        <v>1.7666141106904947</v>
      </c>
      <c r="AC27" s="24">
        <f t="shared" si="3"/>
        <v>122.39091559302521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14.313000000000009</v>
      </c>
      <c r="D28" s="12">
        <f t="shared" si="32"/>
        <v>4.8390007120171736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147.84000549627299</v>
      </c>
      <c r="H28" s="70">
        <f t="shared" si="1"/>
        <v>326.68973457342992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74.666349571117792</v>
      </c>
      <c r="T28" s="62">
        <f t="shared" si="34"/>
        <v>434.53418368205706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112.28664732201113</v>
      </c>
      <c r="AA28" s="23">
        <f>EXP(-LN(2)/25)*AA27+(1-EXP(-LN(2)/25))/(LN(2)/25)*Calculateur!V28*Calculateur!X28*VLOOKUP('Données projet'!$B$9,Paramètres!$A$1:$I$89,3,0)*0.475*44/12</f>
        <v>5.9251615331214085</v>
      </c>
      <c r="AB28" s="23">
        <f>EXP(-LN(2)/2)*AB27+(1-EXP(-LN(2)/2))/(LN(2)/2)*V28*Y28*VLOOKUP('Données projet'!$B$9,Paramètres!$A$1:$I$89,3,0)*0.475*44/12</f>
        <v>1.2491848174090909</v>
      </c>
      <c r="AC28" s="24">
        <f t="shared" si="3"/>
        <v>119.46099367254163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14.88552000000001</v>
      </c>
      <c r="D29" s="12">
        <f t="shared" si="32"/>
        <v>5.0096380004889403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153.5766582493884</v>
      </c>
      <c r="H29" s="70">
        <f t="shared" si="1"/>
        <v>327.98406685085155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74.666349571117792</v>
      </c>
      <c r="T29" s="62">
        <f t="shared" si="34"/>
        <v>434.53418368205706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110.08477465611873</v>
      </c>
      <c r="AA29" s="23">
        <f>EXP(-LN(2)/25)*AA28+(1-EXP(-LN(2)/25))/(LN(2)/25)*Calculateur!V29*Calculateur!X29*VLOOKUP('Données projet'!$B$9,Paramètres!$A$1:$I$89,3,0)*0.475*44/12</f>
        <v>5.7631376794075004</v>
      </c>
      <c r="AB29" s="23">
        <f>EXP(-LN(2)/2)*AB28+(1-EXP(-LN(2)/2))/(LN(2)/2)*V29*Y29*VLOOKUP('Données projet'!$B$9,Paramètres!$A$1:$I$89,3,0)*0.475*44/12</f>
        <v>0.88330705534524745</v>
      </c>
      <c r="AC29" s="24">
        <f t="shared" si="3"/>
        <v>116.73121939087147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15.458040000000011</v>
      </c>
      <c r="D30" s="12">
        <f t="shared" si="32"/>
        <v>5.1795128678850961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159.3074256468324</v>
      </c>
      <c r="H30" s="70">
        <f t="shared" si="1"/>
        <v>329.27707124489984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74.666349571117792</v>
      </c>
      <c r="T30" s="62">
        <f t="shared" si="34"/>
        <v>434.53418368205706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107.92607937019476</v>
      </c>
      <c r="AA30" s="23">
        <f>EXP(-LN(2)/25)*AA29+(1-EXP(-LN(2)/25))/(LN(2)/25)*Calculateur!V30*Calculateur!X30*VLOOKUP('Données projet'!$B$9,Paramètres!$A$1:$I$89,3,0)*0.475*44/12</f>
        <v>5.6055443764938637</v>
      </c>
      <c r="AB30" s="23">
        <f>EXP(-LN(2)/2)*AB29+(1-EXP(-LN(2)/2))/(LN(2)/2)*V30*Y30*VLOOKUP('Données projet'!$B$9,Paramètres!$A$1:$I$89,3,0)*0.475*44/12</f>
        <v>0.62459240870454558</v>
      </c>
      <c r="AC30" s="24">
        <f t="shared" si="3"/>
        <v>114.15621615539317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16.030560000000012</v>
      </c>
      <c r="D31" s="12">
        <f t="shared" si="32"/>
        <v>5.348656785690582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165.03255062638354</v>
      </c>
      <c r="H31" s="70">
        <f t="shared" si="1"/>
        <v>330.56880256841112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74.666349571117792</v>
      </c>
      <c r="T31" s="62">
        <f t="shared" si="34"/>
        <v>434.53418368205706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105.80971478215363</v>
      </c>
      <c r="AA31" s="23">
        <f>EXP(-LN(2)/25)*AA30+(1-EXP(-LN(2)/25))/(LN(2)/25)*Calculateur!V31*Calculateur!X31*VLOOKUP('Données projet'!$B$9,Paramètres!$A$1:$I$89,3,0)*0.475*44/12</f>
        <v>5.4522604707358715</v>
      </c>
      <c r="AB31" s="23">
        <f>EXP(-LN(2)/2)*AB30+(1-EXP(-LN(2)/2))/(LN(2)/2)*V31*Y31*VLOOKUP('Données projet'!$B$9,Paramètres!$A$1:$I$89,3,0)*0.475*44/12</f>
        <v>0.44165352767262378</v>
      </c>
      <c r="AC31" s="24">
        <f t="shared" si="3"/>
        <v>111.70362878056213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16.603080000000013</v>
      </c>
      <c r="D32" s="12">
        <f t="shared" si="32"/>
        <v>5.5170988499939355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170.75225778942698</v>
      </c>
      <c r="H32" s="70">
        <f t="shared" si="1"/>
        <v>331.85931149707278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74.666349571117792</v>
      </c>
      <c r="T32" s="62">
        <f t="shared" si="34"/>
        <v>434.53418368205706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103.73485081282907</v>
      </c>
      <c r="AA32" s="23">
        <f>EXP(-LN(2)/25)*AA31+(1-EXP(-LN(2)/25))/(LN(2)/25)*Calculateur!V32*Calculateur!X32*VLOOKUP('Données projet'!$B$9,Paramètres!$A$1:$I$89,3,0)*0.475*44/12</f>
        <v>5.3031681214416819</v>
      </c>
      <c r="AB32" s="23">
        <f>EXP(-LN(2)/2)*AB31+(1-EXP(-LN(2)/2))/(LN(2)/2)*V32*Y32*VLOOKUP('Données projet'!$B$9,Paramètres!$A$1:$I$89,3,0)*0.475*44/12</f>
        <v>0.31229620435227284</v>
      </c>
      <c r="AC32" s="24">
        <f t="shared" si="3"/>
        <v>109.35031513862303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17.175600000000014</v>
      </c>
      <c r="D33" s="12">
        <f t="shared" si="32"/>
        <v>5.6848660364476356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176.46675536906957</v>
      </c>
      <c r="H33" s="70">
        <f t="shared" si="1"/>
        <v>333.14864501347961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74.666349571117792</v>
      </c>
      <c r="T33" s="62">
        <f t="shared" si="34"/>
        <v>434.53418368205706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101.70067366040089</v>
      </c>
      <c r="AA33" s="23">
        <f>EXP(-LN(2)/25)*AA32+(1-EXP(-LN(2)/25))/(LN(2)/25)*Calculateur!V33*Calculateur!X33*VLOOKUP('Données projet'!$B$9,Paramètres!$A$1:$I$89,3,0)*0.475*44/12</f>
        <v>5.1581527102793681</v>
      </c>
      <c r="AB33" s="23">
        <f>EXP(-LN(2)/2)*AB32+(1-EXP(-LN(2)/2))/(LN(2)/2)*V33*Y33*VLOOKUP('Données projet'!$B$9,Paramètres!$A$1:$I$89,3,0)*0.475*44/12</f>
        <v>0.22082676383631195</v>
      </c>
      <c r="AC33" s="24">
        <f t="shared" si="3"/>
        <v>107.07965313451658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17.748120000000014</v>
      </c>
      <c r="D34" s="12">
        <f t="shared" si="32"/>
        <v>5.851983420278783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182.17623692846792</v>
      </c>
      <c r="H34" s="70">
        <f t="shared" si="1"/>
        <v>334.4368467903189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74.666349571117792</v>
      </c>
      <c r="T34" s="62">
        <f t="shared" si="34"/>
        <v>434.53418368205706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99.706385481206283</v>
      </c>
      <c r="AA34" s="23">
        <f>EXP(-LN(2)/25)*AA33+(1-EXP(-LN(2)/25))/(LN(2)/25)*Calculateur!V34*Calculateur!X34*VLOOKUP('Données projet'!$B$9,Paramètres!$A$1:$I$89,3,0)*0.475*44/12</f>
        <v>5.0171027531613168</v>
      </c>
      <c r="AB34" s="23">
        <f>EXP(-LN(2)/2)*AB33+(1-EXP(-LN(2)/2))/(LN(2)/2)*V34*Y34*VLOOKUP('Données projet'!$B$9,Paramètres!$A$1:$I$89,3,0)*0.475*44/12</f>
        <v>0.15614810217613645</v>
      </c>
      <c r="AC34" s="24">
        <f t="shared" si="3"/>
        <v>104.87963633654373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18.320640000000015</v>
      </c>
      <c r="D35" s="12">
        <f t="shared" si="32"/>
        <v>6.0184743671138392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187.88088283386136</v>
      </c>
      <c r="H35" s="70">
        <f t="shared" si="1"/>
        <v>335.72395752272325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74.666349571117792</v>
      </c>
      <c r="T35" s="62">
        <f t="shared" si="34"/>
        <v>434.53418368205706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97.751204076809998</v>
      </c>
      <c r="AA35" s="23">
        <f>EXP(-LN(2)/25)*AA34+(1-EXP(-LN(2)/25))/(LN(2)/25)*Calculateur!V35*Calculateur!X35*VLOOKUP('Données projet'!$B$9,Paramètres!$A$1:$I$89,3,0)*0.475*44/12</f>
        <v>4.8799098145381539</v>
      </c>
      <c r="AB35" s="23">
        <f>EXP(-LN(2)/2)*AB34+(1-EXP(-LN(2)/2))/(LN(2)/2)*V35*Y35*VLOOKUP('Données projet'!$B$9,Paramètres!$A$1:$I$89,3,0)*0.475*44/12</f>
        <v>0.11041338191815599</v>
      </c>
      <c r="AC35" s="24">
        <f t="shared" si="3"/>
        <v>102.7415272732663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18.893160000000016</v>
      </c>
      <c r="D36" s="12">
        <f t="shared" si="32"/>
        <v>6.1843606992801829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193.58086153830331</v>
      </c>
      <c r="H36" s="70">
        <f t="shared" si="1"/>
        <v>337.01001521791301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74.666349571117792</v>
      </c>
      <c r="T36" s="62">
        <f t="shared" si="34"/>
        <v>434.53418368205706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95.834362587211018</v>
      </c>
      <c r="AA36" s="23">
        <f>EXP(-LN(2)/25)*AA35+(1-EXP(-LN(2)/25))/(LN(2)/25)*Calculateur!V36*Calculateur!X36*VLOOKUP('Données projet'!$B$9,Paramètres!$A$1:$I$89,3,0)*0.475*44/12</f>
        <v>4.746468424036304</v>
      </c>
      <c r="AB36" s="23">
        <f>EXP(-LN(2)/2)*AB35+(1-EXP(-LN(2)/2))/(LN(2)/2)*V36*Y36*VLOOKUP('Données projet'!$B$9,Paramètres!$A$1:$I$89,3,0)*0.475*44/12</f>
        <v>7.8074051088068239E-2</v>
      </c>
      <c r="AC36" s="24">
        <f t="shared" si="3"/>
        <v>100.65890506233539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19.465680000000017</v>
      </c>
      <c r="D37" s="12">
        <f t="shared" si="32"/>
        <v>6.3496628413835543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199.27633070541708</v>
      </c>
      <c r="H37" s="70">
        <f t="shared" si="1"/>
        <v>338.29505544874303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74.666349571117792</v>
      </c>
      <c r="T37" s="62">
        <f t="shared" si="34"/>
        <v>434.53418368205706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93.955109190065215</v>
      </c>
      <c r="AA37" s="23">
        <f>EXP(-LN(2)/25)*AA36+(1-EXP(-LN(2)/25))/(LN(2)/25)*Calculateur!V37*Calculateur!X37*VLOOKUP('Données projet'!$B$9,Paramètres!$A$1:$I$89,3,0)*0.475*44/12</f>
        <v>4.6166759953751049</v>
      </c>
      <c r="AB37" s="23">
        <f>EXP(-LN(2)/2)*AB36+(1-EXP(-LN(2)/2))/(LN(2)/2)*V37*Y37*VLOOKUP('Données projet'!$B$9,Paramètres!$A$1:$I$89,3,0)*0.475*44/12</f>
        <v>5.5206690959078007E-2</v>
      </c>
      <c r="AC37" s="24">
        <f t="shared" si="3"/>
        <v>98.626991876399401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20.038200000000018</v>
      </c>
      <c r="D38" s="12">
        <f t="shared" si="32"/>
        <v>6.5143999482774753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204.96743819722977</v>
      </c>
      <c r="H38" s="70">
        <f t="shared" si="1"/>
        <v>339.57911157658327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74.666349571117792</v>
      </c>
      <c r="T38" s="62">
        <f t="shared" si="34"/>
        <v>434.53418368205706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92.112706805806056</v>
      </c>
      <c r="AA38" s="23">
        <f>EXP(-LN(2)/25)*AA37+(1-EXP(-LN(2)/25))/(LN(2)/25)*Calculateur!V38*Calculateur!X38*VLOOKUP('Données projet'!$B$9,Paramètres!$A$1:$I$89,3,0)*0.475*44/12</f>
        <v>4.4904327475011332</v>
      </c>
      <c r="AB38" s="23">
        <f>EXP(-LN(2)/2)*AB37+(1-EXP(-LN(2)/2))/(LN(2)/2)*V38*Y38*VLOOKUP('Données projet'!$B$9,Paramètres!$A$1:$I$89,3,0)*0.475*44/12</f>
        <v>3.9037025544034126E-2</v>
      </c>
      <c r="AC38" s="24">
        <f t="shared" si="3"/>
        <v>96.64217657885122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20.610720000000018</v>
      </c>
      <c r="D39" s="12">
        <f t="shared" si="32"/>
        <v>6.6785900179965028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210.65432294593805</v>
      </c>
      <c r="H39" s="70">
        <f t="shared" si="1"/>
        <v>340.8622149480106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74.666349571117792</v>
      </c>
      <c r="T39" s="62">
        <f t="shared" si="34"/>
        <v>434.53418368205706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90.306432808547726</v>
      </c>
      <c r="AA39" s="23">
        <f>EXP(-LN(2)/25)*AA38+(1-EXP(-LN(2)/25))/(LN(2)/25)*Calculateur!V39*Calculateur!X39*VLOOKUP('Données projet'!$B$9,Paramètres!$A$1:$I$89,3,0)*0.475*44/12</f>
        <v>4.3676416278791192</v>
      </c>
      <c r="AB39" s="23">
        <f>EXP(-LN(2)/2)*AB38+(1-EXP(-LN(2)/2))/(LN(2)/2)*V39*Y39*VLOOKUP('Données projet'!$B$9,Paramètres!$A$1:$I$89,3,0)*0.475*44/12</f>
        <v>2.7603345479539007E-2</v>
      </c>
      <c r="AC39" s="24">
        <f t="shared" si="3"/>
        <v>94.701677781906383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21.183240000000019</v>
      </c>
      <c r="D40" s="12">
        <f t="shared" si="32"/>
        <v>6.8422499917885942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216.33711572608755</v>
      </c>
      <c r="H40" s="70">
        <f t="shared" si="1"/>
        <v>342.14439506903182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74.666349571117792</v>
      </c>
      <c r="T40" s="62">
        <f t="shared" si="34"/>
        <v>434.53418368205706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88.535578742657279</v>
      </c>
      <c r="AA40" s="23">
        <f>EXP(-LN(2)/25)*AA39+(1-EXP(-LN(2)/25))/(LN(2)/25)*Calculateur!V40*Calculateur!X40*VLOOKUP('Données projet'!$B$9,Paramètres!$A$1:$I$89,3,0)*0.475*44/12</f>
        <v>4.2482082378804735</v>
      </c>
      <c r="AB40" s="23">
        <f>EXP(-LN(2)/2)*AB39+(1-EXP(-LN(2)/2))/(LN(2)/2)*V40*Y40*VLOOKUP('Données projet'!$B$9,Paramètres!$A$1:$I$89,3,0)*0.475*44/12</f>
        <v>1.9518512772017067E-2</v>
      </c>
      <c r="AC40" s="24">
        <f t="shared" si="3"/>
        <v>92.803305493309779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21.75576000000002</v>
      </c>
      <c r="D41" s="12">
        <f t="shared" si="32"/>
        <v>7.0053958430290413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222.01593984092611</v>
      </c>
      <c r="H41" s="70">
        <f t="shared" si="1"/>
        <v>343.42567975994228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74.666349571117792</v>
      </c>
      <c r="T41" s="62">
        <f t="shared" si="34"/>
        <v>434.53418368205706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86.799450044884608</v>
      </c>
      <c r="AA41" s="23">
        <f>EXP(-LN(2)/25)*AA40+(1-EXP(-LN(2)/25))/(LN(2)/25)*Calculateur!V41*Calculateur!X41*VLOOKUP('Données projet'!$B$9,Paramètres!$A$1:$I$89,3,0)*0.475*44/12</f>
        <v>4.1320407602120701</v>
      </c>
      <c r="AB41" s="23">
        <f>EXP(-LN(2)/2)*AB40+(1-EXP(-LN(2)/2))/(LN(2)/2)*V41*Y41*VLOOKUP('Données projet'!$B$9,Paramètres!$A$1:$I$89,3,0)*0.475*44/12</f>
        <v>1.3801672739769505E-2</v>
      </c>
      <c r="AC41" s="24">
        <f t="shared" si="3"/>
        <v>90.945292477836446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22.328280000000021</v>
      </c>
      <c r="D42" s="12">
        <f t="shared" si="32"/>
        <v>7.1680426565117417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227.69091173447677</v>
      </c>
      <c r="H42" s="70">
        <f t="shared" si="1"/>
        <v>344.7060952934246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74.666349571117792</v>
      </c>
      <c r="T42" s="62">
        <f t="shared" si="34"/>
        <v>434.53418368205706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85.097365771941313</v>
      </c>
      <c r="AA42" s="23">
        <f>EXP(-LN(2)/25)*AA41+(1-EXP(-LN(2)/25))/(LN(2)/25)*Calculateur!V42*Calculateur!X42*VLOOKUP('Données projet'!$B$9,Paramètres!$A$1:$I$89,3,0)*0.475*44/12</f>
        <v>4.0190498883294916</v>
      </c>
      <c r="AB42" s="23">
        <f>EXP(-LN(2)/2)*AB41+(1-EXP(-LN(2)/2))/(LN(2)/2)*V42*Y42*VLOOKUP('Données projet'!$B$9,Paramètres!$A$1:$I$89,3,0)*0.475*44/12</f>
        <v>9.7592563860085333E-3</v>
      </c>
      <c r="AC42" s="24">
        <f t="shared" si="3"/>
        <v>89.126174916656808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22.900800000000022</v>
      </c>
      <c r="D43" s="12">
        <f t="shared" si="32"/>
        <v>7.3302046993792294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233.36214153906792</v>
      </c>
      <c r="H43" s="70">
        <f t="shared" si="1"/>
        <v>345.98566651808551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74.666349571117792</v>
      </c>
      <c r="T43" s="62">
        <f t="shared" si="34"/>
        <v>434.53418368205706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83.428658333421538</v>
      </c>
      <c r="AA43" s="23">
        <f>EXP(-LN(2)/25)*AA42+(1-EXP(-LN(2)/25))/(LN(2)/25)*Calculateur!V43*Calculateur!X43*VLOOKUP('Données projet'!$B$9,Paramètres!$A$1:$I$89,3,0)*0.475*44/12</f>
        <v>3.9091487577804735</v>
      </c>
      <c r="AB43" s="23">
        <f>EXP(-LN(2)/2)*AB42+(1-EXP(-LN(2)/2))/(LN(2)/2)*V43*Y43*VLOOKUP('Données projet'!$B$9,Paramètres!$A$1:$I$89,3,0)*0.475*44/12</f>
        <v>6.9008363698847526E-3</v>
      </c>
      <c r="AC43" s="24">
        <f t="shared" si="3"/>
        <v>87.344707927571889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23.473320000000022</v>
      </c>
      <c r="D44" s="12">
        <f t="shared" si="32"/>
        <v>7.4918954847600094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239.02973356656867</v>
      </c>
      <c r="H44" s="70">
        <f t="shared" si="1"/>
        <v>347.26441696929038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74.666349571117792</v>
      </c>
      <c r="T44" s="62">
        <f t="shared" si="34"/>
        <v>434.53418368205706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81.792673229960101</v>
      </c>
      <c r="AA44" s="23">
        <f>EXP(-LN(2)/25)*AA43+(1-EXP(-LN(2)/25))/(LN(2)/25)*Calculateur!V44*Calculateur!X44*VLOOKUP('Données projet'!$B$9,Paramètres!$A$1:$I$89,3,0)*0.475*44/12</f>
        <v>3.802252879425768</v>
      </c>
      <c r="AB44" s="23">
        <f>EXP(-LN(2)/2)*AB43+(1-EXP(-LN(2)/2))/(LN(2)/2)*V44*Y44*VLOOKUP('Données projet'!$B$9,Paramètres!$A$1:$I$89,3,0)*0.475*44/12</f>
        <v>4.8796281930042667E-3</v>
      </c>
      <c r="AC44" s="24">
        <f t="shared" si="3"/>
        <v>85.599805737578876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24.045840000000023</v>
      </c>
      <c r="D45" s="12">
        <f t="shared" si="32"/>
        <v>7.6531278290226048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244.69378675035014</v>
      </c>
      <c r="H45" s="70">
        <f t="shared" si="1"/>
        <v>348.54236896888108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74.666349571117792</v>
      </c>
      <c r="T45" s="62">
        <f t="shared" si="34"/>
        <v>434.53418368205706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80.188768796525167</v>
      </c>
      <c r="AA45" s="23">
        <f>EXP(-LN(2)/25)*AA44+(1-EXP(-LN(2)/25))/(LN(2)/25)*Calculateur!V45*Calculateur!X45*VLOOKUP('Données projet'!$B$9,Paramètres!$A$1:$I$89,3,0)*0.475*44/12</f>
        <v>3.6982800744860818</v>
      </c>
      <c r="AB45" s="23">
        <f>EXP(-LN(2)/2)*AB44+(1-EXP(-LN(2)/2))/(LN(2)/2)*V45*Y45*VLOOKUP('Données projet'!$B$9,Paramètres!$A$1:$I$89,3,0)*0.475*44/12</f>
        <v>3.4504181849423763E-3</v>
      </c>
      <c r="AC45" s="24">
        <f t="shared" si="3"/>
        <v>83.890499289196185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24.618360000000024</v>
      </c>
      <c r="D46" s="12">
        <f t="shared" si="32"/>
        <v>7.813913903423181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250.35439504396868</v>
      </c>
      <c r="H46" s="70">
        <f t="shared" si="1"/>
        <v>349.8195437151287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74.666349571117792</v>
      </c>
      <c r="T46" s="62">
        <f t="shared" si="34"/>
        <v>434.53418368205706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78.616315950744777</v>
      </c>
      <c r="AA46" s="23">
        <f>EXP(-LN(2)/25)*AA45+(1-EXP(-LN(2)/25))/(LN(2)/25)*Calculateur!V46*Calculateur!X46*VLOOKUP('Données projet'!$B$9,Paramètres!$A$1:$I$89,3,0)*0.475*44/12</f>
        <v>3.5971504113651633</v>
      </c>
      <c r="AB46" s="23">
        <f>EXP(-LN(2)/2)*AB45+(1-EXP(-LN(2)/2))/(LN(2)/2)*V46*Y46*VLOOKUP('Données projet'!$B$9,Paramètres!$A$1:$I$89,3,0)*0.475*44/12</f>
        <v>2.4398140965021333E-3</v>
      </c>
      <c r="AC46" s="24">
        <f t="shared" si="3"/>
        <v>82.215906176206445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25.190880000000025</v>
      </c>
      <c r="D47" s="12">
        <f t="shared" si="32"/>
        <v>7.9742652808134213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256.01164778171784</v>
      </c>
      <c r="H47" s="70">
        <f t="shared" si="1"/>
        <v>351.09596136408339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74.666349571117792</v>
      </c>
      <c r="T47" s="62">
        <f t="shared" si="34"/>
        <v>434.53418368205706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77.074697946168612</v>
      </c>
      <c r="AA47" s="23">
        <f>EXP(-LN(2)/25)*AA46+(1-EXP(-LN(2)/25))/(LN(2)/25)*Calculateur!V47*Calculateur!X47*VLOOKUP('Données projet'!$B$9,Paramètres!$A$1:$I$89,3,0)*0.475*44/12</f>
        <v>3.4987861442004644</v>
      </c>
      <c r="AB47" s="23">
        <f>EXP(-LN(2)/2)*AB46+(1-EXP(-LN(2)/2))/(LN(2)/2)*V47*Y47*VLOOKUP('Données projet'!$B$9,Paramètres!$A$1:$I$89,3,0)*0.475*44/12</f>
        <v>1.7252090924711882E-3</v>
      </c>
      <c r="AC47" s="24">
        <f t="shared" si="3"/>
        <v>80.575209299461548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25.763400000000026</v>
      </c>
      <c r="D48" s="12">
        <f t="shared" si="32"/>
        <v>8.1341929779825097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261.66563000547922</v>
      </c>
      <c r="H48" s="70">
        <f t="shared" si="1"/>
        <v>352.37164110331958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74.666349571117792</v>
      </c>
      <c r="T48" s="62">
        <f t="shared" si="34"/>
        <v>434.53418368205706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75.563310130368052</v>
      </c>
      <c r="AA48" s="23">
        <f>EXP(-LN(2)/25)*AA47+(1-EXP(-LN(2)/25))/(LN(2)/25)*Calculateur!V48*Calculateur!X48*VLOOKUP('Données projet'!$B$9,Paramètres!$A$1:$I$89,3,0)*0.475*44/12</f>
        <v>3.4031116530941361</v>
      </c>
      <c r="AB48" s="23">
        <f>EXP(-LN(2)/2)*AB47+(1-EXP(-LN(2)/2))/(LN(2)/2)*V48*Y48*VLOOKUP('Données projet'!$B$9,Paramètres!$A$1:$I$89,3,0)*0.475*44/12</f>
        <v>1.2199070482510667E-3</v>
      </c>
      <c r="AC48" s="24">
        <f t="shared" si="3"/>
        <v>78.967641690510433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26.335920000000026</v>
      </c>
      <c r="D49" s="12">
        <f t="shared" si="32"/>
        <v>8.293707494129281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267.31642276169993</v>
      </c>
      <c r="H49" s="70">
        <f t="shared" si="1"/>
        <v>353.64660121894184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74.666349571117792</v>
      </c>
      <c r="T49" s="62">
        <f t="shared" si="34"/>
        <v>434.53418368205706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74.081559707779803</v>
      </c>
      <c r="AA49" s="23">
        <f>EXP(-LN(2)/25)*AA48+(1-EXP(-LN(2)/25))/(LN(2)/25)*Calculateur!V49*Calculateur!X49*VLOOKUP('Données projet'!$B$9,Paramètres!$A$1:$I$89,3,0)*0.475*44/12</f>
        <v>3.3100533859784131</v>
      </c>
      <c r="AB49" s="23">
        <f>EXP(-LN(2)/2)*AB48+(1-EXP(-LN(2)/2))/(LN(2)/2)*V49*Y49*VLOOKUP('Données projet'!$B$9,Paramètres!$A$1:$I$89,3,0)*0.475*44/12</f>
        <v>8.6260454623559408E-4</v>
      </c>
      <c r="AC49" s="24">
        <f t="shared" si="3"/>
        <v>77.392475698304452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26.908440000000027</v>
      </c>
      <c r="D50" s="12">
        <f t="shared" si="32"/>
        <v>8.4528188458945532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272.96410337181783</v>
      </c>
      <c r="H50" s="70">
        <f t="shared" si="1"/>
        <v>354.9208591565997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74.666349571117792</v>
      </c>
      <c r="T50" s="62">
        <f t="shared" si="34"/>
        <v>434.53418368205706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72.62886550719999</v>
      </c>
      <c r="AA50" s="23">
        <f>EXP(-LN(2)/25)*AA49+(1-EXP(-LN(2)/25))/(LN(2)/25)*Calculateur!V50*Calculateur!X50*VLOOKUP('Données projet'!$B$9,Paramètres!$A$1:$I$89,3,0)*0.475*44/12</f>
        <v>3.2195398020706909</v>
      </c>
      <c r="AB50" s="23">
        <f>EXP(-LN(2)/2)*AB49+(1-EXP(-LN(2)/2))/(LN(2)/2)*V50*Y50*VLOOKUP('Données projet'!$B$9,Paramètres!$A$1:$I$89,3,0)*0.475*44/12</f>
        <v>6.0995352412553333E-4</v>
      </c>
      <c r="AC50" s="24">
        <f t="shared" si="3"/>
        <v>75.849015262794794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27.480960000000028</v>
      </c>
      <c r="D51" s="12">
        <f t="shared" si="32"/>
        <v>8.6115365993279305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278.60874567902283</v>
      </c>
      <c r="H51" s="70">
        <f t="shared" si="1"/>
        <v>356.19443157716285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74.666349571117792</v>
      </c>
      <c r="T51" s="62">
        <f t="shared" si="34"/>
        <v>434.53418368205706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71.204657753837566</v>
      </c>
      <c r="AA51" s="23">
        <f>EXP(-LN(2)/25)*AA50+(1-EXP(-LN(2)/25))/(LN(2)/25)*Calculateur!V51*Calculateur!X51*VLOOKUP('Données projet'!$B$9,Paramètres!$A$1:$I$89,3,0)*0.475*44/12</f>
        <v>3.1315013168748282</v>
      </c>
      <c r="AB51" s="23">
        <f>EXP(-LN(2)/2)*AB50+(1-EXP(-LN(2)/2))/(LN(2)/2)*V51*Y51*VLOOKUP('Données projet'!$B$9,Paramètres!$A$1:$I$89,3,0)*0.475*44/12</f>
        <v>4.3130227311779704E-4</v>
      </c>
      <c r="AC51" s="24">
        <f t="shared" si="3"/>
        <v>74.336590372985512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28.053480000000029</v>
      </c>
      <c r="D52" s="12">
        <f t="shared" si="32"/>
        <v>8.7698698991154274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284.25042027387371</v>
      </c>
      <c r="H52" s="70">
        <f t="shared" si="1"/>
        <v>357.46733440762608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74.666349571117792</v>
      </c>
      <c r="T52" s="62">
        <f t="shared" si="34"/>
        <v>434.53418368205706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69.808377845837626</v>
      </c>
      <c r="AA52" s="23">
        <f>EXP(-LN(2)/25)*AA51+(1-EXP(-LN(2)/25))/(LN(2)/25)*Calculateur!V52*Calculateur!X52*VLOOKUP('Données projet'!$B$9,Paramètres!$A$1:$I$89,3,0)*0.475*44/12</f>
        <v>3.0458702486863891</v>
      </c>
      <c r="AB52" s="23">
        <f>EXP(-LN(2)/2)*AB51+(1-EXP(-LN(2)/2))/(LN(2)/2)*V52*Y52*VLOOKUP('Données projet'!$B$9,Paramètres!$A$1:$I$89,3,0)*0.475*44/12</f>
        <v>3.0497676206276667E-4</v>
      </c>
      <c r="AC52" s="24">
        <f t="shared" si="3"/>
        <v>72.854553071286077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28.62600000000003</v>
      </c>
      <c r="D53" s="12">
        <f t="shared" si="32"/>
        <v>8.9278274953538475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289.88919470097733</v>
      </c>
      <c r="H53" s="70">
        <f t="shared" si="1"/>
        <v>358.73958288774134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74.666349571117792</v>
      </c>
      <c r="T53" s="62">
        <f t="shared" si="34"/>
        <v>434.53418368205706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68.439478135186917</v>
      </c>
      <c r="AA53" s="23">
        <f>EXP(-LN(2)/25)*AA52+(1-EXP(-LN(2)/25))/(LN(2)/25)*Calculateur!V53*Calculateur!X53*VLOOKUP('Données projet'!$B$9,Paramètres!$A$1:$I$89,3,0)*0.475*44/12</f>
        <v>2.9625807665607047</v>
      </c>
      <c r="AB53" s="23">
        <f>EXP(-LN(2)/2)*AB52+(1-EXP(-LN(2)/2))/(LN(2)/2)*V53*Y53*VLOOKUP('Données projet'!$B$9,Paramètres!$A$1:$I$89,3,0)*0.475*44/12</f>
        <v>2.1565113655889852E-4</v>
      </c>
      <c r="AC53" s="24">
        <f t="shared" si="3"/>
        <v>71.40227455288418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29.19852000000003</v>
      </c>
      <c r="D54" s="12">
        <f t="shared" si="32"/>
        <v>9.085417768122694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295.52513364866667</v>
      </c>
      <c r="H54" s="70">
        <f t="shared" si="1"/>
        <v>360.01119161281372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74.666349571117792</v>
      </c>
      <c r="T54" s="62">
        <f t="shared" si="34"/>
        <v>434.53418368205706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67.09742171291569</v>
      </c>
      <c r="AA54" s="23">
        <f>EXP(-LN(2)/25)*AA53+(1-EXP(-LN(2)/25))/(LN(2)/25)*Calculateur!V54*Calculateur!X54*VLOOKUP('Données projet'!$B$9,Paramètres!$A$1:$I$89,3,0)*0.475*44/12</f>
        <v>2.8815688397037507</v>
      </c>
      <c r="AB54" s="23">
        <f>EXP(-LN(2)/2)*AB53+(1-EXP(-LN(2)/2))/(LN(2)/2)*V54*Y54*VLOOKUP('Données projet'!$B$9,Paramètres!$A$1:$I$89,3,0)*0.475*44/12</f>
        <v>1.5248838103138333E-4</v>
      </c>
      <c r="AC54" s="24">
        <f t="shared" si="3"/>
        <v>69.979143041000469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29.771040000000031</v>
      </c>
      <c r="D55" s="12">
        <f t="shared" si="32"/>
        <v>9.2426487500743892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301.15829912338148</v>
      </c>
      <c r="H55" s="70">
        <f t="shared" si="1"/>
        <v>361.28217457304629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74.666349571117792</v>
      </c>
      <c r="T55" s="62">
        <f t="shared" si="34"/>
        <v>434.53418368205706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65.781682198511618</v>
      </c>
      <c r="AA55" s="23">
        <f>EXP(-LN(2)/25)*AA54+(1-EXP(-LN(2)/25))/(LN(2)/25)*Calculateur!V55*Calculateur!X55*VLOOKUP('Données projet'!$B$9,Paramètres!$A$1:$I$89,3,0)*0.475*44/12</f>
        <v>2.8027721882469323</v>
      </c>
      <c r="AB55" s="23">
        <f>EXP(-LN(2)/2)*AB54+(1-EXP(-LN(2)/2))/(LN(2)/2)*V55*Y55*VLOOKUP('Données projet'!$B$9,Paramètres!$A$1:$I$89,3,0)*0.475*44/12</f>
        <v>1.0782556827944926E-4</v>
      </c>
      <c r="AC55" s="24">
        <f t="shared" si="3"/>
        <v>68.58456221232683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30.343560000000032</v>
      </c>
      <c r="D56" s="12">
        <f t="shared" si="32"/>
        <v>9.3995281472377208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306.78875061025639</v>
      </c>
      <c r="H56" s="70">
        <f t="shared" si="1"/>
        <v>362.55254518977239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74.666349571117792</v>
      </c>
      <c r="T56" s="62">
        <f t="shared" si="34"/>
        <v>434.53418368205706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64.491743533463136</v>
      </c>
      <c r="AA56" s="23">
        <f>EXP(-LN(2)/25)*AA55+(1-EXP(-LN(2)/25))/(LN(2)/25)*Calculateur!V56*Calculateur!X56*VLOOKUP('Données projet'!$B$9,Paramètres!$A$1:$I$89,3,0)*0.475*44/12</f>
        <v>2.7261302353679362</v>
      </c>
      <c r="AB56" s="23">
        <f>EXP(-LN(2)/2)*AB55+(1-EXP(-LN(2)/2))/(LN(2)/2)*V56*Y56*VLOOKUP('Données projet'!$B$9,Paramètres!$A$1:$I$89,3,0)*0.475*44/12</f>
        <v>7.6244190515691666E-5</v>
      </c>
      <c r="AC56" s="24">
        <f t="shared" si="3"/>
        <v>67.217950013021579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30.916080000000033</v>
      </c>
      <c r="D57" s="12">
        <f t="shared" si="32"/>
        <v>9.5560633582067354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312.4165452212452</v>
      </c>
      <c r="H57" s="70">
        <f t="shared" si="1"/>
        <v>363.82231634887677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74.666349571117792</v>
      </c>
      <c r="T57" s="62">
        <f t="shared" si="34"/>
        <v>434.53418368205706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63.227099778851361</v>
      </c>
      <c r="AA57" s="23">
        <f>EXP(-LN(2)/25)*AA56+(1-EXP(-LN(2)/25))/(LN(2)/25)*Calculateur!V57*Calculateur!X57*VLOOKUP('Données projet'!$B$9,Paramètres!$A$1:$I$89,3,0)*0.475*44/12</f>
        <v>2.6515840607208414</v>
      </c>
      <c r="AB57" s="23">
        <f>EXP(-LN(2)/2)*AB56+(1-EXP(-LN(2)/2))/(LN(2)/2)*V57*Y57*VLOOKUP('Données projet'!$B$9,Paramètres!$A$1:$I$89,3,0)*0.475*44/12</f>
        <v>5.391278413972463E-5</v>
      </c>
      <c r="AC57" s="24">
        <f t="shared" si="3"/>
        <v>65.878737752356344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31.488600000000034</v>
      </c>
      <c r="D58" s="12">
        <f t="shared" si="32"/>
        <v>9.7122614918681229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318.04173783196467</v>
      </c>
      <c r="H58" s="70">
        <f t="shared" si="1"/>
        <v>365.09150043167034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74.666349571117792</v>
      </c>
      <c r="T58" s="62">
        <f t="shared" si="34"/>
        <v>434.53418368205706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61.987254916910999</v>
      </c>
      <c r="AA58" s="23">
        <f>EXP(-LN(2)/25)*AA57+(1-EXP(-LN(2)/25))/(LN(2)/25)*Calculateur!V58*Calculateur!X58*VLOOKUP('Données projet'!$B$9,Paramètres!$A$1:$I$89,3,0)*0.475*44/12</f>
        <v>2.5790763551396845</v>
      </c>
      <c r="AB58" s="23">
        <f>EXP(-LN(2)/2)*AB57+(1-EXP(-LN(2)/2))/(LN(2)/2)*V58*Y58*VLOOKUP('Données projet'!$B$9,Paramètres!$A$1:$I$89,3,0)*0.475*44/12</f>
        <v>3.8122095257845833E-5</v>
      </c>
      <c r="AC58" s="24">
        <f t="shared" si="3"/>
        <v>64.566369394145951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32.061120000000031</v>
      </c>
      <c r="D59" s="12">
        <f t="shared" si="32"/>
        <v>9.8681293838027937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323.66438120830259</v>
      </c>
      <c r="H59" s="70">
        <f t="shared" si="1"/>
        <v>366.36010934345654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74.666349571117792</v>
      </c>
      <c r="T59" s="62">
        <f t="shared" si="34"/>
        <v>434.53418368205706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60.771722656482595</v>
      </c>
      <c r="AA59" s="23">
        <f>EXP(-LN(2)/25)*AA58+(1-EXP(-LN(2)/25))/(LN(2)/25)*Calculateur!V59*Calculateur!X59*VLOOKUP('Données projet'!$B$9,Paramètres!$A$1:$I$89,3,0)*0.475*44/12</f>
        <v>2.5085513765806589</v>
      </c>
      <c r="AB59" s="23">
        <f>EXP(-LN(2)/2)*AB58+(1-EXP(-LN(2)/2))/(LN(2)/2)*V59*Y59*VLOOKUP('Données projet'!$B$9,Paramètres!$A$1:$I$89,3,0)*0.475*44/12</f>
        <v>2.6956392069862315E-5</v>
      </c>
      <c r="AC59" s="24">
        <f t="shared" si="3"/>
        <v>63.28030098945532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32.633640000000028</v>
      </c>
      <c r="D60" s="12">
        <f t="shared" si="32"/>
        <v>10.023673611482744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329.28452612372666</v>
      </c>
      <c r="H60" s="70">
        <f t="shared" si="1"/>
        <v>367.62815453999912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74.666349571117792</v>
      </c>
      <c r="T60" s="62">
        <f t="shared" si="34"/>
        <v>434.53418368205706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59.580026242279722</v>
      </c>
      <c r="AA60" s="23">
        <f>EXP(-LN(2)/25)*AA59+(1-EXP(-LN(2)/25))/(LN(2)/25)*Calculateur!V60*Calculateur!X60*VLOOKUP('Données projet'!$B$9,Paramètres!$A$1:$I$89,3,0)*0.475*44/12</f>
        <v>2.4399549072690774</v>
      </c>
      <c r="AB60" s="23">
        <f>EXP(-LN(2)/2)*AB59+(1-EXP(-LN(2)/2))/(LN(2)/2)*V60*Y60*VLOOKUP('Données projet'!$B$9,Paramètres!$A$1:$I$89,3,0)*0.475*44/12</f>
        <v>1.9061047628922917E-5</v>
      </c>
      <c r="AC60" s="24">
        <f t="shared" si="3"/>
        <v>62.020000210596429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33.206160000000025</v>
      </c>
      <c r="D61" s="12">
        <f t="shared" si="32"/>
        <v>10.178900508371349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334.90222146812994</v>
      </c>
      <c r="H61" s="70">
        <f t="shared" si="1"/>
        <v>368.89564705208011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74.666349571117792</v>
      </c>
      <c r="T61" s="62">
        <f t="shared" si="34"/>
        <v>434.53418368205706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58.411698267896327</v>
      </c>
      <c r="AA61" s="23">
        <f>EXP(-LN(2)/25)*AA60+(1-EXP(-LN(2)/25))/(LN(2)/25)*Calculateur!V61*Calculateur!X61*VLOOKUP('Données projet'!$B$9,Paramètres!$A$1:$I$89,3,0)*0.475*44/12</f>
        <v>2.3732342120181524</v>
      </c>
      <c r="AB61" s="23">
        <f>EXP(-LN(2)/2)*AB60+(1-EXP(-LN(2)/2))/(LN(2)/2)*V61*Y61*VLOOKUP('Données projet'!$B$9,Paramètres!$A$1:$I$89,3,0)*0.475*44/12</f>
        <v>1.3478196034931157E-5</v>
      </c>
      <c r="AC61" s="24">
        <f t="shared" si="3"/>
        <v>60.784945958110519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33.778680000000023</v>
      </c>
      <c r="D62" s="12">
        <f t="shared" si="32"/>
        <v>10.333816177023609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340.51751434895436</v>
      </c>
      <c r="H62" s="70">
        <f t="shared" si="1"/>
        <v>370.16259750831614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74.666349571117792</v>
      </c>
      <c r="T62" s="62">
        <f t="shared" si="34"/>
        <v>434.53418368205706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57.266280492480888</v>
      </c>
      <c r="AA62" s="23">
        <f>EXP(-LN(2)/25)*AA61+(1-EXP(-LN(2)/25))/(LN(2)/25)*Calculateur!V62*Calculateur!X62*VLOOKUP('Données projet'!$B$9,Paramètres!$A$1:$I$89,3,0)*0.475*44/12</f>
        <v>2.3083379976875529</v>
      </c>
      <c r="AB62" s="23">
        <f>EXP(-LN(2)/2)*AB61+(1-EXP(-LN(2)/2))/(LN(2)/2)*V62*Y62*VLOOKUP('Données projet'!$B$9,Paramètres!$A$1:$I$89,3,0)*0.475*44/12</f>
        <v>9.5305238144614583E-6</v>
      </c>
      <c r="AC62" s="24">
        <f t="shared" si="3"/>
        <v>59.574628020692252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34.35120000000002</v>
      </c>
      <c r="D63" s="12">
        <f t="shared" si="32"/>
        <v>10.488426501273121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346.1304501852664</v>
      </c>
      <c r="H63" s="70">
        <f t="shared" si="1"/>
        <v>371.42901615638402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74.666349571117792</v>
      </c>
      <c r="T63" s="62">
        <f t="shared" si="34"/>
        <v>434.53418368205706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56.143323661005489</v>
      </c>
      <c r="AA63" s="23">
        <f>EXP(-LN(2)/25)*AA62+(1-EXP(-LN(2)/25))/(LN(2)/25)*Calculateur!V63*Calculateur!X63*VLOOKUP('Données projet'!$B$9,Paramètres!$A$1:$I$89,3,0)*0.475*44/12</f>
        <v>2.245216373750567</v>
      </c>
      <c r="AB63" s="23">
        <f>EXP(-LN(2)/2)*AB62+(1-EXP(-LN(2)/2))/(LN(2)/2)*V63*Y63*VLOOKUP('Données projet'!$B$9,Paramètres!$A$1:$I$89,3,0)*0.475*44/12</f>
        <v>6.7390980174655787E-6</v>
      </c>
      <c r="AC63" s="24">
        <f t="shared" si="3"/>
        <v>58.388546773854074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34.923720000000017</v>
      </c>
      <c r="D64" s="12">
        <f t="shared" si="32"/>
        <v>10.642737157583532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351.7410727953818</v>
      </c>
      <c r="H64" s="70">
        <f t="shared" si="1"/>
        <v>372.6949128827913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74.666349571117792</v>
      </c>
      <c r="T64" s="62">
        <f t="shared" si="34"/>
        <v>434.53418368205706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55.042387328059284</v>
      </c>
      <c r="AA64" s="23">
        <f>EXP(-LN(2)/25)*AA63+(1-EXP(-LN(2)/25))/(LN(2)/25)*Calculateur!V64*Calculateur!X64*VLOOKUP('Données projet'!$B$9,Paramètres!$A$1:$I$89,3,0)*0.475*44/12</f>
        <v>2.1838208139395601</v>
      </c>
      <c r="AB64" s="23">
        <f>EXP(-LN(2)/2)*AB63+(1-EXP(-LN(2)/2))/(LN(2)/2)*V64*Y64*VLOOKUP('Données projet'!$B$9,Paramètres!$A$1:$I$89,3,0)*0.475*44/12</f>
        <v>4.7652619072307292E-6</v>
      </c>
      <c r="AC64" s="24">
        <f t="shared" si="3"/>
        <v>57.226212907260752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35.496240000000014</v>
      </c>
      <c r="D65" s="12">
        <f t="shared" si="32"/>
        <v>10.796753625634583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357.34942447858288</v>
      </c>
      <c r="H65" s="70">
        <f t="shared" si="1"/>
        <v>373.96029723131358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74.666349571117792</v>
      </c>
      <c r="T65" s="62">
        <f t="shared" si="34"/>
        <v>434.53418368205706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53.9630396850973</v>
      </c>
      <c r="AA65" s="23">
        <f>EXP(-LN(2)/25)*AA64+(1-EXP(-LN(2)/25))/(LN(2)/25)*Calculateur!V65*Calculateur!X65*VLOOKUP('Données projet'!$B$9,Paramètres!$A$1:$I$89,3,0)*0.475*44/12</f>
        <v>2.1241041189402372</v>
      </c>
      <c r="AB65" s="23">
        <f>EXP(-LN(2)/2)*AB64+(1-EXP(-LN(2)/2))/(LN(2)/2)*V65*Y65*VLOOKUP('Données projet'!$B$9,Paramètres!$A$1:$I$89,3,0)*0.475*44/12</f>
        <v>3.3695490087327894E-6</v>
      </c>
      <c r="AC65" s="24">
        <f t="shared" si="3"/>
        <v>56.087147173586544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36.068760000000012</v>
      </c>
      <c r="D66" s="12">
        <f t="shared" si="32"/>
        <v>10.950481198205729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362.95554609141277</v>
      </c>
      <c r="H66" s="70">
        <f t="shared" si="1"/>
        <v>375.22517842020829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74.666349571117792</v>
      </c>
      <c r="T66" s="62">
        <f t="shared" si="34"/>
        <v>434.53418368205706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52.904857391076739</v>
      </c>
      <c r="AA66" s="23">
        <f>EXP(-LN(2)/25)*AA65+(1-EXP(-LN(2)/25))/(LN(2)/25)*Calculateur!V66*Calculateur!X66*VLOOKUP('Données projet'!$B$9,Paramètres!$A$1:$I$89,3,0)*0.475*44/12</f>
        <v>2.0660203801060355</v>
      </c>
      <c r="AB66" s="23">
        <f>EXP(-LN(2)/2)*AB65+(1-EXP(-LN(2)/2))/(LN(2)/2)*V66*Y66*VLOOKUP('Données projet'!$B$9,Paramètres!$A$1:$I$89,3,0)*0.475*44/12</f>
        <v>2.3826309536153646E-6</v>
      </c>
      <c r="AC66" s="24">
        <f t="shared" si="3"/>
        <v>54.970880153813724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36.641280000000009</v>
      </c>
      <c r="D67" s="12">
        <f t="shared" si="32"/>
        <v>11.103924990414537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368.55947711898949</v>
      </c>
      <c r="H67" s="70">
        <f t="shared" si="1"/>
        <v>376.4895653583053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74.666349571117792</v>
      </c>
      <c r="T67" s="62">
        <f t="shared" si="34"/>
        <v>434.53418368205706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51.867425406414455</v>
      </c>
      <c r="AA67" s="23">
        <f>EXP(-LN(2)/25)*AA66+(1-EXP(-LN(2)/25))/(LN(2)/25)*Calculateur!V67*Calculateur!X67*VLOOKUP('Données projet'!$B$9,Paramètres!$A$1:$I$89,3,0)*0.475*44/12</f>
        <v>2.0095249441647463</v>
      </c>
      <c r="AB67" s="23">
        <f>EXP(-LN(2)/2)*AB66+(1-EXP(-LN(2)/2))/(LN(2)/2)*V67*Y67*VLOOKUP('Données projet'!$B$9,Paramètres!$A$1:$I$89,3,0)*0.475*44/12</f>
        <v>1.6847745043663947E-6</v>
      </c>
      <c r="AC67" s="24">
        <f t="shared" si="3"/>
        <v>53.876952035353703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37.213800000000006</v>
      </c>
      <c r="D68" s="12">
        <f t="shared" si="32"/>
        <v>11.257089948361209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374.16125574173572</v>
      </c>
      <c r="H68" s="70">
        <f t="shared" ref="H68:H131" si="56">(B68+E68+F68)*44/12+(C68+D68)*0.475*44/12</f>
        <v>377.75346666006243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74.666349571117792</v>
      </c>
      <c r="T68" s="62">
        <f t="shared" si="34"/>
        <v>434.53418368205706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50.850336830200369</v>
      </c>
      <c r="AA68" s="23">
        <f>EXP(-LN(2)/25)*AA67+(1-EXP(-LN(2)/25))/(LN(2)/25)*Calculateur!V68*Calculateur!X68*VLOOKUP('Données projet'!$B$9,Paramètres!$A$1:$I$89,3,0)*0.475*44/12</f>
        <v>1.9545743788902372</v>
      </c>
      <c r="AB68" s="23">
        <f>EXP(-LN(2)/2)*AB67+(1-EXP(-LN(2)/2))/(LN(2)/2)*V68*Y68*VLOOKUP('Données projet'!$B$9,Paramètres!$A$1:$I$89,3,0)*0.475*44/12</f>
        <v>1.1913154768076823E-6</v>
      </c>
      <c r="AC68" s="24">
        <f t="shared" ref="AC68:AC131" si="57">SUM(Z68:AB68)</f>
        <v>52.804912400406081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37.786320000000003</v>
      </c>
      <c r="D69" s="12">
        <f t="shared" ref="D69:D132" si="86">IFERROR(EXP(-1.0587+0.8836*LN(C69)+0.284),0)</f>
        <v>11.409980857226079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379.76091889788563</v>
      </c>
      <c r="H69" s="70">
        <f t="shared" si="56"/>
        <v>379.01689065966872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74.666349571117792</v>
      </c>
      <c r="T69" s="62">
        <f t="shared" ref="T69:T132" si="88">$T$3</f>
        <v>434.53418368205706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49.853192740603063</v>
      </c>
      <c r="AA69" s="23">
        <f>EXP(-LN(2)/25)*AA68+(1-EXP(-LN(2)/25))/(LN(2)/25)*Calculateur!V69*Calculateur!X69*VLOOKUP('Données projet'!$B$9,Paramètres!$A$1:$I$89,3,0)*0.475*44/12</f>
        <v>1.9011264397128844</v>
      </c>
      <c r="AB69" s="23">
        <f>EXP(-LN(2)/2)*AB68+(1-EXP(-LN(2)/2))/(LN(2)/2)*V69*Y69*VLOOKUP('Données projet'!$B$9,Paramètres!$A$1:$I$89,3,0)*0.475*44/12</f>
        <v>8.4238725218319734E-7</v>
      </c>
      <c r="AC69" s="24">
        <f t="shared" si="57"/>
        <v>51.754320022703197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38.358840000000001</v>
      </c>
      <c r="D70" s="12">
        <f t="shared" si="86"/>
        <v>11.562602348862415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385.35850234209579</v>
      </c>
      <c r="H70" s="70">
        <f t="shared" si="56"/>
        <v>380.27984542426867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74.666349571117792</v>
      </c>
      <c r="T70" s="62">
        <f t="shared" si="88"/>
        <v>434.53418368205706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48.875602038404921</v>
      </c>
      <c r="AA70" s="23">
        <f>EXP(-LN(2)/25)*AA69+(1-EXP(-LN(2)/25))/(LN(2)/25)*Calculateur!V70*Calculateur!X70*VLOOKUP('Données projet'!$B$9,Paramètres!$A$1:$I$89,3,0)*0.475*44/12</f>
        <v>1.8491400372430413</v>
      </c>
      <c r="AB70" s="23">
        <f>EXP(-LN(2)/2)*AB69+(1-EXP(-LN(2)/2))/(LN(2)/2)*V70*Y70*VLOOKUP('Données projet'!$B$9,Paramètres!$A$1:$I$89,3,0)*0.475*44/12</f>
        <v>5.9565773840384114E-7</v>
      </c>
      <c r="AC70" s="24">
        <f t="shared" si="57"/>
        <v>50.724742671305698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38.931359999999998</v>
      </c>
      <c r="D71" s="12">
        <f t="shared" si="86"/>
        <v>11.714958908923073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390.95404070045879</v>
      </c>
      <c r="H71" s="70">
        <f t="shared" si="56"/>
        <v>381.54233876637431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74.666349571117792</v>
      </c>
      <c r="T71" s="62">
        <f t="shared" si="88"/>
        <v>434.53418368205706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47.917181293605438</v>
      </c>
      <c r="AA71" s="23">
        <f>EXP(-LN(2)/25)*AA70+(1-EXP(-LN(2)/25))/(LN(2)/25)*Calculateur!V71*Calculateur!X71*VLOOKUP('Données projet'!$B$9,Paramètres!$A$1:$I$89,3,0)*0.475*44/12</f>
        <v>1.7985752056825821</v>
      </c>
      <c r="AB71" s="23">
        <f>EXP(-LN(2)/2)*AB70+(1-EXP(-LN(2)/2))/(LN(2)/2)*V71*Y71*VLOOKUP('Données projet'!$B$9,Paramètres!$A$1:$I$89,3,0)*0.475*44/12</f>
        <v>4.2119362609159867E-7</v>
      </c>
      <c r="AC71" s="24">
        <f t="shared" si="57"/>
        <v>49.715756920481645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39.503879999999995</v>
      </c>
      <c r="D72" s="12">
        <f t="shared" si="86"/>
        <v>11.867054883555944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396.54756752218623</v>
      </c>
      <c r="H72" s="70">
        <f t="shared" si="56"/>
        <v>382.80437825552656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74.666349571117792</v>
      </c>
      <c r="T72" s="62">
        <f t="shared" si="88"/>
        <v>434.53418368205706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46.977554595032537</v>
      </c>
      <c r="AA72" s="23">
        <f>EXP(-LN(2)/25)*AA71+(1-EXP(-LN(2)/25))/(LN(2)/25)*Calculateur!V72*Calculateur!X72*VLOOKUP('Données projet'!$B$9,Paramètres!$A$1:$I$89,3,0)*0.475*44/12</f>
        <v>1.7493930721002324</v>
      </c>
      <c r="AB72" s="23">
        <f>EXP(-LN(2)/2)*AB71+(1-EXP(-LN(2)/2))/(LN(2)/2)*V72*Y72*VLOOKUP('Données projet'!$B$9,Paramètres!$A$1:$I$89,3,0)*0.475*44/12</f>
        <v>2.9782886920192057E-7</v>
      </c>
      <c r="AC72" s="24">
        <f t="shared" si="57"/>
        <v>48.726947964961639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40.076399999999992</v>
      </c>
      <c r="D73" s="12">
        <f t="shared" si="86"/>
        <v>12.01889448570034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402.13911532821317</v>
      </c>
      <c r="H73" s="70">
        <f t="shared" si="56"/>
        <v>384.06597122926138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74.666349571117792</v>
      </c>
      <c r="T73" s="62">
        <f t="shared" si="88"/>
        <v>434.53418368205706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46.056353402902957</v>
      </c>
      <c r="AA73" s="23">
        <f>EXP(-LN(2)/25)*AA72+(1-EXP(-LN(2)/25))/(LN(2)/25)*Calculateur!V73*Calculateur!X73*VLOOKUP('Données projet'!$B$9,Paramètres!$A$1:$I$89,3,0)*0.475*44/12</f>
        <v>1.7015558265470683</v>
      </c>
      <c r="AB73" s="23">
        <f>EXP(-LN(2)/2)*AB72+(1-EXP(-LN(2)/2))/(LN(2)/2)*V73*Y73*VLOOKUP('Données projet'!$B$9,Paramètres!$A$1:$I$89,3,0)*0.475*44/12</f>
        <v>2.1059681304579934E-7</v>
      </c>
      <c r="AC73" s="24">
        <f t="shared" si="57"/>
        <v>47.757909440046845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40.64891999999999</v>
      </c>
      <c r="D74" s="12">
        <f t="shared" si="86"/>
        <v>12.170481801013304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407.72871565694476</v>
      </c>
      <c r="H74" s="70">
        <f t="shared" si="56"/>
        <v>385.32712480343145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74.666349571117792</v>
      </c>
      <c r="T74" s="62">
        <f t="shared" si="88"/>
        <v>434.53418368205706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45.153216404273792</v>
      </c>
      <c r="AA74" s="23">
        <f>EXP(-LN(2)/25)*AA73+(1-EXP(-LN(2)/25))/(LN(2)/25)*Calculateur!V74*Calculateur!X74*VLOOKUP('Données projet'!$B$9,Paramètres!$A$1:$I$89,3,0)*0.475*44/12</f>
        <v>1.6550266929892068</v>
      </c>
      <c r="AB74" s="23">
        <f>EXP(-LN(2)/2)*AB73+(1-EXP(-LN(2)/2))/(LN(2)/2)*V74*Y74*VLOOKUP('Données projet'!$B$9,Paramètres!$A$1:$I$89,3,0)*0.475*44/12</f>
        <v>1.4891443460096029E-7</v>
      </c>
      <c r="AC74" s="24">
        <f t="shared" si="57"/>
        <v>46.80824324617744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41.221439999999987</v>
      </c>
      <c r="D75" s="12">
        <f t="shared" si="86"/>
        <v>12.321820793452531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413.31639910735277</v>
      </c>
      <c r="H75" s="70">
        <f t="shared" si="56"/>
        <v>386.58784588192975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74.666349571117792</v>
      </c>
      <c r="T75" s="62">
        <f t="shared" si="88"/>
        <v>434.53418368205706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44.267789371328568</v>
      </c>
      <c r="AA75" s="23">
        <f>EXP(-LN(2)/25)*AA74+(1-EXP(-LN(2)/25))/(LN(2)/25)*Calculateur!V75*Calculateur!X75*VLOOKUP('Données projet'!$B$9,Paramètres!$A$1:$I$89,3,0)*0.475*44/12</f>
        <v>1.6097699010353457</v>
      </c>
      <c r="AB75" s="23">
        <f>EXP(-LN(2)/2)*AB74+(1-EXP(-LN(2)/2))/(LN(2)/2)*V75*Y75*VLOOKUP('Données projet'!$B$9,Paramètres!$A$1:$I$89,3,0)*0.475*44/12</f>
        <v>1.0529840652289967E-7</v>
      </c>
      <c r="AC75" s="24">
        <f t="shared" si="57"/>
        <v>45.877559377662315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41.793959999999984</v>
      </c>
      <c r="D76" s="12">
        <f t="shared" si="86"/>
        <v>12.472915310540367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418.90219537960974</v>
      </c>
      <c r="H76" s="70">
        <f t="shared" si="56"/>
        <v>387.84814116585773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74.666349571117792</v>
      </c>
      <c r="T76" s="62">
        <f t="shared" si="88"/>
        <v>434.53418368205706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43.399725022442233</v>
      </c>
      <c r="AA76" s="23">
        <f>EXP(-LN(2)/25)*AA75+(1-EXP(-LN(2)/25))/(LN(2)/25)*Calculateur!V76*Calculateur!X76*VLOOKUP('Données projet'!$B$9,Paramètres!$A$1:$I$89,3,0)*0.475*44/12</f>
        <v>1.5657506584374141</v>
      </c>
      <c r="AB76" s="23">
        <f>EXP(-LN(2)/2)*AB75+(1-EXP(-LN(2)/2))/(LN(2)/2)*V76*Y76*VLOOKUP('Données projet'!$B$9,Paramètres!$A$1:$I$89,3,0)*0.475*44/12</f>
        <v>7.4457217300480143E-8</v>
      </c>
      <c r="AC76" s="24">
        <f t="shared" si="57"/>
        <v>44.965475755336868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42.366479999999981</v>
      </c>
      <c r="D77" s="12">
        <f t="shared" si="86"/>
        <v>12.623769088331139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424.48613331343319</v>
      </c>
      <c r="H77" s="70">
        <f t="shared" si="56"/>
        <v>389.10801716217668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74.666349571117792</v>
      </c>
      <c r="T77" s="62">
        <f t="shared" si="88"/>
        <v>434.53418368205706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42.548682885970592</v>
      </c>
      <c r="AA77" s="23">
        <f>EXP(-LN(2)/25)*AA76+(1-EXP(-LN(2)/25))/(LN(2)/25)*Calculateur!V77*Calculateur!X77*VLOOKUP('Données projet'!$B$9,Paramètres!$A$1:$I$89,3,0)*0.475*44/12</f>
        <v>1.5229351243431946</v>
      </c>
      <c r="AB77" s="23">
        <f>EXP(-LN(2)/2)*AB76+(1-EXP(-LN(2)/2))/(LN(2)/2)*V77*Y77*VLOOKUP('Données projet'!$B$9,Paramètres!$A$1:$I$89,3,0)*0.475*44/12</f>
        <v>5.2649203261449834E-8</v>
      </c>
      <c r="AC77" s="24">
        <f t="shared" si="57"/>
        <v>44.07161806296299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42.938999999999979</v>
      </c>
      <c r="D78" s="12">
        <f t="shared" si="86"/>
        <v>12.774385756102291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430.06824092429821</v>
      </c>
      <c r="H78" s="70">
        <f t="shared" si="56"/>
        <v>390.36748019187809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74.666349571117792</v>
      </c>
      <c r="T78" s="62">
        <f t="shared" si="88"/>
        <v>434.53418368205706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41.714329166710712</v>
      </c>
      <c r="AA78" s="23">
        <f>EXP(-LN(2)/25)*AA77+(1-EXP(-LN(2)/25))/(LN(2)/25)*Calculateur!V78*Calculateur!X78*VLOOKUP('Données projet'!$B$9,Paramètres!$A$1:$I$89,3,0)*0.475*44/12</f>
        <v>1.4812903832803523</v>
      </c>
      <c r="AB78" s="23">
        <f>EXP(-LN(2)/2)*AB77+(1-EXP(-LN(2)/2))/(LN(2)/2)*V78*Y78*VLOOKUP('Données projet'!$B$9,Paramètres!$A$1:$I$89,3,0)*0.475*44/12</f>
        <v>3.7228608650240072E-8</v>
      </c>
      <c r="AC78" s="24">
        <f t="shared" si="57"/>
        <v>43.195619587219674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43.511519999999976</v>
      </c>
      <c r="D79" s="12">
        <f t="shared" si="86"/>
        <v>12.924768840788325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435.6485454376641</v>
      </c>
      <c r="H79" s="70">
        <f t="shared" si="56"/>
        <v>391.62653639770627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74.666349571117792</v>
      </c>
      <c r="T79" s="62">
        <f t="shared" si="88"/>
        <v>434.53418368205706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40.896336614979994</v>
      </c>
      <c r="AA79" s="23">
        <f>EXP(-LN(2)/25)*AA78+(1-EXP(-LN(2)/25))/(LN(2)/25)*Calculateur!V79*Calculateur!X79*VLOOKUP('Données projet'!$B$9,Paramètres!$A$1:$I$89,3,0)*0.475*44/12</f>
        <v>1.4407844198518753</v>
      </c>
      <c r="AB79" s="23">
        <f>EXP(-LN(2)/2)*AB78+(1-EXP(-LN(2)/2))/(LN(2)/2)*V79*Y79*VLOOKUP('Données projet'!$B$9,Paramètres!$A$1:$I$89,3,0)*0.475*44/12</f>
        <v>2.6324601630724917E-8</v>
      </c>
      <c r="AC79" s="24">
        <f t="shared" si="57"/>
        <v>42.337121061156466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44.084039999999973</v>
      </c>
      <c r="D80" s="12">
        <f t="shared" si="86"/>
        <v>13.074921771174637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441.22707332134786</v>
      </c>
      <c r="H80" s="70">
        <f t="shared" si="56"/>
        <v>392.8851917514624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74.666349571117792</v>
      </c>
      <c r="T80" s="62">
        <f t="shared" si="88"/>
        <v>434.53418368205706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40.094384398262527</v>
      </c>
      <c r="AA80" s="23">
        <f>EXP(-LN(2)/25)*AA79+(1-EXP(-LN(2)/25))/(LN(2)/25)*Calculateur!V80*Calculateur!X80*VLOOKUP('Données projet'!$B$9,Paramètres!$A$1:$I$89,3,0)*0.475*44/12</f>
        <v>1.4013860941234662</v>
      </c>
      <c r="AB80" s="23">
        <f>EXP(-LN(2)/2)*AB79+(1-EXP(-LN(2)/2))/(LN(2)/2)*V80*Y80*VLOOKUP('Données projet'!$B$9,Paramètres!$A$1:$I$89,3,0)*0.475*44/12</f>
        <v>1.8614304325120036E-8</v>
      </c>
      <c r="AC80" s="24">
        <f t="shared" si="57"/>
        <v>41.495770511000295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44.656559999999971</v>
      </c>
      <c r="D81" s="12">
        <f t="shared" si="86"/>
        <v>13.224847881867289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446.80385031616839</v>
      </c>
      <c r="H81" s="70">
        <f t="shared" si="56"/>
        <v>394.14345206091878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74.666349571117792</v>
      </c>
      <c r="T81" s="62">
        <f t="shared" si="88"/>
        <v>434.53418368205706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39.308157975372332</v>
      </c>
      <c r="AA81" s="23">
        <f>EXP(-LN(2)/25)*AA80+(1-EXP(-LN(2)/25))/(LN(2)/25)*Calculateur!V81*Calculateur!X81*VLOOKUP('Données projet'!$B$9,Paramètres!$A$1:$I$89,3,0)*0.475*44/12</f>
        <v>1.3630651176839681</v>
      </c>
      <c r="AB81" s="23">
        <f>EXP(-LN(2)/2)*AB80+(1-EXP(-LN(2)/2))/(LN(2)/2)*V81*Y81*VLOOKUP('Données projet'!$B$9,Paramètres!$A$1:$I$89,3,0)*0.475*44/12</f>
        <v>1.3162300815362458E-8</v>
      </c>
      <c r="AC81" s="24">
        <f t="shared" si="57"/>
        <v>40.671223106218598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45.229079999999968</v>
      </c>
      <c r="D82" s="12">
        <f t="shared" si="86"/>
        <v>13.3745504170535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452.37890146497421</v>
      </c>
      <c r="H82" s="70">
        <f t="shared" si="56"/>
        <v>395.40132297636808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74.666349571117792</v>
      </c>
      <c r="T82" s="62">
        <f t="shared" si="88"/>
        <v>434.53418368205706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38.537348973084249</v>
      </c>
      <c r="AA82" s="23">
        <f>EXP(-LN(2)/25)*AA81+(1-EXP(-LN(2)/25))/(LN(2)/25)*Calculateur!V82*Calculateur!X82*VLOOKUP('Données projet'!$B$9,Paramètres!$A$1:$I$89,3,0)*0.475*44/12</f>
        <v>1.3257920303604207</v>
      </c>
      <c r="AB82" s="23">
        <f>EXP(-LN(2)/2)*AB81+(1-EXP(-LN(2)/2))/(LN(2)/2)*V82*Y82*VLOOKUP('Données projet'!$B$9,Paramètres!$A$1:$I$89,3,0)*0.475*44/12</f>
        <v>9.3071521625600179E-9</v>
      </c>
      <c r="AC82" s="24">
        <f t="shared" si="57"/>
        <v>39.863141012751818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45.801599999999965</v>
      </c>
      <c r="D83" s="12">
        <f t="shared" si="86"/>
        <v>13.524032534066192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457.95225114015983</v>
      </c>
      <c r="H83" s="70">
        <f t="shared" si="56"/>
        <v>396.65880999683185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74.666349571117792</v>
      </c>
      <c r="T83" s="62">
        <f t="shared" si="88"/>
        <v>434.53418368205706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37.781655065183969</v>
      </c>
      <c r="AA83" s="23">
        <f>EXP(-LN(2)/25)*AA82+(1-EXP(-LN(2)/25))/(LN(2)/25)*Calculateur!V83*Calculateur!X83*VLOOKUP('Données projet'!$B$9,Paramètres!$A$1:$I$89,3,0)*0.475*44/12</f>
        <v>1.2895381775698422</v>
      </c>
      <c r="AB83" s="23">
        <f>EXP(-LN(2)/2)*AB82+(1-EXP(-LN(2)/2))/(LN(2)/2)*V83*Y83*VLOOKUP('Données projet'!$B$9,Paramètres!$A$1:$I$89,3,0)*0.475*44/12</f>
        <v>6.5811504076812292E-9</v>
      </c>
      <c r="AC83" s="24">
        <f t="shared" si="57"/>
        <v>39.071193249334968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46.374119999999962</v>
      </c>
      <c r="D84" s="12">
        <f t="shared" si="86"/>
        <v>13.673297306765317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463.52392306976708</v>
      </c>
      <c r="H84" s="70">
        <f t="shared" si="56"/>
        <v>397.91591847594952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74.666349571117792</v>
      </c>
      <c r="T84" s="62">
        <f t="shared" si="88"/>
        <v>434.53418368205706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37.040779853889845</v>
      </c>
      <c r="AA84" s="23">
        <f>EXP(-LN(2)/25)*AA83+(1-EXP(-LN(2)/25))/(LN(2)/25)*Calculateur!V84*Calculateur!X84*VLOOKUP('Données projet'!$B$9,Paramètres!$A$1:$I$89,3,0)*0.475*44/12</f>
        <v>1.2542756882903294</v>
      </c>
      <c r="AB84" s="23">
        <f>EXP(-LN(2)/2)*AB83+(1-EXP(-LN(2)/2))/(LN(2)/2)*V84*Y84*VLOOKUP('Données projet'!$B$9,Paramètres!$A$1:$I$89,3,0)*0.475*44/12</f>
        <v>4.6535760812800089E-9</v>
      </c>
      <c r="AC84" s="24">
        <f t="shared" si="57"/>
        <v>38.295055546833751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46.94663999999996</v>
      </c>
      <c r="D85" s="12">
        <f t="shared" si="86"/>
        <v>13.822347728747404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469.09394036226035</v>
      </c>
      <c r="H85" s="70">
        <f t="shared" si="56"/>
        <v>399.17265362756831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74.666349571117792</v>
      </c>
      <c r="T85" s="62">
        <f t="shared" si="88"/>
        <v>434.53418368205706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36.314432753599938</v>
      </c>
      <c r="AA85" s="23">
        <f>EXP(-LN(2)/25)*AA84+(1-EXP(-LN(2)/25))/(LN(2)/25)*Calculateur!V85*Calculateur!X85*VLOOKUP('Données projet'!$B$9,Paramètres!$A$1:$I$89,3,0)*0.475*44/12</f>
        <v>1.2199774536345387</v>
      </c>
      <c r="AB85" s="23">
        <f>EXP(-LN(2)/2)*AB84+(1-EXP(-LN(2)/2))/(LN(2)/2)*V85*Y85*VLOOKUP('Données projet'!$B$9,Paramètres!$A$1:$I$89,3,0)*0.475*44/12</f>
        <v>3.2905752038406146E-9</v>
      </c>
      <c r="AC85" s="24">
        <f t="shared" si="57"/>
        <v>37.534410210525053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47.519159999999957</v>
      </c>
      <c r="D86" s="12">
        <f t="shared" si="86"/>
        <v>13.971186716394111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474.66232553005949</v>
      </c>
      <c r="H86" s="70">
        <f t="shared" si="56"/>
        <v>400.42902053105297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74.666349571117792</v>
      </c>
      <c r="T86" s="62">
        <f t="shared" si="88"/>
        <v>434.53418368205706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35.602328876918733</v>
      </c>
      <c r="AA86" s="23">
        <f>EXP(-LN(2)/25)*AA85+(1-EXP(-LN(2)/25))/(LN(2)/25)*Calculateur!V86*Calculateur!X86*VLOOKUP('Données projet'!$B$9,Paramètres!$A$1:$I$89,3,0)*0.475*44/12</f>
        <v>1.1866171060090762</v>
      </c>
      <c r="AB86" s="23">
        <f>EXP(-LN(2)/2)*AB85+(1-EXP(-LN(2)/2))/(LN(2)/2)*V86*Y86*VLOOKUP('Données projet'!$B$9,Paramètres!$A$1:$I$89,3,0)*0.475*44/12</f>
        <v>2.3267880406400045E-9</v>
      </c>
      <c r="AC86" s="24">
        <f t="shared" si="57"/>
        <v>36.788945985254593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48.091679999999954</v>
      </c>
      <c r="D87" s="12">
        <f t="shared" si="86"/>
        <v>14.119817111769642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480.2291005119057</v>
      </c>
      <c r="H87" s="70">
        <f t="shared" si="56"/>
        <v>401.685024136332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74.666349571117792</v>
      </c>
      <c r="T87" s="62">
        <f t="shared" si="88"/>
        <v>434.53418368205706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34.904188922918763</v>
      </c>
      <c r="AA87" s="23">
        <f>EXP(-LN(2)/25)*AA86+(1-EXP(-LN(2)/25))/(LN(2)/25)*Calculateur!V87*Calculateur!X87*VLOOKUP('Données projet'!$B$9,Paramètres!$A$1:$I$89,3,0)*0.475*44/12</f>
        <v>1.1541689988437764</v>
      </c>
      <c r="AB87" s="23">
        <f>EXP(-LN(2)/2)*AB86+(1-EXP(-LN(2)/2))/(LN(2)/2)*V87*Y87*VLOOKUP('Données projet'!$B$9,Paramètres!$A$1:$I$89,3,0)*0.475*44/12</f>
        <v>1.6452876019203073E-9</v>
      </c>
      <c r="AC87" s="24">
        <f t="shared" si="57"/>
        <v>36.058357923407833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48.664199999999951</v>
      </c>
      <c r="D88" s="12">
        <f t="shared" si="86"/>
        <v>14.268241685376283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485.79428669413232</v>
      </c>
      <c r="H88" s="70">
        <f t="shared" si="56"/>
        <v>402.94066926869692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74.666349571117792</v>
      </c>
      <c r="T88" s="62">
        <f t="shared" si="88"/>
        <v>434.53418368205706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34.219739067593409</v>
      </c>
      <c r="AA88" s="23">
        <f>EXP(-LN(2)/25)*AA87+(1-EXP(-LN(2)/25))/(LN(2)/25)*Calculateur!V88*Calculateur!X88*VLOOKUP('Données projet'!$B$9,Paramètres!$A$1:$I$89,3,0)*0.475*44/12</f>
        <v>1.1226081868752835</v>
      </c>
      <c r="AB88" s="23">
        <f>EXP(-LN(2)/2)*AB87+(1-EXP(-LN(2)/2))/(LN(2)/2)*V88*Y88*VLOOKUP('Données projet'!$B$9,Paramètres!$A$1:$I$89,3,0)*0.475*44/12</f>
        <v>1.1633940203200022E-9</v>
      </c>
      <c r="AC88" s="24">
        <f t="shared" si="57"/>
        <v>35.342347255632085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49.236719999999949</v>
      </c>
      <c r="D89" s="12">
        <f t="shared" si="86"/>
        <v>14.416463138776546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491.35790493090639</v>
      </c>
      <c r="H89" s="70">
        <f t="shared" si="56"/>
        <v>404.19596063336905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74.666349571117792</v>
      </c>
      <c r="T89" s="62">
        <f t="shared" si="88"/>
        <v>434.53418368205706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33.548710856457795</v>
      </c>
      <c r="AA89" s="23">
        <f>EXP(-LN(2)/25)*AA88+(1-EXP(-LN(2)/25))/(LN(2)/25)*Calculateur!V89*Calculateur!X89*VLOOKUP('Données projet'!$B$9,Paramètres!$A$1:$I$89,3,0)*0.475*44/12</f>
        <v>1.09191040696978</v>
      </c>
      <c r="AB89" s="23">
        <f>EXP(-LN(2)/2)*AB88+(1-EXP(-LN(2)/2))/(LN(2)/2)*V89*Y89*VLOOKUP('Données projet'!$B$9,Paramètres!$A$1:$I$89,3,0)*0.475*44/12</f>
        <v>8.2264380096015366E-10</v>
      </c>
      <c r="AC89" s="24">
        <f t="shared" si="57"/>
        <v>34.640621264250221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49.809239999999946</v>
      </c>
      <c r="D90" s="12">
        <f t="shared" si="86"/>
        <v>14.564484107089891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496.91997556350049</v>
      </c>
      <c r="H90" s="70">
        <f t="shared" si="56"/>
        <v>405.45090281984812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74.666349571117792</v>
      </c>
      <c r="T90" s="62">
        <f t="shared" si="88"/>
        <v>434.53418368205706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32.890841099255759</v>
      </c>
      <c r="AA90" s="23">
        <f>EXP(-LN(2)/25)*AA89+(1-EXP(-LN(2)/25))/(LN(2)/25)*Calculateur!V90*Calculateur!X90*VLOOKUP('Données projet'!$B$9,Paramètres!$A$1:$I$89,3,0)*0.475*44/12</f>
        <v>1.0620520594701186</v>
      </c>
      <c r="AB90" s="23">
        <f>EXP(-LN(2)/2)*AB89+(1-EXP(-LN(2)/2))/(LN(2)/2)*V90*Y90*VLOOKUP('Données projet'!$B$9,Paramètres!$A$1:$I$89,3,0)*0.475*44/12</f>
        <v>5.8169701016000112E-10</v>
      </c>
      <c r="AC90" s="24">
        <f t="shared" si="57"/>
        <v>33.952893159307578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50.381759999999943</v>
      </c>
      <c r="D91" s="12">
        <f t="shared" si="86"/>
        <v>14.712307161371378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502.48051843865596</v>
      </c>
      <c r="H91" s="70">
        <f t="shared" si="56"/>
        <v>406.70550030605506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74.666349571117792</v>
      </c>
      <c r="T91" s="62">
        <f t="shared" si="88"/>
        <v>434.53418368205706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32.245871766731526</v>
      </c>
      <c r="AA91" s="23">
        <f>EXP(-LN(2)/25)*AA90+(1-EXP(-LN(2)/25))/(LN(2)/25)*Calculateur!V91*Calculateur!X91*VLOOKUP('Données projet'!$B$9,Paramètres!$A$1:$I$89,3,0)*0.475*44/12</f>
        <v>1.0330101900530178</v>
      </c>
      <c r="AB91" s="23">
        <f>EXP(-LN(2)/2)*AB90+(1-EXP(-LN(2)/2))/(LN(2)/2)*V91*Y91*VLOOKUP('Données projet'!$B$9,Paramètres!$A$1:$I$89,3,0)*0.475*44/12</f>
        <v>4.1132190048007683E-10</v>
      </c>
      <c r="AC91" s="24">
        <f t="shared" si="57"/>
        <v>33.278881957195864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50.95427999999994</v>
      </c>
      <c r="D92" s="12">
        <f t="shared" si="86"/>
        <v>14.859934810879125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508.03955292608407</v>
      </c>
      <c r="H92" s="70">
        <f t="shared" si="56"/>
        <v>407.959757462281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74.666349571117792</v>
      </c>
      <c r="T92" s="62">
        <f t="shared" si="88"/>
        <v>434.53418368205706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31.613549889425641</v>
      </c>
      <c r="AA92" s="23">
        <f>EXP(-LN(2)/25)*AA91+(1-EXP(-LN(2)/25))/(LN(2)/25)*Calculateur!V92*Calculateur!X92*VLOOKUP('Données projet'!$B$9,Paramètres!$A$1:$I$89,3,0)*0.475*44/12</f>
        <v>1.0047624720823731</v>
      </c>
      <c r="AB92" s="23">
        <f>EXP(-LN(2)/2)*AB91+(1-EXP(-LN(2)/2))/(LN(2)/2)*V92*Y92*VLOOKUP('Données projet'!$B$9,Paramètres!$A$1:$I$89,3,0)*0.475*44/12</f>
        <v>2.9084850508000056E-10</v>
      </c>
      <c r="AC92" s="24">
        <f t="shared" si="57"/>
        <v>32.618312361798864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51.526799999999938</v>
      </c>
      <c r="D93" s="12">
        <f t="shared" si="86"/>
        <v>15.007369505236925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513.59709793516174</v>
      </c>
      <c r="H93" s="70">
        <f t="shared" si="56"/>
        <v>409.21367855495419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74.666349571117792</v>
      </c>
      <c r="T93" s="62">
        <f t="shared" si="88"/>
        <v>434.53418368205706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30.993627458455464</v>
      </c>
      <c r="AA93" s="23">
        <f>EXP(-LN(2)/25)*AA92+(1-EXP(-LN(2)/25))/(LN(2)/25)*Calculateur!V93*Calculateur!X93*VLOOKUP('Données projet'!$B$9,Paramètres!$A$1:$I$89,3,0)*0.475*44/12</f>
        <v>0.97728718944511861</v>
      </c>
      <c r="AB93" s="23">
        <f>EXP(-LN(2)/2)*AB92+(1-EXP(-LN(2)/2))/(LN(2)/2)*V93*Y93*VLOOKUP('Données projet'!$B$9,Paramètres!$A$1:$I$89,3,0)*0.475*44/12</f>
        <v>2.0566095024003841E-10</v>
      </c>
      <c r="AC93" s="24">
        <f t="shared" si="57"/>
        <v>31.970914648106241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52.099319999999935</v>
      </c>
      <c r="D94" s="12">
        <f t="shared" si="86"/>
        <v>15.154613636498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519.15317193086128</v>
      </c>
      <c r="H94" s="70">
        <f t="shared" si="56"/>
        <v>410.46726775023387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74.666349571117792</v>
      </c>
      <c r="T94" s="62">
        <f t="shared" si="88"/>
        <v>434.53418368205706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30.385861328241262</v>
      </c>
      <c r="AA94" s="23">
        <f>EXP(-LN(2)/25)*AA93+(1-EXP(-LN(2)/25))/(LN(2)/25)*Calculateur!V94*Calculateur!X94*VLOOKUP('Données projet'!$B$9,Paramètres!$A$1:$I$89,3,0)*0.475*44/12</f>
        <v>0.95056321985644221</v>
      </c>
      <c r="AB94" s="23">
        <f>EXP(-LN(2)/2)*AB93+(1-EXP(-LN(2)/2))/(LN(2)/2)*V94*Y94*VLOOKUP('Données projet'!$B$9,Paramètres!$A$1:$I$89,3,0)*0.475*44/12</f>
        <v>1.4542425254000028E-10</v>
      </c>
      <c r="AC94" s="24">
        <f t="shared" si="57"/>
        <v>31.336424548243127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52.671839999999932</v>
      </c>
      <c r="D95" s="12">
        <f t="shared" si="86"/>
        <v>15.301669541115508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524.70779294896136</v>
      </c>
      <c r="H95" s="70">
        <f t="shared" si="56"/>
        <v>411.72052911744271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74.666349571117792</v>
      </c>
      <c r="T95" s="62">
        <f t="shared" si="88"/>
        <v>434.53418368205706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29.790013121139825</v>
      </c>
      <c r="AA95" s="23">
        <f>EXP(-LN(2)/25)*AA94+(1-EXP(-LN(2)/25))/(LN(2)/25)*Calculateur!V95*Calculateur!X95*VLOOKUP('Données projet'!$B$9,Paramètres!$A$1:$I$89,3,0)*0.475*44/12</f>
        <v>0.92457001862152066</v>
      </c>
      <c r="AB95" s="23">
        <f>EXP(-LN(2)/2)*AB94+(1-EXP(-LN(2)/2))/(LN(2)/2)*V95*Y95*VLOOKUP('Données projet'!$B$9,Paramètres!$A$1:$I$89,3,0)*0.475*44/12</f>
        <v>1.0283047512001921E-10</v>
      </c>
      <c r="AC95" s="24">
        <f t="shared" si="57"/>
        <v>30.714583139864175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53.244359999999929</v>
      </c>
      <c r="D96" s="12">
        <f t="shared" si="86"/>
        <v>15.448539501824873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530.26097861057735</v>
      </c>
      <c r="H96" s="70">
        <f t="shared" si="56"/>
        <v>412.97346663234481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74.666349571117792</v>
      </c>
      <c r="T96" s="62">
        <f t="shared" si="88"/>
        <v>434.53418368205706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29.205849133948128</v>
      </c>
      <c r="AA96" s="23">
        <f>EXP(-LN(2)/25)*AA95+(1-EXP(-LN(2)/25))/(LN(2)/25)*Calculateur!V96*Calculateur!X96*VLOOKUP('Données projet'!$B$9,Paramètres!$A$1:$I$89,3,0)*0.475*44/12</f>
        <v>0.89928760284129106</v>
      </c>
      <c r="AB96" s="23">
        <f>EXP(-LN(2)/2)*AB95+(1-EXP(-LN(2)/2))/(LN(2)/2)*V96*Y96*VLOOKUP('Données projet'!$B$9,Paramètres!$A$1:$I$89,3,0)*0.475*44/12</f>
        <v>7.271212627000014E-11</v>
      </c>
      <c r="AC96" s="24">
        <f t="shared" si="57"/>
        <v>30.105136736862132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53.816879999999927</v>
      </c>
      <c r="D97" s="12">
        <f t="shared" si="86"/>
        <v>15.595225749442831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535.81274613604944</v>
      </c>
      <c r="H97" s="70">
        <f t="shared" si="56"/>
        <v>414.22608418027943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74.666349571117792</v>
      </c>
      <c r="T97" s="62">
        <f t="shared" si="88"/>
        <v>434.53418368205706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28.633140246240409</v>
      </c>
      <c r="AA97" s="23">
        <f>EXP(-LN(2)/25)*AA96+(1-EXP(-LN(2)/25))/(LN(2)/25)*Calculateur!V97*Calculateur!X97*VLOOKUP('Données projet'!$B$9,Paramètres!$A$1:$I$89,3,0)*0.475*44/12</f>
        <v>0.87469653605011621</v>
      </c>
      <c r="AB97" s="23">
        <f>EXP(-LN(2)/2)*AB96+(1-EXP(-LN(2)/2))/(LN(2)/2)*V97*Y97*VLOOKUP('Données projet'!$B$9,Paramètres!$A$1:$I$89,3,0)*0.475*44/12</f>
        <v>5.1415237560009603E-11</v>
      </c>
      <c r="AC97" s="24">
        <f t="shared" si="57"/>
        <v>29.50783678234194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54.389399999999924</v>
      </c>
      <c r="D98" s="12">
        <f t="shared" si="86"/>
        <v>15.741730464587798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541.36311235822109</v>
      </c>
      <c r="H98" s="70">
        <f t="shared" si="56"/>
        <v>415.47838555915695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74.666349571117792</v>
      </c>
      <c r="T98" s="62">
        <f t="shared" si="88"/>
        <v>434.53418368205706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28.071661830502709</v>
      </c>
      <c r="AA98" s="23">
        <f>EXP(-LN(2)/25)*AA97+(1-EXP(-LN(2)/25))/(LN(2)/25)*Calculateur!V98*Calculateur!X98*VLOOKUP('Données projet'!$B$9,Paramètres!$A$1:$I$89,3,0)*0.475*44/12</f>
        <v>0.85077791327353414</v>
      </c>
      <c r="AB98" s="23">
        <f>EXP(-LN(2)/2)*AB97+(1-EXP(-LN(2)/2))/(LN(2)/2)*V98*Y98*VLOOKUP('Données projet'!$B$9,Paramètres!$A$1:$I$89,3,0)*0.475*44/12</f>
        <v>3.635606313500007E-11</v>
      </c>
      <c r="AC98" s="24">
        <f t="shared" si="57"/>
        <v>28.9224397438126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54.961919999999921</v>
      </c>
      <c r="D99" s="12">
        <f t="shared" si="86"/>
        <v>15.888055779325709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546.91209373514528</v>
      </c>
      <c r="H99" s="70">
        <f t="shared" si="56"/>
        <v>416.73037448232543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74.666349571117792</v>
      </c>
      <c r="T99" s="62">
        <f t="shared" si="88"/>
        <v>434.53418368205706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27.521193664029607</v>
      </c>
      <c r="AA99" s="23">
        <f>EXP(-LN(2)/25)*AA98+(1-EXP(-LN(2)/25))/(LN(2)/25)*Calculateur!V99*Calculateur!X99*VLOOKUP('Données projet'!$B$9,Paramètres!$A$1:$I$89,3,0)*0.475*44/12</f>
        <v>0.8275133464946034</v>
      </c>
      <c r="AB99" s="23">
        <f>EXP(-LN(2)/2)*AB98+(1-EXP(-LN(2)/2))/(LN(2)/2)*V99*Y99*VLOOKUP('Données projet'!$B$9,Paramètres!$A$1:$I$89,3,0)*0.475*44/12</f>
        <v>2.5707618780004802E-11</v>
      </c>
      <c r="AC99" s="24">
        <f t="shared" si="57"/>
        <v>28.348707010549916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55.534439999999918</v>
      </c>
      <c r="D100" s="12">
        <f t="shared" si="86"/>
        <v>16.034203778745258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552.45970636224354</v>
      </c>
      <c r="H100" s="70">
        <f t="shared" si="56"/>
        <v>417.98205458131451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74.666349571117792</v>
      </c>
      <c r="T100" s="62">
        <f t="shared" si="88"/>
        <v>434.53418368205706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26.981519842548614</v>
      </c>
      <c r="AA100" s="23">
        <f>EXP(-LN(2)/25)*AA99+(1-EXP(-LN(2)/25))/(LN(2)/25)*Calculateur!V100*Calculateur!X100*VLOOKUP('Données projet'!$B$9,Paramètres!$A$1:$I$89,3,0)*0.475*44/12</f>
        <v>0.80488495051767284</v>
      </c>
      <c r="AB100" s="23">
        <f>EXP(-LN(2)/2)*AB99+(1-EXP(-LN(2)/2))/(LN(2)/2)*V100*Y100*VLOOKUP('Données projet'!$B$9,Paramètres!$A$1:$I$89,3,0)*0.475*44/12</f>
        <v>1.8178031567500035E-11</v>
      </c>
      <c r="AC100" s="24">
        <f t="shared" si="57"/>
        <v>27.786404793084465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56.106959999999916</v>
      </c>
      <c r="D101" s="12">
        <f t="shared" si="86"/>
        <v>16.180176502466434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558.00596598395089</v>
      </c>
      <c r="H101" s="70">
        <f t="shared" si="56"/>
        <v>419.2334294084622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74.666349571117792</v>
      </c>
      <c r="T101" s="62">
        <f t="shared" si="88"/>
        <v>434.53418368205706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26.452428695538337</v>
      </c>
      <c r="AA101" s="23">
        <f>EXP(-LN(2)/25)*AA100+(1-EXP(-LN(2)/25))/(LN(2)/25)*Calculateur!V101*Calculateur!X101*VLOOKUP('Données projet'!$B$9,Paramètres!$A$1:$I$89,3,0)*0.475*44/12</f>
        <v>0.78287532921870706</v>
      </c>
      <c r="AB101" s="23">
        <f>EXP(-LN(2)/2)*AB100+(1-EXP(-LN(2)/2))/(LN(2)/2)*V101*Y101*VLOOKUP('Données projet'!$B$9,Paramètres!$A$1:$I$89,3,0)*0.475*44/12</f>
        <v>1.2853809390002401E-11</v>
      </c>
      <c r="AC101" s="24">
        <f t="shared" si="57"/>
        <v>27.235304024769899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56.679479999999913</v>
      </c>
      <c r="D102" s="12">
        <f t="shared" si="86"/>
        <v>16.325975946085592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563.55088800487056</v>
      </c>
      <c r="H102" s="70">
        <f t="shared" si="56"/>
        <v>420.48450243943222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74.666349571117792</v>
      </c>
      <c r="T102" s="62">
        <f t="shared" si="88"/>
        <v>434.53418368205706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25.933712703207195</v>
      </c>
      <c r="AA102" s="23">
        <f>EXP(-LN(2)/25)*AA101+(1-EXP(-LN(2)/25))/(LN(2)/25)*Calculateur!V102*Calculateur!X102*VLOOKUP('Données projet'!$B$9,Paramètres!$A$1:$I$89,3,0)*0.475*44/12</f>
        <v>0.76146756217159728</v>
      </c>
      <c r="AB102" s="23">
        <f>EXP(-LN(2)/2)*AB101+(1-EXP(-LN(2)/2))/(LN(2)/2)*V102*Y102*VLOOKUP('Données projet'!$B$9,Paramètres!$A$1:$I$89,3,0)*0.475*44/12</f>
        <v>9.0890157837500175E-12</v>
      </c>
      <c r="AC102" s="24">
        <f t="shared" si="57"/>
        <v>26.695180265387879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57.25199999999991</v>
      </c>
      <c r="D103" s="12">
        <f t="shared" si="86"/>
        <v>16.471604062560644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569.09448750046749</v>
      </c>
      <c r="H103" s="70">
        <f t="shared" si="56"/>
        <v>421.7352770756263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74.666349571117792</v>
      </c>
      <c r="T103" s="62">
        <f t="shared" si="88"/>
        <v>434.53418368205706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25.425168415100153</v>
      </c>
      <c r="AA103" s="23">
        <f>EXP(-LN(2)/25)*AA102+(1-EXP(-LN(2)/25))/(LN(2)/25)*Calculateur!V103*Calculateur!X103*VLOOKUP('Données projet'!$B$9,Paramètres!$A$1:$I$89,3,0)*0.475*44/12</f>
        <v>0.74064519164017617</v>
      </c>
      <c r="AB103" s="23">
        <f>EXP(-LN(2)/2)*AB102+(1-EXP(-LN(2)/2))/(LN(2)/2)*V103*Y103*VLOOKUP('Données projet'!$B$9,Paramètres!$A$1:$I$89,3,0)*0.475*44/12</f>
        <v>6.4269046950012004E-12</v>
      </c>
      <c r="AC103" s="24">
        <f t="shared" si="57"/>
        <v>26.165813606746756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57.824519999999907</v>
      </c>
      <c r="D104" s="12">
        <f t="shared" si="86"/>
        <v>16.617062763539082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574.63677922731858</v>
      </c>
      <c r="H104" s="70">
        <f t="shared" si="56"/>
        <v>422.98575664649707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74.666349571117792</v>
      </c>
      <c r="T104" s="62">
        <f t="shared" si="88"/>
        <v>434.53418368205706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24.926596370301503</v>
      </c>
      <c r="AA104" s="23">
        <f>EXP(-LN(2)/25)*AA103+(1-EXP(-LN(2)/25))/(LN(2)/25)*Calculateur!V104*Calculateur!X104*VLOOKUP('Données projet'!$B$9,Paramètres!$A$1:$I$89,3,0)*0.475*44/12</f>
        <v>0.72039220992593767</v>
      </c>
      <c r="AB104" s="23">
        <f>EXP(-LN(2)/2)*AB103+(1-EXP(-LN(2)/2))/(LN(2)/2)*V104*Y104*VLOOKUP('Données projet'!$B$9,Paramètres!$A$1:$I$89,3,0)*0.475*44/12</f>
        <v>4.5445078918750087E-12</v>
      </c>
      <c r="AC104" s="24">
        <f t="shared" si="57"/>
        <v>25.646988580231984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58.397039999999905</v>
      </c>
      <c r="D105" s="12">
        <f t="shared" si="86"/>
        <v>16.762353920631963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580.17777763294782</v>
      </c>
      <c r="H105" s="70">
        <f t="shared" si="56"/>
        <v>424.23594441176715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74.666349571117792</v>
      </c>
      <c r="T105" s="62">
        <f t="shared" si="88"/>
        <v>434.53418368205706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24.437801019202432</v>
      </c>
      <c r="AA105" s="23">
        <f>EXP(-LN(2)/25)*AA104+(1-EXP(-LN(2)/25))/(LN(2)/25)*Calculateur!V105*Calculateur!X105*VLOOKUP('Données projet'!$B$9,Paramètres!$A$1:$I$89,3,0)*0.475*44/12</f>
        <v>0.70069304706173308</v>
      </c>
      <c r="AB105" s="23">
        <f>EXP(-LN(2)/2)*AB104+(1-EXP(-LN(2)/2))/(LN(2)/2)*V105*Y105*VLOOKUP('Données projet'!$B$9,Paramètres!$A$1:$I$89,3,0)*0.475*44/12</f>
        <v>3.2134523475006002E-12</v>
      </c>
      <c r="AC105" s="24">
        <f t="shared" si="57"/>
        <v>25.138494066267381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58.969559999999902</v>
      </c>
      <c r="D106" s="12">
        <f t="shared" si="86"/>
        <v>16.907479366636615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585.71749686526448</v>
      </c>
      <c r="H106" s="70">
        <f t="shared" si="56"/>
        <v>425.48584356355855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74.666349571117792</v>
      </c>
      <c r="T106" s="62">
        <f t="shared" si="88"/>
        <v>434.53418368205706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23.958590646802691</v>
      </c>
      <c r="AA106" s="23">
        <f>EXP(-LN(2)/25)*AA105+(1-EXP(-LN(2)/25))/(LN(2)/25)*Calculateur!V106*Calculateur!X106*VLOOKUP('Données projet'!$B$9,Paramètres!$A$1:$I$89,3,0)*0.475*44/12</f>
        <v>0.68153255884198405</v>
      </c>
      <c r="AB106" s="23">
        <f>EXP(-LN(2)/2)*AB105+(1-EXP(-LN(2)/2))/(LN(2)/2)*V106*Y106*VLOOKUP('Données projet'!$B$9,Paramètres!$A$1:$I$89,3,0)*0.475*44/12</f>
        <v>2.2722539459375044E-12</v>
      </c>
      <c r="AC106" s="24">
        <f t="shared" si="57"/>
        <v>24.640123205646947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59.542079999999899</v>
      </c>
      <c r="D107" s="12">
        <f t="shared" si="86"/>
        <v>17.052440896710277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591.25595078162257</v>
      </c>
      <c r="H107" s="70">
        <f t="shared" si="56"/>
        <v>426.73545722843687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74.666349571117792</v>
      </c>
      <c r="T107" s="62">
        <f t="shared" si="88"/>
        <v>434.53418368205706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23.48877729751624</v>
      </c>
      <c r="AA107" s="23">
        <f>EXP(-LN(2)/25)*AA106+(1-EXP(-LN(2)/25))/(LN(2)/25)*Calculateur!V107*Calculateur!X107*VLOOKUP('Données projet'!$B$9,Paramètres!$A$1:$I$89,3,0)*0.475*44/12</f>
        <v>0.66289601518021035</v>
      </c>
      <c r="AB107" s="23">
        <f>EXP(-LN(2)/2)*AB106+(1-EXP(-LN(2)/2))/(LN(2)/2)*V107*Y107*VLOOKUP('Données projet'!$B$9,Paramètres!$A$1:$I$89,3,0)*0.475*44/12</f>
        <v>1.6067261737503001E-12</v>
      </c>
      <c r="AC107" s="24">
        <f t="shared" si="57"/>
        <v>24.151673312698055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60.114599999999896</v>
      </c>
      <c r="D108" s="12">
        <f t="shared" si="86"/>
        <v>17.197240269497559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596.79315295752428</v>
      </c>
      <c r="H108" s="70">
        <f t="shared" si="56"/>
        <v>427.98478846937473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74.666349571117792</v>
      </c>
      <c r="T108" s="62">
        <f t="shared" si="88"/>
        <v>434.53418368205706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23.02817670145145</v>
      </c>
      <c r="AA108" s="23">
        <f>EXP(-LN(2)/25)*AA107+(1-EXP(-LN(2)/25))/(LN(2)/25)*Calculateur!V108*Calculateur!X108*VLOOKUP('Données projet'!$B$9,Paramètres!$A$1:$I$89,3,0)*0.475*44/12</f>
        <v>0.64476908878492112</v>
      </c>
      <c r="AB108" s="23">
        <f>EXP(-LN(2)/2)*AB107+(1-EXP(-LN(2)/2))/(LN(2)/2)*V108*Y108*VLOOKUP('Données projet'!$B$9,Paramètres!$A$1:$I$89,3,0)*0.475*44/12</f>
        <v>1.1361269729687522E-12</v>
      </c>
      <c r="AC108" s="24">
        <f t="shared" si="57"/>
        <v>23.67294579023751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60.687119999999894</v>
      </c>
      <c r="D109" s="12">
        <f t="shared" si="86"/>
        <v>17.34187920821353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602.32911669498083</v>
      </c>
      <c r="H109" s="70">
        <f t="shared" si="56"/>
        <v>429.23384028763837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74.666349571117792</v>
      </c>
      <c r="T109" s="62">
        <f t="shared" si="88"/>
        <v>434.53418368205706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22.576608202136867</v>
      </c>
      <c r="AA109" s="23">
        <f>EXP(-LN(2)/25)*AA108+(1-EXP(-LN(2)/25))/(LN(2)/25)*Calculateur!V109*Calculateur!X109*VLOOKUP('Données projet'!$B$9,Paramètres!$A$1:$I$89,3,0)*0.475*44/12</f>
        <v>0.62713784414516471</v>
      </c>
      <c r="AB109" s="23">
        <f>EXP(-LN(2)/2)*AB108+(1-EXP(-LN(2)/2))/(LN(2)/2)*V109*Y109*VLOOKUP('Données projet'!$B$9,Paramètres!$A$1:$I$89,3,0)*0.475*44/12</f>
        <v>8.0336308687515005E-13</v>
      </c>
      <c r="AC109" s="24">
        <f t="shared" si="57"/>
        <v>23.203746046282834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61.259639999999891</v>
      </c>
      <c r="D110" s="12">
        <f t="shared" si="86"/>
        <v>17.486359401684826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607.86385503054873</v>
      </c>
      <c r="H110" s="70">
        <f t="shared" si="56"/>
        <v>430.48261562460084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74.666349571117792</v>
      </c>
      <c r="T110" s="62">
        <f t="shared" si="88"/>
        <v>434.53418368205706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22.133894685664256</v>
      </c>
      <c r="AA110" s="23">
        <f>EXP(-LN(2)/25)*AA109+(1-EXP(-LN(2)/25))/(LN(2)/25)*Calculateur!V110*Calculateur!X110*VLOOKUP('Données projet'!$B$9,Paramètres!$A$1:$I$89,3,0)*0.475*44/12</f>
        <v>0.60998872681726934</v>
      </c>
      <c r="AB110" s="23">
        <f>EXP(-LN(2)/2)*AB109+(1-EXP(-LN(2)/2))/(LN(2)/2)*V110*Y110*VLOOKUP('Données projet'!$B$9,Paramètres!$A$1:$I$89,3,0)*0.475*44/12</f>
        <v>5.6806348648437609E-13</v>
      </c>
      <c r="AC110" s="24">
        <f t="shared" si="57"/>
        <v>22.743883412482095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61.832159999999888</v>
      </c>
      <c r="D111" s="12">
        <f t="shared" si="86"/>
        <v>17.630682505350798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613.39738074305797</v>
      </c>
      <c r="H111" s="70">
        <f t="shared" si="56"/>
        <v>431.73111736348574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74.666349571117792</v>
      </c>
      <c r="T111" s="62">
        <f t="shared" si="88"/>
        <v>434.53418368205706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21.699862511221088</v>
      </c>
      <c r="AA111" s="23">
        <f>EXP(-LN(2)/25)*AA110+(1-EXP(-LN(2)/25))/(LN(2)/25)*Calculateur!V111*Calculateur!X111*VLOOKUP('Données projet'!$B$9,Paramètres!$A$1:$I$89,3,0)*0.475*44/12</f>
        <v>0.59330855300453811</v>
      </c>
      <c r="AB111" s="23">
        <f>EXP(-LN(2)/2)*AB110+(1-EXP(-LN(2)/2))/(LN(2)/2)*V111*Y111*VLOOKUP('Données projet'!$B$9,Paramètres!$A$1:$I$89,3,0)*0.475*44/12</f>
        <v>4.0168154343757503E-13</v>
      </c>
      <c r="AC111" s="24">
        <f t="shared" si="57"/>
        <v>22.293171064226026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62.404679999999885</v>
      </c>
      <c r="D112" s="12">
        <f t="shared" si="86"/>
        <v>17.774850142226406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618.92970636104508</v>
      </c>
      <c r="H112" s="70">
        <f t="shared" si="56"/>
        <v>432.97934833104409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74.666349571117792</v>
      </c>
      <c r="T112" s="62">
        <f t="shared" si="88"/>
        <v>434.53418368205706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21.274341442985268</v>
      </c>
      <c r="AA112" s="23">
        <f>EXP(-LN(2)/25)*AA111+(1-EXP(-LN(2)/25))/(LN(2)/25)*Calculateur!V112*Calculateur!X112*VLOOKUP('Données projet'!$B$9,Paramètres!$A$1:$I$89,3,0)*0.475*44/12</f>
        <v>0.57708449942188822</v>
      </c>
      <c r="AB112" s="23">
        <f>EXP(-LN(2)/2)*AB111+(1-EXP(-LN(2)/2))/(LN(2)/2)*V112*Y112*VLOOKUP('Données projet'!$B$9,Paramètres!$A$1:$I$89,3,0)*0.475*44/12</f>
        <v>2.8403174324218805E-13</v>
      </c>
      <c r="AC112" s="24">
        <f t="shared" si="57"/>
        <v>21.851425942407442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62.977199999999883</v>
      </c>
      <c r="D113" s="12">
        <f t="shared" si="86"/>
        <v>17.918863903828793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624.4608441699055</v>
      </c>
      <c r="H113" s="70">
        <f t="shared" si="56"/>
        <v>434.22731129916826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74.666349571117792</v>
      </c>
      <c r="T113" s="62">
        <f t="shared" si="88"/>
        <v>434.53418368205706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20.857164583355328</v>
      </c>
      <c r="AA113" s="23">
        <f>EXP(-LN(2)/25)*AA112+(1-EXP(-LN(2)/25))/(LN(2)/25)*Calculateur!V113*Calculateur!X113*VLOOKUP('Données projet'!$B$9,Paramètres!$A$1:$I$89,3,0)*0.475*44/12</f>
        <v>0.56130409343764176</v>
      </c>
      <c r="AB113" s="23">
        <f>EXP(-LN(2)/2)*AB112+(1-EXP(-LN(2)/2))/(LN(2)/2)*V113*Y113*VLOOKUP('Données projet'!$B$9,Paramètres!$A$1:$I$89,3,0)*0.475*44/12</f>
        <v>2.0084077171878751E-13</v>
      </c>
      <c r="AC113" s="24">
        <f t="shared" si="57"/>
        <v>21.418468676793172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63.54971999999988</v>
      </c>
      <c r="D114" s="12">
        <f t="shared" si="86"/>
        <v>18.062725351069318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629.99080621877977</v>
      </c>
      <c r="H114" s="70">
        <f t="shared" si="56"/>
        <v>435.47500898644546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74.666349571117792</v>
      </c>
      <c r="T114" s="62">
        <f t="shared" si="88"/>
        <v>434.53418368205706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20.448168307489972</v>
      </c>
      <c r="AA114" s="23">
        <f>EXP(-LN(2)/25)*AA113+(1-EXP(-LN(2)/25))/(LN(2)/25)*Calculateur!V114*Calculateur!X114*VLOOKUP('Données projet'!$B$9,Paramètres!$A$1:$I$89,3,0)*0.475*44/12</f>
        <v>0.54595520348489002</v>
      </c>
      <c r="AB114" s="23">
        <f>EXP(-LN(2)/2)*AB113+(1-EXP(-LN(2)/2))/(LN(2)/2)*V114*Y114*VLOOKUP('Données projet'!$B$9,Paramètres!$A$1:$I$89,3,0)*0.475*44/12</f>
        <v>1.4201587162109402E-13</v>
      </c>
      <c r="AC114" s="24">
        <f t="shared" si="57"/>
        <v>20.994123510975005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64.122239999999877</v>
      </c>
      <c r="D115" s="12">
        <f t="shared" si="86"/>
        <v>18.206436015112303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635.51960432718181</v>
      </c>
      <c r="H115" s="70">
        <f t="shared" si="56"/>
        <v>436.72244405965364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74.666349571117792</v>
      </c>
      <c r="T115" s="62">
        <f t="shared" si="88"/>
        <v>434.53418368205706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20.047192199131239</v>
      </c>
      <c r="AA115" s="23">
        <f>EXP(-LN(2)/25)*AA114+(1-EXP(-LN(2)/25))/(LN(2)/25)*Calculateur!V115*Calculateur!X115*VLOOKUP('Données projet'!$B$9,Paramètres!$A$1:$I$89,3,0)*0.475*44/12</f>
        <v>0.5310260297350593</v>
      </c>
      <c r="AB115" s="23">
        <f>EXP(-LN(2)/2)*AB114+(1-EXP(-LN(2)/2))/(LN(2)/2)*V115*Y115*VLOOKUP('Données projet'!$B$9,Paramètres!$A$1:$I$89,3,0)*0.475*44/12</f>
        <v>1.0042038585939376E-13</v>
      </c>
      <c r="AC115" s="24">
        <f t="shared" si="57"/>
        <v>20.578218228866398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64.694759999999874</v>
      </c>
      <c r="D116" s="12">
        <f t="shared" si="86"/>
        <v>18.349997398202461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641.04725009138645</v>
      </c>
      <c r="H116" s="70">
        <f t="shared" si="56"/>
        <v>437.96961913520238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74.666349571117792</v>
      </c>
      <c r="T116" s="62">
        <f t="shared" si="88"/>
        <v>434.53418368205706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19.654078987686145</v>
      </c>
      <c r="AA116" s="23">
        <f>EXP(-LN(2)/25)*AA115+(1-EXP(-LN(2)/25))/(LN(2)/25)*Calculateur!V116*Calculateur!X116*VLOOKUP('Données projet'!$B$9,Paramètres!$A$1:$I$89,3,0)*0.475*44/12</f>
        <v>0.51650509502650888</v>
      </c>
      <c r="AB116" s="23">
        <f>EXP(-LN(2)/2)*AB115+(1-EXP(-LN(2)/2))/(LN(2)/2)*V116*Y116*VLOOKUP('Données projet'!$B$9,Paramètres!$A$1:$I$89,3,0)*0.475*44/12</f>
        <v>7.1007935810547011E-14</v>
      </c>
      <c r="AC116" s="24">
        <f t="shared" si="57"/>
        <v>20.170584082712725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65.267279999999872</v>
      </c>
      <c r="D117" s="12">
        <f t="shared" si="86"/>
        <v>18.493410974462066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646.57375489058347</v>
      </c>
      <c r="H117" s="70">
        <f t="shared" si="56"/>
        <v>439.21653678052121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74.666349571117792</v>
      </c>
      <c r="T117" s="62">
        <f t="shared" si="88"/>
        <v>434.53418368205706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19.268674486542103</v>
      </c>
      <c r="AA117" s="23">
        <f>EXP(-LN(2)/25)*AA116+(1-EXP(-LN(2)/25))/(LN(2)/25)*Calculateur!V117*Calculateur!X117*VLOOKUP('Données projet'!$B$9,Paramètres!$A$1:$I$89,3,0)*0.475*44/12</f>
        <v>0.50238123604118656</v>
      </c>
      <c r="AB117" s="23">
        <f>EXP(-LN(2)/2)*AB116+(1-EXP(-LN(2)/2))/(LN(2)/2)*V117*Y117*VLOOKUP('Données projet'!$B$9,Paramètres!$A$1:$I$89,3,0)*0.475*44/12</f>
        <v>5.0210192929696878E-14</v>
      </c>
      <c r="AC117" s="24">
        <f t="shared" si="57"/>
        <v>19.771055722583341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65.839799999999869</v>
      </c>
      <c r="D118" s="12">
        <f t="shared" si="86"/>
        <v>18.636678190659339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652.09912989280792</v>
      </c>
      <c r="H118" s="70">
        <f t="shared" si="56"/>
        <v>440.46319951539806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74.666349571117792</v>
      </c>
      <c r="T118" s="62">
        <f t="shared" si="88"/>
        <v>434.53418368205706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18.890827532591963</v>
      </c>
      <c r="AA118" s="23">
        <f>EXP(-LN(2)/25)*AA117+(1-EXP(-LN(2)/25))/(LN(2)/25)*Calculateur!V118*Calculateur!X118*VLOOKUP('Données projet'!$B$9,Paramètres!$A$1:$I$89,3,0)*0.475*44/12</f>
        <v>0.4886435947225593</v>
      </c>
      <c r="AB118" s="23">
        <f>EXP(-LN(2)/2)*AB117+(1-EXP(-LN(2)/2))/(LN(2)/2)*V118*Y118*VLOOKUP('Données projet'!$B$9,Paramètres!$A$1:$I$89,3,0)*0.475*44/12</f>
        <v>3.5503967905273506E-14</v>
      </c>
      <c r="AC118" s="24">
        <f t="shared" si="57"/>
        <v>19.379471127314559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66.412319999999866</v>
      </c>
      <c r="D119" s="12">
        <f t="shared" si="86"/>
        <v>18.779800466949432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657.62338606066123</v>
      </c>
      <c r="H119" s="70">
        <f t="shared" si="56"/>
        <v>441.70960981326994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74.666349571117792</v>
      </c>
      <c r="T119" s="62">
        <f t="shared" si="88"/>
        <v>434.53418368205706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18.520389926944901</v>
      </c>
      <c r="AA119" s="23">
        <f>EXP(-LN(2)/25)*AA118+(1-EXP(-LN(2)/25))/(LN(2)/25)*Calculateur!V119*Calculateur!X119*VLOOKUP('Données projet'!$B$9,Paramètres!$A$1:$I$89,3,0)*0.475*44/12</f>
        <v>0.4752816099282211</v>
      </c>
      <c r="AB119" s="23">
        <f>EXP(-LN(2)/2)*AB118+(1-EXP(-LN(2)/2))/(LN(2)/2)*V119*Y119*VLOOKUP('Données projet'!$B$9,Paramètres!$A$1:$I$89,3,0)*0.475*44/12</f>
        <v>2.5105096464848439E-14</v>
      </c>
      <c r="AC119" s="24">
        <f t="shared" si="57"/>
        <v>18.995671536873147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66.984839999999863</v>
      </c>
      <c r="D120" s="12">
        <f t="shared" si="86"/>
        <v>18.922779197589019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663.14653415682653</v>
      </c>
      <c r="H120" s="70">
        <f t="shared" si="56"/>
        <v>442.95577010246728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74.666349571117792</v>
      </c>
      <c r="T120" s="62">
        <f t="shared" si="88"/>
        <v>434.53418368205706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18.157216376799948</v>
      </c>
      <c r="AA120" s="23">
        <f>EXP(-LN(2)/25)*AA119+(1-EXP(-LN(2)/25))/(LN(2)/25)*Calculateur!V120*Calculateur!X120*VLOOKUP('Données projet'!$B$9,Paramètres!$A$1:$I$89,3,0)*0.475*44/12</f>
        <v>0.46228500931076033</v>
      </c>
      <c r="AB120" s="23">
        <f>EXP(-LN(2)/2)*AB119+(1-EXP(-LN(2)/2))/(LN(2)/2)*V120*Y120*VLOOKUP('Données projet'!$B$9,Paramètres!$A$1:$I$89,3,0)*0.475*44/12</f>
        <v>1.7751983952636753E-14</v>
      </c>
      <c r="AC120" s="24">
        <f t="shared" si="57"/>
        <v>18.619501386110727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67.557359999999861</v>
      </c>
      <c r="D121" s="12">
        <f t="shared" si="86"/>
        <v>19.065615751625892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668.66858474939181</v>
      </c>
      <c r="H121" s="70">
        <f t="shared" si="56"/>
        <v>444.20168276741481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74.666349571117792</v>
      </c>
      <c r="T121" s="62">
        <f t="shared" si="88"/>
        <v>434.53418368205706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17.801164438459345</v>
      </c>
      <c r="AA121" s="23">
        <f>EXP(-LN(2)/25)*AA120+(1-EXP(-LN(2)/25))/(LN(2)/25)*Calculateur!V121*Calculateur!X121*VLOOKUP('Données projet'!$B$9,Paramètres!$A$1:$I$89,3,0)*0.475*44/12</f>
        <v>0.44964380142064553</v>
      </c>
      <c r="AB121" s="23">
        <f>EXP(-LN(2)/2)*AB120+(1-EXP(-LN(2)/2))/(LN(2)/2)*V121*Y121*VLOOKUP('Données projet'!$B$9,Paramètres!$A$1:$I$89,3,0)*0.475*44/12</f>
        <v>1.255254823242422E-14</v>
      </c>
      <c r="AC121" s="24">
        <f t="shared" si="57"/>
        <v>18.250808239880005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68.129879999999858</v>
      </c>
      <c r="D122" s="12">
        <f t="shared" si="86"/>
        <v>19.208311473564368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674.18954821698708</v>
      </c>
      <c r="H122" s="70">
        <f t="shared" si="56"/>
        <v>445.44735014979096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74.666349571117792</v>
      </c>
      <c r="T122" s="62">
        <f t="shared" si="88"/>
        <v>434.53418368205706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17.452094461459364</v>
      </c>
      <c r="AA122" s="23">
        <f>EXP(-LN(2)/25)*AA121+(1-EXP(-LN(2)/25))/(LN(2)/25)*Calculateur!V122*Calculateur!X122*VLOOKUP('Données projet'!$B$9,Paramètres!$A$1:$I$89,3,0)*0.475*44/12</f>
        <v>0.43734826802505811</v>
      </c>
      <c r="AB122" s="23">
        <f>EXP(-LN(2)/2)*AB121+(1-EXP(-LN(2)/2))/(LN(2)/2)*V122*Y122*VLOOKUP('Données projet'!$B$9,Paramètres!$A$1:$I$89,3,0)*0.475*44/12</f>
        <v>8.8759919763183764E-15</v>
      </c>
      <c r="AC122" s="24">
        <f t="shared" si="57"/>
        <v>17.889442729484429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68.702399999999855</v>
      </c>
      <c r="D123" s="12">
        <f t="shared" si="86"/>
        <v>19.350867684007806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679.70943475374338</v>
      </c>
      <c r="H123" s="70">
        <f t="shared" si="56"/>
        <v>446.69277454964663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74.666349571117792</v>
      </c>
      <c r="T123" s="62">
        <f t="shared" si="88"/>
        <v>434.53418368205706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17.109869533796687</v>
      </c>
      <c r="AA123" s="23">
        <f>EXP(-LN(2)/25)*AA122+(1-EXP(-LN(2)/25))/(LN(2)/25)*Calculateur!V123*Calculateur!X123*VLOOKUP('Données projet'!$B$9,Paramètres!$A$1:$I$89,3,0)*0.475*44/12</f>
        <v>0.42538895663676707</v>
      </c>
      <c r="AB123" s="23">
        <f>EXP(-LN(2)/2)*AB122+(1-EXP(-LN(2)/2))/(LN(2)/2)*V123*Y123*VLOOKUP('Données projet'!$B$9,Paramètres!$A$1:$I$89,3,0)*0.475*44/12</f>
        <v>6.2762741162121098E-15</v>
      </c>
      <c r="AC123" s="24">
        <f t="shared" si="57"/>
        <v>17.53525849043346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69.274919999999852</v>
      </c>
      <c r="D124" s="12">
        <f t="shared" si="86"/>
        <v>19.493285680278987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685.22825437408221</v>
      </c>
      <c r="H124" s="70">
        <f t="shared" si="56"/>
        <v>447.93795822648565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74.666349571117792</v>
      </c>
      <c r="T124" s="62">
        <f t="shared" si="88"/>
        <v>434.53418368205706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16.77435542822888</v>
      </c>
      <c r="AA124" s="23">
        <f>EXP(-LN(2)/25)*AA123+(1-EXP(-LN(2)/25))/(LN(2)/25)*Calculateur!V124*Calculateur!X124*VLOOKUP('Données projet'!$B$9,Paramètres!$A$1:$I$89,3,0)*0.475*44/12</f>
        <v>0.4137566732473017</v>
      </c>
      <c r="AB124" s="23">
        <f>EXP(-LN(2)/2)*AB123+(1-EXP(-LN(2)/2))/(LN(2)/2)*V124*Y124*VLOOKUP('Données projet'!$B$9,Paramètres!$A$1:$I$89,3,0)*0.475*44/12</f>
        <v>4.4379959881591882E-15</v>
      </c>
      <c r="AC124" s="24">
        <f t="shared" si="57"/>
        <v>17.188112101476186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69.84743999999985</v>
      </c>
      <c r="D125" s="12">
        <f t="shared" si="86"/>
        <v>19.635566737019499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690.74601691734233</v>
      </c>
      <c r="H125" s="70">
        <f t="shared" si="56"/>
        <v>449.18290340030865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74.666349571117792</v>
      </c>
      <c r="T125" s="62">
        <f t="shared" si="88"/>
        <v>434.53418368205706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16.445420549627862</v>
      </c>
      <c r="AA125" s="23">
        <f>EXP(-LN(2)/25)*AA124+(1-EXP(-LN(2)/25))/(LN(2)/25)*Calculateur!V125*Calculateur!X125*VLOOKUP('Données projet'!$B$9,Paramètres!$A$1:$I$89,3,0)*0.475*44/12</f>
        <v>0.40244247525883642</v>
      </c>
      <c r="AB125" s="23">
        <f>EXP(-LN(2)/2)*AB124+(1-EXP(-LN(2)/2))/(LN(2)/2)*V125*Y125*VLOOKUP('Données projet'!$B$9,Paramètres!$A$1:$I$89,3,0)*0.475*44/12</f>
        <v>3.1381370581060549E-15</v>
      </c>
      <c r="AC125" s="24">
        <f t="shared" si="57"/>
        <v>16.847863024886703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70.419959999999847</v>
      </c>
      <c r="D126" s="12">
        <f t="shared" si="86"/>
        <v>19.77771210676886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696.2627320522497</v>
      </c>
      <c r="H126" s="70">
        <f t="shared" si="56"/>
        <v>450.42761225262211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74.666349571117792</v>
      </c>
      <c r="T126" s="62">
        <f t="shared" si="88"/>
        <v>434.53418368205706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16.122935883365745</v>
      </c>
      <c r="AA126" s="23">
        <f>EXP(-LN(2)/25)*AA125+(1-EXP(-LN(2)/25))/(LN(2)/25)*Calculateur!V126*Calculateur!X126*VLOOKUP('Données projet'!$B$9,Paramètres!$A$1:$I$89,3,0)*0.475*44/12</f>
        <v>0.39143766460935353</v>
      </c>
      <c r="AB126" s="23">
        <f>EXP(-LN(2)/2)*AB125+(1-EXP(-LN(2)/2))/(LN(2)/2)*V126*Y126*VLOOKUP('Données projet'!$B$9,Paramètres!$A$1:$I$89,3,0)*0.475*44/12</f>
        <v>2.2189979940795941E-15</v>
      </c>
      <c r="AC126" s="24">
        <f t="shared" si="57"/>
        <v>16.514373547975101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70.992479999999844</v>
      </c>
      <c r="D127" s="12">
        <f t="shared" si="86"/>
        <v>19.919723020524202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701.77840928123817</v>
      </c>
      <c r="H127" s="70">
        <f t="shared" si="56"/>
        <v>451.67208692741269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74.666349571117792</v>
      </c>
      <c r="T127" s="62">
        <f t="shared" si="88"/>
        <v>434.53418368205706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15.806774944712803</v>
      </c>
      <c r="AA127" s="23">
        <f>EXP(-LN(2)/25)*AA126+(1-EXP(-LN(2)/25))/(LN(2)/25)*Calculateur!V127*Calculateur!X127*VLOOKUP('Données projet'!$B$9,Paramètres!$A$1:$I$89,3,0)*0.475*44/12</f>
        <v>0.38073378108579864</v>
      </c>
      <c r="AB127" s="23">
        <f>EXP(-LN(2)/2)*AB126+(1-EXP(-LN(2)/2))/(LN(2)/2)*V127*Y127*VLOOKUP('Données projet'!$B$9,Paramètres!$A$1:$I$89,3,0)*0.475*44/12</f>
        <v>1.5690685290530274E-15</v>
      </c>
      <c r="AC127" s="24">
        <f t="shared" si="57"/>
        <v>16.187508725798601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71.564999999999841</v>
      </c>
      <c r="D128" s="12">
        <f t="shared" si="86"/>
        <v>20.061600688281569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707.29305794462846</v>
      </c>
      <c r="H128" s="70">
        <f t="shared" si="56"/>
        <v>452.91632953209012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74.666349571117792</v>
      </c>
      <c r="T128" s="62">
        <f t="shared" si="88"/>
        <v>434.53418368205706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15.496813729227714</v>
      </c>
      <c r="AA128" s="23">
        <f>EXP(-LN(2)/25)*AA127+(1-EXP(-LN(2)/25))/(LN(2)/25)*Calculateur!V128*Calculateur!X128*VLOOKUP('Données projet'!$B$9,Paramètres!$A$1:$I$89,3,0)*0.475*44/12</f>
        <v>0.37032259582008809</v>
      </c>
      <c r="AB128" s="23">
        <f>EXP(-LN(2)/2)*AB127+(1-EXP(-LN(2)/2))/(LN(2)/2)*V128*Y128*VLOOKUP('Données projet'!$B$9,Paramètres!$A$1:$I$89,3,0)*0.475*44/12</f>
        <v>1.1094989970397971E-15</v>
      </c>
      <c r="AC128" s="24">
        <f t="shared" si="57"/>
        <v>15.867136325047804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72.137519999999839</v>
      </c>
      <c r="D129" s="12">
        <f t="shared" si="86"/>
        <v>20.20334629955914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712.80668722466589</v>
      </c>
      <c r="H129" s="70">
        <f t="shared" si="56"/>
        <v>454.16034213839851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74.666349571117792</v>
      </c>
      <c r="T129" s="62">
        <f t="shared" si="88"/>
        <v>434.53418368205706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15.192930664120613</v>
      </c>
      <c r="AA129" s="23">
        <f>EXP(-LN(2)/25)*AA128+(1-EXP(-LN(2)/25))/(LN(2)/25)*Calculateur!V129*Calculateur!X129*VLOOKUP('Données projet'!$B$9,Paramètres!$A$1:$I$89,3,0)*0.475*44/12</f>
        <v>0.36019610496296883</v>
      </c>
      <c r="AB129" s="23">
        <f>EXP(-LN(2)/2)*AB128+(1-EXP(-LN(2)/2))/(LN(2)/2)*V129*Y129*VLOOKUP('Données projet'!$B$9,Paramètres!$A$1:$I$89,3,0)*0.475*44/12</f>
        <v>7.8453426452651372E-16</v>
      </c>
      <c r="AC129" s="24">
        <f t="shared" si="57"/>
        <v>15.553126769083581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72.710039999999836</v>
      </c>
      <c r="D130" s="12">
        <f t="shared" si="86"/>
        <v>20.344961023903615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718.3193061494303</v>
      </c>
      <c r="H130" s="70">
        <f t="shared" si="56"/>
        <v>455.40412678329847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74.666349571117792</v>
      </c>
      <c r="T130" s="62">
        <f t="shared" si="88"/>
        <v>434.53418368205706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14.895006560569895</v>
      </c>
      <c r="AA130" s="23">
        <f>EXP(-LN(2)/25)*AA129+(1-EXP(-LN(2)/25))/(LN(2)/25)*Calculateur!V130*Calculateur!X130*VLOOKUP('Données projet'!$B$9,Paramètres!$A$1:$I$89,3,0)*0.475*44/12</f>
        <v>0.35034652353086654</v>
      </c>
      <c r="AB130" s="23">
        <f>EXP(-LN(2)/2)*AB129+(1-EXP(-LN(2)/2))/(LN(2)/2)*V130*Y130*VLOOKUP('Données projet'!$B$9,Paramètres!$A$1:$I$89,3,0)*0.475*44/12</f>
        <v>5.5474949851989853E-16</v>
      </c>
      <c r="AC130" s="24">
        <f t="shared" si="57"/>
        <v>15.245353084100762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73.282559999999833</v>
      </c>
      <c r="D131" s="12">
        <f t="shared" si="86"/>
        <v>20.486446011380025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723.83092359661657</v>
      </c>
      <c r="H131" s="70">
        <f t="shared" si="56"/>
        <v>456.64768546981986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74.666349571117792</v>
      </c>
      <c r="T131" s="62">
        <f t="shared" si="88"/>
        <v>434.53418368205706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14.602924566974046</v>
      </c>
      <c r="AA131" s="23">
        <f>EXP(-LN(2)/25)*AA130+(1-EXP(-LN(2)/25))/(LN(2)/25)*Calculateur!V131*Calculateur!X131*VLOOKUP('Données projet'!$B$9,Paramètres!$A$1:$I$89,3,0)*0.475*44/12</f>
        <v>0.34076627942099202</v>
      </c>
      <c r="AB131" s="23">
        <f>EXP(-LN(2)/2)*AB130+(1-EXP(-LN(2)/2))/(LN(2)/2)*V131*Y131*VLOOKUP('Données projet'!$B$9,Paramètres!$A$1:$I$89,3,0)*0.475*44/12</f>
        <v>3.9226713226325686E-16</v>
      </c>
      <c r="AC131" s="24">
        <f t="shared" si="57"/>
        <v>14.943690846395038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73.85507999999983</v>
      </c>
      <c r="D132" s="12">
        <f t="shared" si="86"/>
        <v>20.627802393045865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729.341548297195</v>
      </c>
      <c r="H132" s="70">
        <f t="shared" ref="H132:H195" si="110">(B132+E132+F132)*44/12+(C132+D132)*0.475*44/12</f>
        <v>457.89102016788786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74.666349571117792</v>
      </c>
      <c r="T132" s="62">
        <f t="shared" si="88"/>
        <v>434.53418368205706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14.316570123120187</v>
      </c>
      <c r="AA132" s="23">
        <f>EXP(-LN(2)/25)*AA131+(1-EXP(-LN(2)/25))/(LN(2)/25)*Calculateur!V132*Calculateur!X132*VLOOKUP('Données projet'!$B$9,Paramètres!$A$1:$I$89,3,0)*0.475*44/12</f>
        <v>0.33144800759010518</v>
      </c>
      <c r="AB132" s="23">
        <f>EXP(-LN(2)/2)*AB131+(1-EXP(-LN(2)/2))/(LN(2)/2)*V132*Y132*VLOOKUP('Données projet'!$B$9,Paramètres!$A$1:$I$89,3,0)*0.475*44/12</f>
        <v>2.7737474925994926E-16</v>
      </c>
      <c r="AC132" s="24">
        <f t="shared" ref="AC132:AC153" si="111">SUM(Z132:AB132)</f>
        <v>14.648018130710291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74.427599999999828</v>
      </c>
      <c r="D133" s="12">
        <f t="shared" ref="D133:D196" si="140">IFERROR(EXP(-1.0587+0.8836*LN(C133)+0.284),0)</f>
        <v>20.769031281410083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734.85118883895382</v>
      </c>
      <c r="H133" s="70">
        <f t="shared" si="110"/>
        <v>459.13413281512226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74.666349571117792</v>
      </c>
      <c r="T133" s="62">
        <f t="shared" ref="T133:T196" si="142">$T$3</f>
        <v>434.53418368205706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14.035830915251337</v>
      </c>
      <c r="AA133" s="23">
        <f>EXP(-LN(2)/25)*AA132+(1-EXP(-LN(2)/25))/(LN(2)/25)*Calculateur!V133*Calculateur!X133*VLOOKUP('Données projet'!$B$9,Paramètres!$A$1:$I$89,3,0)*0.475*44/12</f>
        <v>0.32238454439246056</v>
      </c>
      <c r="AB133" s="23">
        <f>EXP(-LN(2)/2)*AB132+(1-EXP(-LN(2)/2))/(LN(2)/2)*V133*Y133*VLOOKUP('Données projet'!$B$9,Paramètres!$A$1:$I$89,3,0)*0.475*44/12</f>
        <v>1.9613356613162843E-16</v>
      </c>
      <c r="AC133" s="24">
        <f t="shared" si="111"/>
        <v>14.358215459643798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75.000119999999825</v>
      </c>
      <c r="D134" s="12">
        <f t="shared" si="140"/>
        <v>20.910133770877572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740.35985366993089</v>
      </c>
      <c r="H134" s="70">
        <f t="shared" si="110"/>
        <v>460.37702531761147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74.666349571117792</v>
      </c>
      <c r="T134" s="62">
        <f t="shared" si="142"/>
        <v>434.53418368205706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13.760596832014787</v>
      </c>
      <c r="AA134" s="23">
        <f>EXP(-LN(2)/25)*AA133+(1-EXP(-LN(2)/25))/(LN(2)/25)*Calculateur!V134*Calculateur!X134*VLOOKUP('Données projet'!$B$9,Paramètres!$A$1:$I$89,3,0)*0.475*44/12</f>
        <v>0.31356892207258236</v>
      </c>
      <c r="AB134" s="23">
        <f>EXP(-LN(2)/2)*AB133+(1-EXP(-LN(2)/2))/(LN(2)/2)*V134*Y134*VLOOKUP('Données projet'!$B$9,Paramètres!$A$1:$I$89,3,0)*0.475*44/12</f>
        <v>1.3868737462997463E-16</v>
      </c>
      <c r="AC134" s="24">
        <f t="shared" si="111"/>
        <v>14.074165754087369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75.572639999999822</v>
      </c>
      <c r="D135" s="12">
        <f t="shared" si="140"/>
        <v>21.051110938179633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745.86755110173624</v>
      </c>
      <c r="H135" s="70">
        <f t="shared" si="110"/>
        <v>461.61969955066252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74.666349571117792</v>
      </c>
      <c r="T135" s="62">
        <f t="shared" si="142"/>
        <v>434.53418368205706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13.490759921274291</v>
      </c>
      <c r="AA135" s="23">
        <f>EXP(-LN(2)/25)*AA134+(1-EXP(-LN(2)/25))/(LN(2)/25)*Calculateur!V135*Calculateur!X135*VLOOKUP('Données projet'!$B$9,Paramètres!$A$1:$I$89,3,0)*0.475*44/12</f>
        <v>0.30499436340863467</v>
      </c>
      <c r="AB135" s="23">
        <f>EXP(-LN(2)/2)*AB134+(1-EXP(-LN(2)/2))/(LN(2)/2)*V135*Y135*VLOOKUP('Données projet'!$B$9,Paramètres!$A$1:$I$89,3,0)*0.475*44/12</f>
        <v>9.8066783065814216E-17</v>
      </c>
      <c r="AC135" s="24">
        <f t="shared" si="111"/>
        <v>13.795754284682927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76.145159999999819</v>
      </c>
      <c r="D136" s="12">
        <f t="shared" si="140"/>
        <v>21.19196384279115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751.37428931277248</v>
      </c>
      <c r="H136" s="70">
        <f t="shared" si="110"/>
        <v>462.8621573595276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74.666349571117792</v>
      </c>
      <c r="T136" s="62">
        <f t="shared" si="142"/>
        <v>434.53418368205706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13.226214347769153</v>
      </c>
      <c r="AA136" s="23">
        <f>EXP(-LN(2)/25)*AA135+(1-EXP(-LN(2)/25))/(LN(2)/25)*Calculateur!V136*Calculateur!X136*VLOOKUP('Données projet'!$B$9,Paramètres!$A$1:$I$89,3,0)*0.475*44/12</f>
        <v>0.29665427650226905</v>
      </c>
      <c r="AB136" s="23">
        <f>EXP(-LN(2)/2)*AB135+(1-EXP(-LN(2)/2))/(LN(2)/2)*V136*Y136*VLOOKUP('Données projet'!$B$9,Paramètres!$A$1:$I$89,3,0)*0.475*44/12</f>
        <v>6.9343687314987316E-17</v>
      </c>
      <c r="AC136" s="24">
        <f t="shared" si="111"/>
        <v>13.522868624271421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76.717679999999817</v>
      </c>
      <c r="D137" s="12">
        <f t="shared" si="140"/>
        <v>21.332693527334662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756.88007635135375</v>
      </c>
      <c r="H137" s="70">
        <f t="shared" si="110"/>
        <v>464.10440056010754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74.666349571117792</v>
      </c>
      <c r="T137" s="62">
        <f t="shared" si="142"/>
        <v>434.53418368205706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12.966856351603582</v>
      </c>
      <c r="AA137" s="23">
        <f>EXP(-LN(2)/25)*AA136+(1-EXP(-LN(2)/25))/(LN(2)/25)*Calculateur!V137*Calculateur!X137*VLOOKUP('Données projet'!$B$9,Paramètres!$A$1:$I$89,3,0)*0.475*44/12</f>
        <v>0.28854224971094411</v>
      </c>
      <c r="AB137" s="23">
        <f>EXP(-LN(2)/2)*AB136+(1-EXP(-LN(2)/2))/(LN(2)/2)*V137*Y137*VLOOKUP('Données projet'!$B$9,Paramètres!$A$1:$I$89,3,0)*0.475*44/12</f>
        <v>4.9033391532907108E-17</v>
      </c>
      <c r="AC137" s="24">
        <f t="shared" si="111"/>
        <v>13.255398601314527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77.290199999999814</v>
      </c>
      <c r="D138" s="12">
        <f t="shared" si="140"/>
        <v>21.473301017972254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762.38492013873167</v>
      </c>
      <c r="H138" s="70">
        <f t="shared" si="110"/>
        <v>465.34643093963462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74.666349571117792</v>
      </c>
      <c r="T138" s="62">
        <f t="shared" si="142"/>
        <v>434.53418368205706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12.71258420755006</v>
      </c>
      <c r="AA138" s="23">
        <f>EXP(-LN(2)/25)*AA137+(1-EXP(-LN(2)/25))/(LN(2)/25)*Calculateur!V138*Calculateur!X138*VLOOKUP('Données projet'!$B$9,Paramètres!$A$1:$I$89,3,0)*0.475*44/12</f>
        <v>0.28065204671882088</v>
      </c>
      <c r="AB138" s="23">
        <f>EXP(-LN(2)/2)*AB137+(1-EXP(-LN(2)/2))/(LN(2)/2)*V138*Y138*VLOOKUP('Données projet'!$B$9,Paramètres!$A$1:$I$89,3,0)*0.475*44/12</f>
        <v>3.4671843657493658E-17</v>
      </c>
      <c r="AC138" s="24">
        <f t="shared" si="111"/>
        <v>12.993236254268881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77.862719999999811</v>
      </c>
      <c r="D139" s="12">
        <f t="shared" si="140"/>
        <v>21.613787324785267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767.88882847202512</v>
      </c>
      <c r="H139" s="70">
        <f t="shared" si="110"/>
        <v>466.58825025733398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74.666349571117792</v>
      </c>
      <c r="T139" s="62">
        <f t="shared" si="142"/>
        <v>434.53418368205706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12.463298185150736</v>
      </c>
      <c r="AA139" s="23">
        <f>EXP(-LN(2)/25)*AA138+(1-EXP(-LN(2)/25))/(LN(2)/25)*Calculateur!V139*Calculateur!X139*VLOOKUP('Données projet'!$B$9,Paramètres!$A$1:$I$89,3,0)*0.475*44/12</f>
        <v>0.27297760174244501</v>
      </c>
      <c r="AB139" s="23">
        <f>EXP(-LN(2)/2)*AB138+(1-EXP(-LN(2)/2))/(LN(2)/2)*V139*Y139*VLOOKUP('Données projet'!$B$9,Paramètres!$A$1:$I$89,3,0)*0.475*44/12</f>
        <v>2.4516695766453554E-17</v>
      </c>
      <c r="AC139" s="24">
        <f t="shared" si="111"/>
        <v>12.736275786893181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78.435239999999808</v>
      </c>
      <c r="D140" s="12">
        <f t="shared" si="140"/>
        <v>21.754153442142727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773.39180902706528</v>
      </c>
      <c r="H140" s="70">
        <f t="shared" si="110"/>
        <v>467.82986024506488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74.666349571117792</v>
      </c>
      <c r="T140" s="62">
        <f t="shared" si="142"/>
        <v>434.53418368205706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12.218900509601202</v>
      </c>
      <c r="AA140" s="23">
        <f>EXP(-LN(2)/25)*AA139+(1-EXP(-LN(2)/25))/(LN(2)/25)*Calculateur!V140*Calculateur!X140*VLOOKUP('Données projet'!$B$9,Paramètres!$A$1:$I$89,3,0)*0.475*44/12</f>
        <v>0.26551301486752965</v>
      </c>
      <c r="AB140" s="23">
        <f>EXP(-LN(2)/2)*AB139+(1-EXP(-LN(2)/2))/(LN(2)/2)*V140*Y140*VLOOKUP('Données projet'!$B$9,Paramètres!$A$1:$I$89,3,0)*0.475*44/12</f>
        <v>1.7335921828746829E-17</v>
      </c>
      <c r="AC140" s="24">
        <f t="shared" si="111"/>
        <v>12.484413524468732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79.007759999999806</v>
      </c>
      <c r="D141" s="12">
        <f t="shared" si="140"/>
        <v>21.894400349058607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778.89386936115272</v>
      </c>
      <c r="H141" s="70">
        <f t="shared" si="110"/>
        <v>469.07126260794337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74.666349571117792</v>
      </c>
      <c r="T141" s="62">
        <f t="shared" si="142"/>
        <v>434.53418368205706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11.979295323401331</v>
      </c>
      <c r="AA141" s="23">
        <f>EXP(-LN(2)/25)*AA140+(1-EXP(-LN(2)/25))/(LN(2)/25)*Calculateur!V141*Calculateur!X141*VLOOKUP('Données projet'!$B$9,Paramètres!$A$1:$I$89,3,0)*0.475*44/12</f>
        <v>0.25825254751325444</v>
      </c>
      <c r="AB141" s="23">
        <f>EXP(-LN(2)/2)*AB140+(1-EXP(-LN(2)/2))/(LN(2)/2)*V141*Y141*VLOOKUP('Données projet'!$B$9,Paramètres!$A$1:$I$89,3,0)*0.475*44/12</f>
        <v>1.2258347883226777E-17</v>
      </c>
      <c r="AC141" s="24">
        <f t="shared" si="111"/>
        <v>12.237547870914586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79.580279999999803</v>
      </c>
      <c r="D142" s="12">
        <f t="shared" si="140"/>
        <v>22.034529009538403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784.39501691573344</v>
      </c>
      <c r="H142" s="70">
        <f t="shared" si="110"/>
        <v>470.31245902494572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74.666349571117792</v>
      </c>
      <c r="T142" s="62">
        <f t="shared" si="142"/>
        <v>434.53418368205706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11.744388648758106</v>
      </c>
      <c r="AA142" s="23">
        <f>EXP(-LN(2)/25)*AA141+(1-EXP(-LN(2)/25))/(LN(2)/25)*Calculateur!V142*Calculateur!X142*VLOOKUP('Données projet'!$B$9,Paramètres!$A$1:$I$89,3,0)*0.475*44/12</f>
        <v>0.25119061802059328</v>
      </c>
      <c r="AB142" s="23">
        <f>EXP(-LN(2)/2)*AB141+(1-EXP(-LN(2)/2))/(LN(2)/2)*V142*Y142*VLOOKUP('Données projet'!$B$9,Paramètres!$A$1:$I$89,3,0)*0.475*44/12</f>
        <v>8.6679609143734145E-18</v>
      </c>
      <c r="AC142" s="24">
        <f t="shared" si="111"/>
        <v>11.9955792667787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80.1527999999998</v>
      </c>
      <c r="D143" s="12">
        <f t="shared" si="140"/>
        <v>22.174540372915562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789.89525901899572</v>
      </c>
      <c r="H143" s="70">
        <f t="shared" si="110"/>
        <v>471.55345114949421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74.666349571117792</v>
      </c>
      <c r="T143" s="62">
        <f t="shared" si="142"/>
        <v>434.53418368205706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11.514088350725711</v>
      </c>
      <c r="AA143" s="23">
        <f>EXP(-LN(2)/25)*AA142+(1-EXP(-LN(2)/25))/(LN(2)/25)*Calculateur!V143*Calculateur!X143*VLOOKUP('Données projet'!$B$9,Paramètres!$A$1:$I$89,3,0)*0.475*44/12</f>
        <v>0.24432179736127965</v>
      </c>
      <c r="AB143" s="23">
        <f>EXP(-LN(2)/2)*AB142+(1-EXP(-LN(2)/2))/(LN(2)/2)*V143*Y143*VLOOKUP('Données projet'!$B$9,Paramètres!$A$1:$I$89,3,0)*0.475*44/12</f>
        <v>6.1291739416133885E-18</v>
      </c>
      <c r="AC143" s="24">
        <f t="shared" si="111"/>
        <v>11.758410148086991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80.725319999999797</v>
      </c>
      <c r="D144" s="12">
        <f t="shared" si="140"/>
        <v>22.314435374177922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795.39460288838939</v>
      </c>
      <c r="H144" s="70">
        <f t="shared" si="110"/>
        <v>472.79424061002612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74.666349571117792</v>
      </c>
      <c r="T144" s="62">
        <f t="shared" si="142"/>
        <v>434.53418368205706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11.28830410106842</v>
      </c>
      <c r="AA144" s="23">
        <f>EXP(-LN(2)/25)*AA143+(1-EXP(-LN(2)/25))/(LN(2)/25)*Calculateur!V144*Calculateur!X144*VLOOKUP('Données projet'!$B$9,Paramètres!$A$1:$I$89,3,0)*0.475*44/12</f>
        <v>0.23764080496411055</v>
      </c>
      <c r="AB144" s="23">
        <f>EXP(-LN(2)/2)*AB143+(1-EXP(-LN(2)/2))/(LN(2)/2)*V144*Y144*VLOOKUP('Données projet'!$B$9,Paramètres!$A$1:$I$89,3,0)*0.475*44/12</f>
        <v>4.3339804571867072E-18</v>
      </c>
      <c r="AC144" s="24">
        <f t="shared" si="111"/>
        <v>11.52594490603253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81.297839999999795</v>
      </c>
      <c r="D145" s="12">
        <f t="shared" si="140"/>
        <v>22.454214934284618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800.89305563307278</v>
      </c>
      <c r="H145" s="70">
        <f t="shared" si="110"/>
        <v>474.03482901054531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74.666349571117792</v>
      </c>
      <c r="T145" s="62">
        <f t="shared" si="142"/>
        <v>434.53418368205706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11.066947342832114</v>
      </c>
      <c r="AA145" s="23">
        <f>EXP(-LN(2)/25)*AA144+(1-EXP(-LN(2)/25))/(LN(2)/25)*Calculateur!V145*Calculateur!X145*VLOOKUP('Données projet'!$B$9,Paramètres!$A$1:$I$89,3,0)*0.475*44/12</f>
        <v>0.23114250465538017</v>
      </c>
      <c r="AB145" s="23">
        <f>EXP(-LN(2)/2)*AB144+(1-EXP(-LN(2)/2))/(LN(2)/2)*V145*Y145*VLOOKUP('Données projet'!$B$9,Paramètres!$A$1:$I$89,3,0)*0.475*44/12</f>
        <v>3.0645869708066942E-18</v>
      </c>
      <c r="AC145" s="24">
        <f t="shared" si="111"/>
        <v>11.298089847487494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81.870359999999792</v>
      </c>
      <c r="D146" s="12">
        <f t="shared" si="140"/>
        <v>22.593879960473949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806.39062425628856</v>
      </c>
      <c r="H146" s="70">
        <f t="shared" si="110"/>
        <v>475.27521793115841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74.666349571117792</v>
      </c>
      <c r="T146" s="62">
        <f t="shared" si="142"/>
        <v>434.53418368205706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10.849931255610532</v>
      </c>
      <c r="AA146" s="23">
        <f>EXP(-LN(2)/25)*AA145+(1-EXP(-LN(2)/25))/(LN(2)/25)*Calculateur!V146*Calculateur!X146*VLOOKUP('Données projet'!$B$9,Paramètres!$A$1:$I$89,3,0)*0.475*44/12</f>
        <v>0.22482190071032276</v>
      </c>
      <c r="AB146" s="23">
        <f>EXP(-LN(2)/2)*AB145+(1-EXP(-LN(2)/2))/(LN(2)/2)*V146*Y146*VLOOKUP('Données projet'!$B$9,Paramètres!$A$1:$I$89,3,0)*0.475*44/12</f>
        <v>2.1669902285933536E-18</v>
      </c>
      <c r="AC146" s="24">
        <f t="shared" si="111"/>
        <v>11.074753156320854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82.442879999999789</v>
      </c>
      <c r="D147" s="12">
        <f t="shared" si="140"/>
        <v>22.733431346562206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811.88731565767148</v>
      </c>
      <c r="H147" s="70">
        <f t="shared" si="110"/>
        <v>476.51540892859543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74.666349571117792</v>
      </c>
      <c r="T147" s="62">
        <f t="shared" si="142"/>
        <v>434.53418368205706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10.637170721492621</v>
      </c>
      <c r="AA147" s="23">
        <f>EXP(-LN(2)/25)*AA146+(1-EXP(-LN(2)/25))/(LN(2)/25)*Calculateur!V147*Calculateur!X147*VLOOKUP('Données projet'!$B$9,Paramètres!$A$1:$I$89,3,0)*0.475*44/12</f>
        <v>0.21867413401252905</v>
      </c>
      <c r="AB147" s="23">
        <f>EXP(-LN(2)/2)*AB146+(1-EXP(-LN(2)/2))/(LN(2)/2)*V147*Y147*VLOOKUP('Données projet'!$B$9,Paramètres!$A$1:$I$89,3,0)*0.475*44/12</f>
        <v>1.5322934854033471E-18</v>
      </c>
      <c r="AC147" s="24">
        <f t="shared" si="111"/>
        <v>10.855844855505151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83.015399999999786</v>
      </c>
      <c r="D148" s="12">
        <f t="shared" si="140"/>
        <v>22.872869973234028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817.38313663548922</v>
      </c>
      <c r="H148" s="70">
        <f t="shared" si="110"/>
        <v>477.75540353671556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74.666349571117792</v>
      </c>
      <c r="T148" s="62">
        <f t="shared" si="142"/>
        <v>434.53418368205706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10.428582291677651</v>
      </c>
      <c r="AA148" s="23">
        <f>EXP(-LN(2)/25)*AA147+(1-EXP(-LN(2)/25))/(LN(2)/25)*Calculateur!V148*Calculateur!X148*VLOOKUP('Données projet'!$B$9,Paramètres!$A$1:$I$89,3,0)*0.475*44/12</f>
        <v>0.21269447831838353</v>
      </c>
      <c r="AB148" s="23">
        <f>EXP(-LN(2)/2)*AB147+(1-EXP(-LN(2)/2))/(LN(2)/2)*V148*Y148*VLOOKUP('Données projet'!$B$9,Paramètres!$A$1:$I$89,3,0)*0.475*44/12</f>
        <v>1.0834951142966768E-18</v>
      </c>
      <c r="AC148" s="24">
        <f t="shared" si="111"/>
        <v>10.641276769996034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83.587919999999784</v>
      </c>
      <c r="D149" s="12">
        <f t="shared" si="140"/>
        <v>23.012196708324609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822.87809388881988</v>
      </c>
      <c r="H149" s="70">
        <f t="shared" si="110"/>
        <v>478.99520326699826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74.666349571117792</v>
      </c>
      <c r="T149" s="62">
        <f t="shared" si="142"/>
        <v>434.53418368205706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10.224084153744974</v>
      </c>
      <c r="AA149" s="23">
        <f>EXP(-LN(2)/25)*AA148+(1-EXP(-LN(2)/25))/(LN(2)/25)*Calculateur!V149*Calculateur!X149*VLOOKUP('Données projet'!$B$9,Paramètres!$A$1:$I$89,3,0)*0.475*44/12</f>
        <v>0.20687833662365085</v>
      </c>
      <c r="AB149" s="23">
        <f>EXP(-LN(2)/2)*AB148+(1-EXP(-LN(2)/2))/(LN(2)/2)*V149*Y149*VLOOKUP('Données projet'!$B$9,Paramètres!$A$1:$I$89,3,0)*0.475*44/12</f>
        <v>7.6614674270167356E-19</v>
      </c>
      <c r="AC149" s="24">
        <f t="shared" si="111"/>
        <v>10.430962490368625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84.160439999999781</v>
      </c>
      <c r="D150" s="12">
        <f t="shared" si="140"/>
        <v>23.15141240709379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828.37219401966968</v>
      </c>
      <c r="H150" s="70">
        <f t="shared" si="110"/>
        <v>480.23480960902123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74.666349571117792</v>
      </c>
      <c r="T150" s="62">
        <f t="shared" si="142"/>
        <v>434.53418368205706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10.023596099565607</v>
      </c>
      <c r="AA150" s="23">
        <f>EXP(-LN(2)/25)*AA149+(1-EXP(-LN(2)/25))/(LN(2)/25)*Calculateur!V150*Calculateur!X150*VLOOKUP('Données projet'!$B$9,Paramètres!$A$1:$I$89,3,0)*0.475*44/12</f>
        <v>0.20122123762941821</v>
      </c>
      <c r="AB150" s="23">
        <f>EXP(-LN(2)/2)*AB149+(1-EXP(-LN(2)/2))/(LN(2)/2)*V150*Y150*VLOOKUP('Données projet'!$B$9,Paramètres!$A$1:$I$89,3,0)*0.475*44/12</f>
        <v>5.417475571483384E-19</v>
      </c>
      <c r="AC150" s="24">
        <f t="shared" si="111"/>
        <v>10.224817337195026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84.732959999999778</v>
      </c>
      <c r="D151" s="12">
        <f t="shared" si="140"/>
        <v>23.290517912492593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833.86544353502893</v>
      </c>
      <c r="H151" s="70">
        <f t="shared" si="110"/>
        <v>481.47422403092418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74.666349571117792</v>
      </c>
      <c r="T151" s="62">
        <f t="shared" si="142"/>
        <v>434.53418368205706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9.8270394938430599</v>
      </c>
      <c r="AA151" s="23">
        <f>EXP(-LN(2)/25)*AA150+(1-EXP(-LN(2)/25))/(LN(2)/25)*Calculateur!V151*Calculateur!X151*VLOOKUP('Données projet'!$B$9,Paramètres!$A$1:$I$89,3,0)*0.475*44/12</f>
        <v>0.19571883230467677</v>
      </c>
      <c r="AB151" s="23">
        <f>EXP(-LN(2)/2)*AB150+(1-EXP(-LN(2)/2))/(LN(2)/2)*V151*Y151*VLOOKUP('Données projet'!$B$9,Paramètres!$A$1:$I$89,3,0)*0.475*44/12</f>
        <v>3.8307337135083678E-19</v>
      </c>
      <c r="AC151" s="24">
        <f t="shared" si="111"/>
        <v>10.022758326147736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85.305479999999775</v>
      </c>
      <c r="D152" s="12">
        <f t="shared" si="140"/>
        <v>23.429514055422338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839.35784884887244</v>
      </c>
      <c r="H152" s="70">
        <f t="shared" si="110"/>
        <v>482.71344797986012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74.666349571117792</v>
      </c>
      <c r="T152" s="62">
        <f t="shared" si="142"/>
        <v>434.53418368205706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9.6343372432710392</v>
      </c>
      <c r="AA152" s="23">
        <f>EXP(-LN(2)/25)*AA151+(1-EXP(-LN(2)/25))/(LN(2)/25)*Calculateur!V152*Calculateur!X152*VLOOKUP('Données projet'!$B$9,Paramètres!$A$1:$I$89,3,0)*0.475*44/12</f>
        <v>0.19036689054289932</v>
      </c>
      <c r="AB152" s="23">
        <f>EXP(-LN(2)/2)*AB151+(1-EXP(-LN(2)/2))/(LN(2)/2)*V152*Y152*VLOOKUP('Données projet'!$B$9,Paramètres!$A$1:$I$89,3,0)*0.475*44/12</f>
        <v>2.708737785741692E-19</v>
      </c>
      <c r="AC152" s="24">
        <f t="shared" si="111"/>
        <v>9.8247041338139383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85.877999999999773</v>
      </c>
      <c r="D153" s="12">
        <f t="shared" si="140"/>
        <v>23.568401654986477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844.84941628410445</v>
      </c>
      <c r="H153" s="70">
        <f t="shared" si="110"/>
        <v>483.95248288243431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74.666349571117792</v>
      </c>
      <c r="T153" s="62">
        <f t="shared" si="142"/>
        <v>434.53418368205706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9.4454137662959692</v>
      </c>
      <c r="AA153" s="23">
        <f>EXP(-LN(2)/25)*AA152+(1-EXP(-LN(2)/25))/(LN(2)/25)*Calculateur!V153*Calculateur!X153*VLOOKUP('Données projet'!$B$9,Paramètres!$A$1:$I$89,3,0)*0.475*44/12</f>
        <v>0.18516129791004404</v>
      </c>
      <c r="AB153" s="23">
        <f>EXP(-LN(2)/2)*AB152+(1-EXP(-LN(2)/2))/(LN(2)/2)*V153*Y153*VLOOKUP('Données projet'!$B$9,Paramètres!$A$1:$I$89,3,0)*0.475*44/12</f>
        <v>1.9153668567541839E-19</v>
      </c>
      <c r="AC153" s="24">
        <f t="shared" si="111"/>
        <v>9.6305750642060133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86.45051999999977</v>
      </c>
      <c r="D154" s="12">
        <f t="shared" si="140"/>
        <v>23.70718151873578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850.34015207444997</v>
      </c>
      <c r="H154" s="70">
        <f t="shared" si="110"/>
        <v>485.19133014513102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74.666349571117792</v>
      </c>
      <c r="T154" s="62">
        <f t="shared" si="142"/>
        <v>434.53418368205706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9.2601949634724381</v>
      </c>
      <c r="AA154" s="23">
        <f>EXP(-LN(2)/25)*AA153+(1-EXP(-LN(2)/25))/(LN(2)/25)*Calculateur!V154*Calculateur!X154*VLOOKUP('Données projet'!$B$9,Paramètres!$A$1:$I$89,3,0)*0.475*44/12</f>
        <v>0.18009805248148442</v>
      </c>
      <c r="AB154" s="23">
        <f>EXP(-LN(2)/2)*AB153+(1-EXP(-LN(2)/2))/(LN(2)/2)*V154*Y154*VLOOKUP('Données projet'!$B$9,Paramètres!$A$1:$I$89,3,0)*0.475*44/12</f>
        <v>1.354368892870846E-19</v>
      </c>
      <c r="AC154" s="24">
        <f t="shared" ref="AC154:AC203" si="163">SUM(Z154:AB154)</f>
        <v>9.4402930159539231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87.023039999999767</v>
      </c>
      <c r="D155" s="12">
        <f t="shared" si="140"/>
        <v>23.845854442906514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855.8300623662941</v>
      </c>
      <c r="H155" s="70">
        <f t="shared" si="110"/>
        <v>486.42999115472844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74.666349571117792</v>
      </c>
      <c r="T155" s="62">
        <f t="shared" si="142"/>
        <v>434.53418368205706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9.0786081883999614</v>
      </c>
      <c r="AA155" s="23">
        <f>EXP(-LN(2)/25)*AA154+(1-EXP(-LN(2)/25))/(LN(2)/25)*Calculateur!V155*Calculateur!X155*VLOOKUP('Données projet'!$B$9,Paramètres!$A$1:$I$89,3,0)*0.475*44/12</f>
        <v>0.17517326176543327</v>
      </c>
      <c r="AB155" s="23">
        <f>EXP(-LN(2)/2)*AB154+(1-EXP(-LN(2)/2))/(LN(2)/2)*V155*Y155*VLOOKUP('Données projet'!$B$9,Paramètres!$A$1:$I$89,3,0)*0.475*44/12</f>
        <v>9.5768342837709195E-20</v>
      </c>
      <c r="AC155" s="24">
        <f t="shared" si="163"/>
        <v>9.2537814501653948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87.595559999999764</v>
      </c>
      <c r="D156" s="12">
        <f t="shared" si="140"/>
        <v>23.984421212652432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861.31915322047314</v>
      </c>
      <c r="H156" s="70">
        <f t="shared" si="110"/>
        <v>487.66846727870256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74.666349571117792</v>
      </c>
      <c r="T156" s="62">
        <f t="shared" si="142"/>
        <v>434.53418368205706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8.9005822192296602</v>
      </c>
      <c r="AA156" s="23">
        <f>EXP(-LN(2)/25)*AA155+(1-EXP(-LN(2)/25))/(LN(2)/25)*Calculateur!V156*Calculateur!X156*VLOOKUP('Données projet'!$B$9,Paramètres!$A$1:$I$89,3,0)*0.475*44/12</f>
        <v>0.17038313971049601</v>
      </c>
      <c r="AB156" s="23">
        <f>EXP(-LN(2)/2)*AB155+(1-EXP(-LN(2)/2))/(LN(2)/2)*V156*Y156*VLOOKUP('Données projet'!$B$9,Paramètres!$A$1:$I$89,3,0)*0.475*44/12</f>
        <v>6.7718444643542301E-20</v>
      </c>
      <c r="AC156" s="24">
        <f t="shared" si="163"/>
        <v>9.0709653589401569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88.168079999999762</v>
      </c>
      <c r="D157" s="12">
        <f t="shared" si="140"/>
        <v>24.122882602270423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866.80743061401552</v>
      </c>
      <c r="H157" s="70">
        <f t="shared" si="110"/>
        <v>488.90675986562053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74.666349571117792</v>
      </c>
      <c r="T157" s="62">
        <f t="shared" si="142"/>
        <v>434.53418368205706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8.7260472307296695</v>
      </c>
      <c r="AA157" s="23">
        <f>EXP(-LN(2)/25)*AA156+(1-EXP(-LN(2)/25))/(LN(2)/25)*Calculateur!V157*Calculateur!X157*VLOOKUP('Données projet'!$B$9,Paramètres!$A$1:$I$89,3,0)*0.475*44/12</f>
        <v>0.16572400379505259</v>
      </c>
      <c r="AB157" s="23">
        <f>EXP(-LN(2)/2)*AB156+(1-EXP(-LN(2)/2))/(LN(2)/2)*V157*Y157*VLOOKUP('Données projet'!$B$9,Paramètres!$A$1:$I$89,3,0)*0.475*44/12</f>
        <v>4.7884171418854597E-20</v>
      </c>
      <c r="AC157" s="24">
        <f t="shared" si="163"/>
        <v>8.8917712345247217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88.740599999999759</v>
      </c>
      <c r="D158" s="12">
        <f t="shared" si="140"/>
        <v>24.261239375420136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872.29490044183785</v>
      </c>
      <c r="H158" s="70">
        <f t="shared" si="110"/>
        <v>490.14487024552295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74.666349571117792</v>
      </c>
      <c r="T158" s="62">
        <f t="shared" si="142"/>
        <v>434.53418368205706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8.5549347668983309</v>
      </c>
      <c r="AA158" s="23">
        <f>EXP(-LN(2)/25)*AA157+(1-EXP(-LN(2)/25))/(LN(2)/25)*Calculateur!V158*Calculateur!X158*VLOOKUP('Données projet'!$B$9,Paramètres!$A$1:$I$89,3,0)*0.475*44/12</f>
        <v>0.16119227219623028</v>
      </c>
      <c r="AB158" s="23">
        <f>EXP(-LN(2)/2)*AB157+(1-EXP(-LN(2)/2))/(LN(2)/2)*V158*Y158*VLOOKUP('Données projet'!$B$9,Paramètres!$A$1:$I$89,3,0)*0.475*44/12</f>
        <v>3.385922232177115E-20</v>
      </c>
      <c r="AC158" s="24">
        <f t="shared" si="163"/>
        <v>8.7161270390945607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89.313119999999756</v>
      </c>
      <c r="D159" s="12">
        <f t="shared" si="140"/>
        <v>24.399492285337704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877.78156851839447</v>
      </c>
      <c r="H159" s="70">
        <f t="shared" si="110"/>
        <v>491.38279973029603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74.666349571117792</v>
      </c>
      <c r="T159" s="62">
        <f t="shared" si="142"/>
        <v>434.53418368205706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8.3871777141144275</v>
      </c>
      <c r="AA159" s="23">
        <f>EXP(-LN(2)/25)*AA158+(1-EXP(-LN(2)/25))/(LN(2)/25)*Calculateur!V159*Calculateur!X159*VLOOKUP('Données projet'!$B$9,Paramètres!$A$1:$I$89,3,0)*0.475*44/12</f>
        <v>0.15678446103629118</v>
      </c>
      <c r="AB159" s="23">
        <f>EXP(-LN(2)/2)*AB158+(1-EXP(-LN(2)/2))/(LN(2)/2)*V159*Y159*VLOOKUP('Données projet'!$B$9,Paramètres!$A$1:$I$89,3,0)*0.475*44/12</f>
        <v>2.3942085709427299E-20</v>
      </c>
      <c r="AC159" s="24">
        <f t="shared" si="163"/>
        <v>8.5439621751507193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89.885639999999754</v>
      </c>
      <c r="D160" s="12">
        <f t="shared" si="140"/>
        <v>24.537642075044012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883.26744057928533</v>
      </c>
      <c r="H160" s="70">
        <f t="shared" si="110"/>
        <v>492.62054961403453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74.666349571117792</v>
      </c>
      <c r="T160" s="62">
        <f t="shared" si="142"/>
        <v>434.53418368205706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8.2227102748139185</v>
      </c>
      <c r="AA160" s="23">
        <f>EXP(-LN(2)/25)*AA159+(1-EXP(-LN(2)/25))/(LN(2)/25)*Calculateur!V160*Calculateur!X160*VLOOKUP('Données projet'!$B$9,Paramètres!$A$1:$I$89,3,0)*0.475*44/12</f>
        <v>0.15249718170431734</v>
      </c>
      <c r="AB160" s="23">
        <f>EXP(-LN(2)/2)*AB159+(1-EXP(-LN(2)/2))/(LN(2)/2)*V160*Y160*VLOOKUP('Données projet'!$B$9,Paramètres!$A$1:$I$89,3,0)*0.475*44/12</f>
        <v>1.6929611160885575E-20</v>
      </c>
      <c r="AC160" s="24">
        <f t="shared" si="163"/>
        <v>8.3752074565182362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90.458159999999751</v>
      </c>
      <c r="D161" s="12">
        <f t="shared" si="140"/>
        <v>24.675689477547351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888.75252228281977</v>
      </c>
      <c r="H161" s="70">
        <f t="shared" si="110"/>
        <v>493.85812117339447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74.666349571117792</v>
      </c>
      <c r="T161" s="62">
        <f t="shared" si="142"/>
        <v>434.53418368205706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8.0614679416828601</v>
      </c>
      <c r="AA161" s="23">
        <f>EXP(-LN(2)/25)*AA160+(1-EXP(-LN(2)/25))/(LN(2)/25)*Calculateur!V161*Calculateur!X161*VLOOKUP('Données projet'!$B$9,Paramètres!$A$1:$I$89,3,0)*0.475*44/12</f>
        <v>0.14832713825113453</v>
      </c>
      <c r="AB161" s="23">
        <f>EXP(-LN(2)/2)*AB160+(1-EXP(-LN(2)/2))/(LN(2)/2)*V161*Y161*VLOOKUP('Données projet'!$B$9,Paramètres!$A$1:$I$89,3,0)*0.475*44/12</f>
        <v>1.1971042854713649E-20</v>
      </c>
      <c r="AC161" s="24">
        <f t="shared" si="163"/>
        <v>8.2097950799339952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91.030679999999748</v>
      </c>
      <c r="D162" s="12">
        <f t="shared" si="140"/>
        <v>24.813635216040794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894.23681921154105</v>
      </c>
      <c r="H162" s="70">
        <f t="shared" si="110"/>
        <v>495.09551566793721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74.666349571117792</v>
      </c>
      <c r="T162" s="62">
        <f t="shared" si="142"/>
        <v>434.53418368205706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7.9033874723563891</v>
      </c>
      <c r="AA162" s="23">
        <f>EXP(-LN(2)/25)*AA161+(1-EXP(-LN(2)/25))/(LN(2)/25)*Calculateur!V162*Calculateur!X162*VLOOKUP('Données projet'!$B$9,Paramètres!$A$1:$I$89,3,0)*0.475*44/12</f>
        <v>0.14427112485547205</v>
      </c>
      <c r="AB162" s="23">
        <f>EXP(-LN(2)/2)*AB161+(1-EXP(-LN(2)/2))/(LN(2)/2)*V162*Y162*VLOOKUP('Données projet'!$B$9,Paramètres!$A$1:$I$89,3,0)*0.475*44/12</f>
        <v>8.4648055804427876E-21</v>
      </c>
      <c r="AC162" s="24">
        <f t="shared" si="163"/>
        <v>8.0476585972118606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91.603199999999745</v>
      </c>
      <c r="D163" s="12">
        <f t="shared" si="140"/>
        <v>24.951480004094567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899.72033687371049</v>
      </c>
      <c r="H163" s="70">
        <f t="shared" si="110"/>
        <v>496.33273434046424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74.666349571117792</v>
      </c>
      <c r="T163" s="62">
        <f t="shared" si="142"/>
        <v>434.53418368205706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7.7484068646138446</v>
      </c>
      <c r="AA163" s="23">
        <f>EXP(-LN(2)/25)*AA162+(1-EXP(-LN(2)/25))/(LN(2)/25)*Calculateur!V163*Calculateur!X163*VLOOKUP('Données projet'!$B$9,Paramètres!$A$1:$I$89,3,0)*0.475*44/12</f>
        <v>0.14032602335941044</v>
      </c>
      <c r="AB163" s="23">
        <f>EXP(-LN(2)/2)*AB162+(1-EXP(-LN(2)/2))/(LN(2)/2)*V163*Y163*VLOOKUP('Données projet'!$B$9,Paramètres!$A$1:$I$89,3,0)*0.475*44/12</f>
        <v>5.9855214273568247E-21</v>
      </c>
      <c r="AC163" s="24">
        <f t="shared" si="163"/>
        <v>7.888732887973255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92.175719999999743</v>
      </c>
      <c r="D164" s="12">
        <f t="shared" si="140"/>
        <v>25.089224545843408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905.20308070475414</v>
      </c>
      <c r="H164" s="70">
        <f t="shared" si="110"/>
        <v>497.56977841734346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74.666349571117792</v>
      </c>
      <c r="T164" s="62">
        <f t="shared" si="142"/>
        <v>434.53418368205706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7.5964653320602951</v>
      </c>
      <c r="AA164" s="23">
        <f>EXP(-LN(2)/25)*AA163+(1-EXP(-LN(2)/25))/(LN(2)/25)*Calculateur!V164*Calculateur!X164*VLOOKUP('Données projet'!$B$9,Paramètres!$A$1:$I$89,3,0)*0.475*44/12</f>
        <v>0.1364888008712225</v>
      </c>
      <c r="AB164" s="23">
        <f>EXP(-LN(2)/2)*AB163+(1-EXP(-LN(2)/2))/(LN(2)/2)*V164*Y164*VLOOKUP('Données projet'!$B$9,Paramètres!$A$1:$I$89,3,0)*0.475*44/12</f>
        <v>4.2324027902213938E-21</v>
      </c>
      <c r="AC164" s="24">
        <f t="shared" si="163"/>
        <v>7.7329541329315177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92.74823999999974</v>
      </c>
      <c r="D165" s="12">
        <f t="shared" si="140"/>
        <v>25.226869536169147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910.68505606867211</v>
      </c>
      <c r="H165" s="70">
        <f t="shared" si="110"/>
        <v>498.80664910882746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74.666349571117792</v>
      </c>
      <c r="T165" s="62">
        <f t="shared" si="142"/>
        <v>434.53418368205706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7.4475032802849359</v>
      </c>
      <c r="AA165" s="23">
        <f>EXP(-LN(2)/25)*AA164+(1-EXP(-LN(2)/25))/(LN(2)/25)*Calculateur!V165*Calculateur!X165*VLOOKUP('Données projet'!$B$9,Paramètres!$A$1:$I$89,3,0)*0.475*44/12</f>
        <v>0.13275650743376483</v>
      </c>
      <c r="AB165" s="23">
        <f>EXP(-LN(2)/2)*AB164+(1-EXP(-LN(2)/2))/(LN(2)/2)*V165*Y165*VLOOKUP('Données projet'!$B$9,Paramètres!$A$1:$I$89,3,0)*0.475*44/12</f>
        <v>2.9927607136784123E-21</v>
      </c>
      <c r="AC165" s="24">
        <f t="shared" si="163"/>
        <v>7.5802597877187008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93.320759999999737</v>
      </c>
      <c r="D166" s="12">
        <f t="shared" si="140"/>
        <v>25.364415660878585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916.16626825941148</v>
      </c>
      <c r="H166" s="70">
        <f t="shared" si="110"/>
        <v>500.04334760936308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74.666349571117792</v>
      </c>
      <c r="T166" s="62">
        <f t="shared" si="142"/>
        <v>434.53418368205706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7.3014622834870115</v>
      </c>
      <c r="AA166" s="23">
        <f>EXP(-LN(2)/25)*AA165+(1-EXP(-LN(2)/25))/(LN(2)/25)*Calculateur!V166*Calculateur!X166*VLOOKUP('Données projet'!$B$9,Paramètres!$A$1:$I$89,3,0)*0.475*44/12</f>
        <v>0.12912627375662722</v>
      </c>
      <c r="AB166" s="23">
        <f>EXP(-LN(2)/2)*AB165+(1-EXP(-LN(2)/2))/(LN(2)/2)*V166*Y166*VLOOKUP('Données projet'!$B$9,Paramètres!$A$1:$I$89,3,0)*0.475*44/12</f>
        <v>2.1162013951106969E-21</v>
      </c>
      <c r="AC166" s="24">
        <f t="shared" si="163"/>
        <v>7.430588557243639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93.893279999999734</v>
      </c>
      <c r="D167" s="12">
        <f t="shared" si="140"/>
        <v>25.501863596876998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921.64672250220644</v>
      </c>
      <c r="H167" s="70">
        <f t="shared" si="110"/>
        <v>501.27987509789364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74.666349571117792</v>
      </c>
      <c r="T167" s="62">
        <f t="shared" si="142"/>
        <v>434.53418368205706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7.1582850615600826</v>
      </c>
      <c r="AA167" s="23">
        <f>EXP(-LN(2)/25)*AA166+(1-EXP(-LN(2)/25))/(LN(2)/25)*Calculateur!V167*Calculateur!X167*VLOOKUP('Données projet'!$B$9,Paramètres!$A$1:$I$89,3,0)*0.475*44/12</f>
        <v>0.12559530901029664</v>
      </c>
      <c r="AB167" s="23">
        <f>EXP(-LN(2)/2)*AB166+(1-EXP(-LN(2)/2))/(LN(2)/2)*V167*Y167*VLOOKUP('Données projet'!$B$9,Paramètres!$A$1:$I$89,3,0)*0.475*44/12</f>
        <v>1.4963803568392062E-21</v>
      </c>
      <c r="AC167" s="24">
        <f t="shared" si="163"/>
        <v>7.2838803705703796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94.465799999999732</v>
      </c>
      <c r="D168" s="12">
        <f t="shared" si="140"/>
        <v>25.639214012337259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927.12642395488217</v>
      </c>
      <c r="H168" s="70">
        <f t="shared" si="110"/>
        <v>502.51623273815358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74.666349571117792</v>
      </c>
      <c r="T168" s="62">
        <f t="shared" si="142"/>
        <v>434.53418368205706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7.0179154576256577</v>
      </c>
      <c r="AA168" s="23">
        <f>EXP(-LN(2)/25)*AA167+(1-EXP(-LN(2)/25))/(LN(2)/25)*Calculateur!V168*Calculateur!X168*VLOOKUP('Données projet'!$B$9,Paramètres!$A$1:$I$89,3,0)*0.475*44/12</f>
        <v>0.12216089868063983</v>
      </c>
      <c r="AB168" s="23">
        <f>EXP(-LN(2)/2)*AB167+(1-EXP(-LN(2)/2))/(LN(2)/2)*V168*Y168*VLOOKUP('Données projet'!$B$9,Paramètres!$A$1:$I$89,3,0)*0.475*44/12</f>
        <v>1.0581006975553484E-21</v>
      </c>
      <c r="AC168" s="24">
        <f t="shared" si="163"/>
        <v>7.1400763563062979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95.038319999999729</v>
      </c>
      <c r="D169" s="12">
        <f t="shared" si="140"/>
        <v>25.776467566864632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932.60537770912845</v>
      </c>
      <c r="H169" s="70">
        <f t="shared" si="110"/>
        <v>503.75242167895544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74.666349571117792</v>
      </c>
      <c r="T169" s="62">
        <f t="shared" si="142"/>
        <v>434.53418368205706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6.880298416007383</v>
      </c>
      <c r="AA169" s="23">
        <f>EXP(-LN(2)/25)*AA168+(1-EXP(-LN(2)/25))/(LN(2)/25)*Calculateur!V169*Calculateur!X169*VLOOKUP('Données projet'!$B$9,Paramètres!$A$1:$I$89,3,0)*0.475*44/12</f>
        <v>0.11882040248205528</v>
      </c>
      <c r="AB169" s="23">
        <f>EXP(-LN(2)/2)*AB168+(1-EXP(-LN(2)/2))/(LN(2)/2)*V169*Y169*VLOOKUP('Données projet'!$B$9,Paramètres!$A$1:$I$89,3,0)*0.475*44/12</f>
        <v>7.4819017841960309E-22</v>
      </c>
      <c r="AC169" s="24">
        <f t="shared" si="163"/>
        <v>6.9991188184894382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95.610839999999726</v>
      </c>
      <c r="D170" s="12">
        <f t="shared" si="140"/>
        <v>25.913624911657639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938.08358879174102</v>
      </c>
      <c r="H170" s="70">
        <f t="shared" si="110"/>
        <v>504.98844305446988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74.666349571117792</v>
      </c>
      <c r="T170" s="62">
        <f t="shared" si="142"/>
        <v>434.53418368205706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6.745379960637135</v>
      </c>
      <c r="AA170" s="23">
        <f>EXP(-LN(2)/25)*AA169+(1-EXP(-LN(2)/25))/(LN(2)/25)*Calculateur!V170*Calculateur!X170*VLOOKUP('Données projet'!$B$9,Paramètres!$A$1:$I$89,3,0)*0.475*44/12</f>
        <v>0.11557125232769008</v>
      </c>
      <c r="AB170" s="23">
        <f>EXP(-LN(2)/2)*AB169+(1-EXP(-LN(2)/2))/(LN(2)/2)*V170*Y170*VLOOKUP('Données projet'!$B$9,Paramètres!$A$1:$I$89,3,0)*0.475*44/12</f>
        <v>5.2905034877767422E-22</v>
      </c>
      <c r="AC170" s="24">
        <f t="shared" si="163"/>
        <v>6.8609512129648254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96.183359999999723</v>
      </c>
      <c r="D171" s="12">
        <f t="shared" si="140"/>
        <v>26.05068668966485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943.56106216583191</v>
      </c>
      <c r="H171" s="70">
        <f t="shared" si="110"/>
        <v>506.22429798449912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74.666349571117792</v>
      </c>
      <c r="T171" s="62">
        <f t="shared" si="142"/>
        <v>434.53418368205706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6.6131071738845657</v>
      </c>
      <c r="AA171" s="23">
        <f>EXP(-LN(2)/25)*AA170+(1-EXP(-LN(2)/25))/(LN(2)/25)*Calculateur!V171*Calculateur!X171*VLOOKUP('Données projet'!$B$9,Paramètres!$A$1:$I$89,3,0)*0.475*44/12</f>
        <v>0.11241095035516138</v>
      </c>
      <c r="AB171" s="23">
        <f>EXP(-LN(2)/2)*AB170+(1-EXP(-LN(2)/2))/(LN(2)/2)*V171*Y171*VLOOKUP('Données projet'!$B$9,Paramètres!$A$1:$I$89,3,0)*0.475*44/12</f>
        <v>3.7409508920980154E-22</v>
      </c>
      <c r="AC171" s="24">
        <f t="shared" si="163"/>
        <v>6.7255181242397271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96.755879999999721</v>
      </c>
      <c r="D172" s="12">
        <f t="shared" si="140"/>
        <v>26.187653535737859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949.03780273200925</v>
      </c>
      <c r="H172" s="70">
        <f t="shared" si="110"/>
        <v>507.45998757474291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74.666349571117792</v>
      </c>
      <c r="T172" s="62">
        <f t="shared" si="142"/>
        <v>434.53418368205706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6.4834281758017811</v>
      </c>
      <c r="AA172" s="23">
        <f>EXP(-LN(2)/25)*AA171+(1-EXP(-LN(2)/25))/(LN(2)/25)*Calculateur!V172*Calculateur!X172*VLOOKUP('Données projet'!$B$9,Paramètres!$A$1:$I$89,3,0)*0.475*44/12</f>
        <v>0.10933706700626453</v>
      </c>
      <c r="AB172" s="23">
        <f>EXP(-LN(2)/2)*AB171+(1-EXP(-LN(2)/2))/(LN(2)/2)*V172*Y172*VLOOKUP('Données projet'!$B$9,Paramètres!$A$1:$I$89,3,0)*0.475*44/12</f>
        <v>2.6452517438883711E-22</v>
      </c>
      <c r="AC172" s="24">
        <f t="shared" si="163"/>
        <v>6.5927652428080457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97.328399999999718</v>
      </c>
      <c r="D173" s="12">
        <f t="shared" si="140"/>
        <v>26.324526076780625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954.51381532953246</v>
      </c>
      <c r="H173" s="70">
        <f t="shared" si="110"/>
        <v>508.69551291705909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74.666349571117792</v>
      </c>
      <c r="T173" s="62">
        <f t="shared" si="142"/>
        <v>434.53418368205706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6.3562921037750213</v>
      </c>
      <c r="AA173" s="23">
        <f>EXP(-LN(2)/25)*AA172+(1-EXP(-LN(2)/25))/(LN(2)/25)*Calculateur!V173*Calculateur!X173*VLOOKUP('Données projet'!$B$9,Paramètres!$A$1:$I$89,3,0)*0.475*44/12</f>
        <v>0.10634723915919177</v>
      </c>
      <c r="AB173" s="23">
        <f>EXP(-LN(2)/2)*AB172+(1-EXP(-LN(2)/2))/(LN(2)/2)*V173*Y173*VLOOKUP('Données projet'!$B$9,Paramètres!$A$1:$I$89,3,0)*0.475*44/12</f>
        <v>1.8704754460490077E-22</v>
      </c>
      <c r="AC173" s="24">
        <f t="shared" si="163"/>
        <v>6.4626393429342128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97.900919999999715</v>
      </c>
      <c r="D174" s="12">
        <f t="shared" si="140"/>
        <v>26.461304931894961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959.98910473743263</v>
      </c>
      <c r="H174" s="70">
        <f t="shared" si="110"/>
        <v>509.93087508971655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74.666349571117792</v>
      </c>
      <c r="T174" s="62">
        <f t="shared" si="142"/>
        <v>434.53418368205706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6.2316490925753589</v>
      </c>
      <c r="AA174" s="23">
        <f>EXP(-LN(2)/25)*AA173+(1-EXP(-LN(2)/25))/(LN(2)/25)*Calculateur!V174*Calculateur!X174*VLOOKUP('Données projet'!$B$9,Paramètres!$A$1:$I$89,3,0)*0.475*44/12</f>
        <v>0.10343916831182542</v>
      </c>
      <c r="AB174" s="23">
        <f>EXP(-LN(2)/2)*AB173+(1-EXP(-LN(2)/2))/(LN(2)/2)*V174*Y174*VLOOKUP('Données projet'!$B$9,Paramètres!$A$1:$I$89,3,0)*0.475*44/12</f>
        <v>1.3226258719441856E-22</v>
      </c>
      <c r="AC174" s="24">
        <f t="shared" si="163"/>
        <v>6.3350882608871846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98.473439999999712</v>
      </c>
      <c r="D175" s="12">
        <f t="shared" si="140"/>
        <v>26.597990712522844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965.46367567561276</v>
      </c>
      <c r="H175" s="70">
        <f t="shared" si="110"/>
        <v>511.16607515764343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74.666349571117792</v>
      </c>
      <c r="T175" s="62">
        <f t="shared" si="142"/>
        <v>434.53418368205706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6.109450254800592</v>
      </c>
      <c r="AA175" s="23">
        <f>EXP(-LN(2)/25)*AA174+(1-EXP(-LN(2)/25))/(LN(2)/25)*Calculateur!V175*Calculateur!X175*VLOOKUP('Données projet'!$B$9,Paramètres!$A$1:$I$89,3,0)*0.475*44/12</f>
        <v>0.1006106188147091</v>
      </c>
      <c r="AB175" s="23">
        <f>EXP(-LN(2)/2)*AB174+(1-EXP(-LN(2)/2))/(LN(2)/2)*V175*Y175*VLOOKUP('Données projet'!$B$9,Paramètres!$A$1:$I$89,3,0)*0.475*44/12</f>
        <v>9.3523772302450386E-23</v>
      </c>
      <c r="AC175" s="24">
        <f t="shared" si="163"/>
        <v>6.2100608736153013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99.04595999999971</v>
      </c>
      <c r="D176" s="12">
        <f t="shared" si="140"/>
        <v>26.734584022585089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970.93753280591773</v>
      </c>
      <c r="H176" s="70">
        <f t="shared" si="110"/>
        <v>512.40111417266849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74.666349571117792</v>
      </c>
      <c r="T176" s="62">
        <f t="shared" si="142"/>
        <v>434.53418368205706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5.9896476617006567</v>
      </c>
      <c r="AA176" s="23">
        <f>EXP(-LN(2)/25)*AA175+(1-EXP(-LN(2)/25))/(LN(2)/25)*Calculateur!V176*Calculateur!X176*VLOOKUP('Données projet'!$B$9,Paramètres!$A$1:$I$89,3,0)*0.475*44/12</f>
        <v>9.7859416152338383E-2</v>
      </c>
      <c r="AB176" s="23">
        <f>EXP(-LN(2)/2)*AB175+(1-EXP(-LN(2)/2))/(LN(2)/2)*V176*Y176*VLOOKUP('Données projet'!$B$9,Paramètres!$A$1:$I$89,3,0)*0.475*44/12</f>
        <v>6.6131293597209278E-23</v>
      </c>
      <c r="AC176" s="24">
        <f t="shared" si="163"/>
        <v>6.0875070778529947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99.618479999999707</v>
      </c>
      <c r="D177" s="12">
        <f t="shared" si="140"/>
        <v>26.871085458616797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976.41068073318002</v>
      </c>
      <c r="H177" s="70">
        <f t="shared" si="110"/>
        <v>513.63599317375702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74.666349571117792</v>
      </c>
      <c r="T177" s="62">
        <f t="shared" si="142"/>
        <v>434.53418368205706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5.8721943243790449</v>
      </c>
      <c r="AA177" s="23">
        <f>EXP(-LN(2)/25)*AA176+(1-EXP(-LN(2)/25))/(LN(2)/25)*Calculateur!V177*Calculateur!X177*VLOOKUP('Données projet'!$B$9,Paramètres!$A$1:$I$89,3,0)*0.475*44/12</f>
        <v>9.518344527144966E-2</v>
      </c>
      <c r="AB177" s="23">
        <f>EXP(-LN(2)/2)*AB176+(1-EXP(-LN(2)/2))/(LN(2)/2)*V177*Y177*VLOOKUP('Données projet'!$B$9,Paramètres!$A$1:$I$89,3,0)*0.475*44/12</f>
        <v>4.6761886151225193E-23</v>
      </c>
      <c r="AC177" s="24">
        <f t="shared" si="163"/>
        <v>5.9673777696504944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100.1909999999997</v>
      </c>
      <c r="D178" s="12">
        <f t="shared" si="140"/>
        <v>27.007495609899546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981.88312400624</v>
      </c>
      <c r="H178" s="70">
        <f t="shared" si="110"/>
        <v>514.87071318724111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74.666349571117792</v>
      </c>
      <c r="T178" s="62">
        <f t="shared" si="142"/>
        <v>434.53418368205706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5.7570441753628474</v>
      </c>
      <c r="AA178" s="23">
        <f>EXP(-LN(2)/25)*AA177+(1-EXP(-LN(2)/25))/(LN(2)/25)*Calculateur!V178*Calculateur!X178*VLOOKUP('Données projet'!$B$9,Paramètres!$A$1:$I$89,3,0)*0.475*44/12</f>
        <v>9.2580648955022021E-2</v>
      </c>
      <c r="AB178" s="23">
        <f>EXP(-LN(2)/2)*AB177+(1-EXP(-LN(2)/2))/(LN(2)/2)*V178*Y178*VLOOKUP('Données projet'!$B$9,Paramètres!$A$1:$I$89,3,0)*0.475*44/12</f>
        <v>3.3065646798604639E-23</v>
      </c>
      <c r="AC178" s="24">
        <f t="shared" si="163"/>
        <v>5.8496248243178695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100.7635199999997</v>
      </c>
      <c r="D179" s="12">
        <f t="shared" si="140"/>
        <v>27.143815058590619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987.35486711894282</v>
      </c>
      <c r="H179" s="70">
        <f t="shared" si="110"/>
        <v>516.10527522704479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74.666349571117792</v>
      </c>
      <c r="T179" s="62">
        <f t="shared" si="142"/>
        <v>434.53418368205706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5.6441520505342018</v>
      </c>
      <c r="AA179" s="23">
        <f>EXP(-LN(2)/25)*AA178+(1-EXP(-LN(2)/25))/(LN(2)/25)*Calculateur!V179*Calculateur!X179*VLOOKUP('Données projet'!$B$9,Paramètres!$A$1:$I$89,3,0)*0.475*44/12</f>
        <v>9.0049026240742208E-2</v>
      </c>
      <c r="AB179" s="23">
        <f>EXP(-LN(2)/2)*AB178+(1-EXP(-LN(2)/2))/(LN(2)/2)*V179*Y179*VLOOKUP('Données projet'!$B$9,Paramètres!$A$1:$I$89,3,0)*0.475*44/12</f>
        <v>2.3380943075612596E-23</v>
      </c>
      <c r="AC179" s="24">
        <f t="shared" si="163"/>
        <v>5.7342010767749443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101.3360399999997</v>
      </c>
      <c r="D180" s="12">
        <f t="shared" si="140"/>
        <v>27.28004437984902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992.82591451111318</v>
      </c>
      <c r="H180" s="70">
        <f t="shared" si="110"/>
        <v>517.33968029490313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74.666349571117792</v>
      </c>
      <c r="T180" s="62">
        <f t="shared" si="142"/>
        <v>434.53418368205706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5.5334736714160488</v>
      </c>
      <c r="AA180" s="23">
        <f>EXP(-LN(2)/25)*AA179+(1-EXP(-LN(2)/25))/(LN(2)/25)*Calculateur!V180*Calculateur!X180*VLOOKUP('Données projet'!$B$9,Paramètres!$A$1:$I$89,3,0)*0.475*44/12</f>
        <v>8.7586630882716635E-2</v>
      </c>
      <c r="AB180" s="23">
        <f>EXP(-LN(2)/2)*AB179+(1-EXP(-LN(2)/2))/(LN(2)/2)*V180*Y180*VLOOKUP('Données projet'!$B$9,Paramètres!$A$1:$I$89,3,0)*0.475*44/12</f>
        <v>1.6532823399302319E-23</v>
      </c>
      <c r="AC180" s="24">
        <f t="shared" si="163"/>
        <v>5.6210603022987655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101.9085599999997</v>
      </c>
      <c r="D181" s="12">
        <f t="shared" si="140"/>
        <v>27.416184141958738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998.29627056950358</v>
      </c>
      <c r="H181" s="70">
        <f t="shared" si="110"/>
        <v>518.57392938057751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74.666349571117792</v>
      </c>
      <c r="T181" s="62">
        <f t="shared" si="142"/>
        <v>434.53418368205706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5.4249656278052578</v>
      </c>
      <c r="AA181" s="23">
        <f>EXP(-LN(2)/25)*AA180+(1-EXP(-LN(2)/25))/(LN(2)/25)*Calculateur!V181*Calculateur!X181*VLOOKUP('Données projet'!$B$9,Paramètres!$A$1:$I$89,3,0)*0.475*44/12</f>
        <v>8.5191569855248006E-2</v>
      </c>
      <c r="AB181" s="23">
        <f>EXP(-LN(2)/2)*AB180+(1-EXP(-LN(2)/2))/(LN(2)/2)*V181*Y181*VLOOKUP('Données projet'!$B$9,Paramètres!$A$1:$I$89,3,0)*0.475*44/12</f>
        <v>1.1690471537806298E-23</v>
      </c>
      <c r="AC181" s="24">
        <f t="shared" si="163"/>
        <v>5.5101571976605062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102.48107999999969</v>
      </c>
      <c r="D182" s="12">
        <f t="shared" si="140"/>
        <v>27.552234906448959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1003.7659396287264</v>
      </c>
      <c r="H182" s="70">
        <f t="shared" si="110"/>
        <v>519.80802346206474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74.666349571117792</v>
      </c>
      <c r="T182" s="62">
        <f t="shared" si="142"/>
        <v>434.53418368205706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5.3185853607463027</v>
      </c>
      <c r="AA182" s="23">
        <f>EXP(-LN(2)/25)*AA181+(1-EXP(-LN(2)/25))/(LN(2)/25)*Calculateur!V182*Calculateur!X182*VLOOKUP('Données projet'!$B$9,Paramètres!$A$1:$I$89,3,0)*0.475*44/12</f>
        <v>8.2862001897526294E-2</v>
      </c>
      <c r="AB182" s="23">
        <f>EXP(-LN(2)/2)*AB181+(1-EXP(-LN(2)/2))/(LN(2)/2)*V182*Y182*VLOOKUP('Données projet'!$B$9,Paramètres!$A$1:$I$89,3,0)*0.475*44/12</f>
        <v>8.2664116996511597E-24</v>
      </c>
      <c r="AC182" s="24">
        <f t="shared" si="163"/>
        <v>5.4014473626438289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103.05359999999969</v>
      </c>
      <c r="D183" s="12">
        <f t="shared" si="140"/>
        <v>27.688197228211795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1009.234925972159</v>
      </c>
      <c r="H183" s="70">
        <f t="shared" si="110"/>
        <v>521.04196350580162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74.666349571117792</v>
      </c>
      <c r="T183" s="62">
        <f t="shared" si="142"/>
        <v>434.53418368205706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5.2142911458388177</v>
      </c>
      <c r="AA183" s="23">
        <f>EXP(-LN(2)/25)*AA182+(1-EXP(-LN(2)/25))/(LN(2)/25)*Calculateur!V183*Calculateur!X183*VLOOKUP('Données projet'!$B$9,Paramètres!$A$1:$I$89,3,0)*0.475*44/12</f>
        <v>8.059613609811514E-2</v>
      </c>
      <c r="AB183" s="23">
        <f>EXP(-LN(2)/2)*AB182+(1-EXP(-LN(2)/2))/(LN(2)/2)*V183*Y183*VLOOKUP('Données projet'!$B$9,Paramètres!$A$1:$I$89,3,0)*0.475*44/12</f>
        <v>5.8452357689031491E-24</v>
      </c>
      <c r="AC183" s="24">
        <f t="shared" si="163"/>
        <v>5.2948872819369326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103.62611999999969</v>
      </c>
      <c r="D184" s="12">
        <f t="shared" si="140"/>
        <v>27.824071655617022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1014.7032338328308</v>
      </c>
      <c r="H184" s="70">
        <f t="shared" si="110"/>
        <v>522.2757504668657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74.666349571117792</v>
      </c>
      <c r="T184" s="62">
        <f t="shared" si="142"/>
        <v>434.53418368205706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5.1120420768724788</v>
      </c>
      <c r="AA184" s="23">
        <f>EXP(-LN(2)/25)*AA183+(1-EXP(-LN(2)/25))/(LN(2)/25)*Calculateur!V184*Calculateur!X184*VLOOKUP('Données projet'!$B$9,Paramètres!$A$1:$I$89,3,0)*0.475*44/12</f>
        <v>7.8392230518145589E-2</v>
      </c>
      <c r="AB184" s="23">
        <f>EXP(-LN(2)/2)*AB183+(1-EXP(-LN(2)/2))/(LN(2)/2)*V184*Y184*VLOOKUP('Données projet'!$B$9,Paramètres!$A$1:$I$89,3,0)*0.475*44/12</f>
        <v>4.1332058498255799E-24</v>
      </c>
      <c r="AC184" s="24">
        <f t="shared" si="163"/>
        <v>5.1904343073906247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104.19863999999968</v>
      </c>
      <c r="D185" s="12">
        <f t="shared" si="140"/>
        <v>27.959858730624397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1020.1708673942912</v>
      </c>
      <c r="H185" s="70">
        <f t="shared" si="110"/>
        <v>523.50938528917027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74.666349571117792</v>
      </c>
      <c r="T185" s="62">
        <f t="shared" si="142"/>
        <v>434.53418368205706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5.0117980497827954</v>
      </c>
      <c r="AA185" s="23">
        <f>EXP(-LN(2)/25)*AA184+(1-EXP(-LN(2)/25))/(LN(2)/25)*Calculateur!V185*Calculateur!X185*VLOOKUP('Données projet'!$B$9,Paramètres!$A$1:$I$89,3,0)*0.475*44/12</f>
        <v>7.6248590852158668E-2</v>
      </c>
      <c r="AB185" s="23">
        <f>EXP(-LN(2)/2)*AB184+(1-EXP(-LN(2)/2))/(LN(2)/2)*V185*Y185*VLOOKUP('Données projet'!$B$9,Paramètres!$A$1:$I$89,3,0)*0.475*44/12</f>
        <v>2.9226178844515746E-24</v>
      </c>
      <c r="AC185" s="24">
        <f t="shared" si="163"/>
        <v>5.0880466406349543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104.77115999999968</v>
      </c>
      <c r="D186" s="12">
        <f t="shared" si="140"/>
        <v>28.095558988893345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1025.6378307914549</v>
      </c>
      <c r="H186" s="70">
        <f t="shared" si="110"/>
        <v>524.74286890565531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74.666349571117792</v>
      </c>
      <c r="T186" s="62">
        <f t="shared" si="142"/>
        <v>434.53418368205706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4.9135197469215219</v>
      </c>
      <c r="AA186" s="23">
        <f>EXP(-LN(2)/25)*AA185+(1-EXP(-LN(2)/25))/(LN(2)/25)*Calculateur!V186*Calculateur!X186*VLOOKUP('Données projet'!$B$9,Paramètres!$A$1:$I$89,3,0)*0.475*44/12</f>
        <v>7.4163569125567264E-2</v>
      </c>
      <c r="AB186" s="23">
        <f>EXP(-LN(2)/2)*AB185+(1-EXP(-LN(2)/2))/(LN(2)/2)*V186*Y186*VLOOKUP('Données projet'!$B$9,Paramètres!$A$1:$I$89,3,0)*0.475*44/12</f>
        <v>2.0666029249127899E-24</v>
      </c>
      <c r="AC186" s="24">
        <f t="shared" si="163"/>
        <v>4.9876833160470895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105.34367999999968</v>
      </c>
      <c r="D187" s="12">
        <f t="shared" si="140"/>
        <v>28.231172959890333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1031.1041281114317</v>
      </c>
      <c r="H187" s="70">
        <f t="shared" si="110"/>
        <v>525.97620223847503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74.666349571117792</v>
      </c>
      <c r="T187" s="62">
        <f t="shared" si="142"/>
        <v>434.53418368205706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4.8171686216355125</v>
      </c>
      <c r="AA187" s="23">
        <f>EXP(-LN(2)/25)*AA186+(1-EXP(-LN(2)/25))/(LN(2)/25)*Calculateur!V187*Calculateur!X187*VLOOKUP('Données projet'!$B$9,Paramètres!$A$1:$I$89,3,0)*0.475*44/12</f>
        <v>7.2135562427736027E-2</v>
      </c>
      <c r="AB187" s="23">
        <f>EXP(-LN(2)/2)*AB186+(1-EXP(-LN(2)/2))/(LN(2)/2)*V187*Y187*VLOOKUP('Données projet'!$B$9,Paramètres!$A$1:$I$89,3,0)*0.475*44/12</f>
        <v>1.4613089422257873E-24</v>
      </c>
      <c r="AC187" s="24">
        <f t="shared" si="163"/>
        <v>4.8893041840632483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105.91619999999968</v>
      </c>
      <c r="D188" s="12">
        <f t="shared" si="140"/>
        <v>28.366701166993593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1036.5697633943339</v>
      </c>
      <c r="H188" s="70">
        <f t="shared" si="110"/>
        <v>527.2093861991799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74.666349571117792</v>
      </c>
      <c r="T188" s="62">
        <f t="shared" si="142"/>
        <v>434.53418368205706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4.7227068831479775</v>
      </c>
      <c r="AA188" s="23">
        <f>EXP(-LN(2)/25)*AA187+(1-EXP(-LN(2)/25))/(LN(2)/25)*Calculateur!V188*Calculateur!X188*VLOOKUP('Données projet'!$B$9,Paramètres!$A$1:$I$89,3,0)*0.475*44/12</f>
        <v>7.016301167970522E-2</v>
      </c>
      <c r="AB188" s="23">
        <f>EXP(-LN(2)/2)*AB187+(1-EXP(-LN(2)/2))/(LN(2)/2)*V188*Y188*VLOOKUP('Données projet'!$B$9,Paramètres!$A$1:$I$89,3,0)*0.475*44/12</f>
        <v>1.033301462456395E-24</v>
      </c>
      <c r="AC188" s="24">
        <f t="shared" si="163"/>
        <v>4.7928698948276827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106.48871999999967</v>
      </c>
      <c r="D189" s="12">
        <f t="shared" si="140"/>
        <v>28.502144127595731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1042.03474063407</v>
      </c>
      <c r="H189" s="70">
        <f t="shared" si="110"/>
        <v>528.44242168889537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74.666349571117792</v>
      </c>
      <c r="T189" s="62">
        <f t="shared" si="142"/>
        <v>434.53418368205706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4.6300974817362119</v>
      </c>
      <c r="AA189" s="23">
        <f>EXP(-LN(2)/25)*AA188+(1-EXP(-LN(2)/25))/(LN(2)/25)*Calculateur!V189*Calculateur!X189*VLOOKUP('Données projet'!$B$9,Paramètres!$A$1:$I$89,3,0)*0.475*44/12</f>
        <v>6.8244400435611252E-2</v>
      </c>
      <c r="AB189" s="23">
        <f>EXP(-LN(2)/2)*AB188+(1-EXP(-LN(2)/2))/(LN(2)/2)*V189*Y189*VLOOKUP('Données projet'!$B$9,Paramètres!$A$1:$I$89,3,0)*0.475*44/12</f>
        <v>7.3065447111289364E-25</v>
      </c>
      <c r="AC189" s="24">
        <f t="shared" si="163"/>
        <v>4.6983418821718228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107.06123999999967</v>
      </c>
      <c r="D190" s="12">
        <f t="shared" si="140"/>
        <v>28.637502353203949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1047.4990637791159</v>
      </c>
      <c r="H190" s="70">
        <f t="shared" si="110"/>
        <v>529.67530959849626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74.666349571117792</v>
      </c>
      <c r="T190" s="62">
        <f t="shared" si="142"/>
        <v>434.53418368205706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4.5393040941999736</v>
      </c>
      <c r="AA190" s="23">
        <f>EXP(-LN(2)/25)*AA189+(1-EXP(-LN(2)/25))/(LN(2)/25)*Calculateur!V190*Calculateur!X190*VLOOKUP('Données projet'!$B$9,Paramètres!$A$1:$I$89,3,0)*0.475*44/12</f>
        <v>6.6378253716882413E-2</v>
      </c>
      <c r="AB190" s="23">
        <f>EXP(-LN(2)/2)*AB189+(1-EXP(-LN(2)/2))/(LN(2)/2)*V190*Y190*VLOOKUP('Données projet'!$B$9,Paramètres!$A$1:$I$89,3,0)*0.475*44/12</f>
        <v>5.1665073122819748E-25</v>
      </c>
      <c r="AC190" s="24">
        <f t="shared" si="163"/>
        <v>4.605682347916856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107.63375999999967</v>
      </c>
      <c r="D191" s="12">
        <f t="shared" si="140"/>
        <v>28.772776349538095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1052.9627367332741</v>
      </c>
      <c r="H191" s="70">
        <f t="shared" si="110"/>
        <v>530.90805080877828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74.666349571117792</v>
      </c>
      <c r="T191" s="62">
        <f t="shared" si="142"/>
        <v>434.53418368205706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4.450291109614823</v>
      </c>
      <c r="AA191" s="23">
        <f>EXP(-LN(2)/25)*AA190+(1-EXP(-LN(2)/25))/(LN(2)/25)*Calculateur!V191*Calculateur!X191*VLOOKUP('Données projet'!$B$9,Paramètres!$A$1:$I$89,3,0)*0.475*44/12</f>
        <v>6.4563136878313609E-2</v>
      </c>
      <c r="AB191" s="23">
        <f>EXP(-LN(2)/2)*AB190+(1-EXP(-LN(2)/2))/(LN(2)/2)*V191*Y191*VLOOKUP('Données projet'!$B$9,Paramètres!$A$1:$I$89,3,0)*0.475*44/12</f>
        <v>3.6532723555644682E-25</v>
      </c>
      <c r="AC191" s="24">
        <f t="shared" si="163"/>
        <v>4.5148542464931367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108.20627999999967</v>
      </c>
      <c r="D192" s="12">
        <f t="shared" si="140"/>
        <v>28.907966616626613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1058.4257633564132</v>
      </c>
      <c r="H192" s="70">
        <f t="shared" si="110"/>
        <v>532.14064619062401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74.666349571117792</v>
      </c>
      <c r="T192" s="62">
        <f t="shared" si="142"/>
        <v>434.53418368205706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4.3630236153648276</v>
      </c>
      <c r="AA192" s="23">
        <f>EXP(-LN(2)/25)*AA191+(1-EXP(-LN(2)/25))/(LN(2)/25)*Calculateur!V192*Calculateur!X192*VLOOKUP('Données projet'!$B$9,Paramètres!$A$1:$I$89,3,0)*0.475*44/12</f>
        <v>6.279765450514832E-2</v>
      </c>
      <c r="AB192" s="23">
        <f>EXP(-LN(2)/2)*AB191+(1-EXP(-LN(2)/2))/(LN(2)/2)*V192*Y192*VLOOKUP('Données projet'!$B$9,Paramètres!$A$1:$I$89,3,0)*0.475*44/12</f>
        <v>2.5832536561409874E-25</v>
      </c>
      <c r="AC192" s="24">
        <f t="shared" si="163"/>
        <v>4.4258212698699761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108.77879999999966</v>
      </c>
      <c r="D193" s="12">
        <f t="shared" si="140"/>
        <v>29.04307364890035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1063.8881474651932</v>
      </c>
      <c r="H193" s="70">
        <f t="shared" si="110"/>
        <v>533.37309660516746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74.666349571117792</v>
      </c>
      <c r="T193" s="62">
        <f t="shared" si="142"/>
        <v>434.53418368205706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4.2774673834491592</v>
      </c>
      <c r="AA193" s="23">
        <f>EXP(-LN(2)/25)*AA192+(1-EXP(-LN(2)/25))/(LN(2)/25)*Calculateur!V193*Calculateur!X193*VLOOKUP('Données projet'!$B$9,Paramètres!$A$1:$I$89,3,0)*0.475*44/12</f>
        <v>6.1080449340319913E-2</v>
      </c>
      <c r="AB193" s="23">
        <f>EXP(-LN(2)/2)*AB192+(1-EXP(-LN(2)/2))/(LN(2)/2)*V193*Y193*VLOOKUP('Données projet'!$B$9,Paramètres!$A$1:$I$89,3,0)*0.475*44/12</f>
        <v>1.8266361777822341E-25</v>
      </c>
      <c r="AC193" s="24">
        <f t="shared" si="163"/>
        <v>4.3385478327894793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109.35131999999966</v>
      </c>
      <c r="D194" s="12">
        <f t="shared" si="140"/>
        <v>29.178097935284267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1069.3498928337708</v>
      </c>
      <c r="H194" s="70">
        <f t="shared" si="110"/>
        <v>534.60540290395284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74.666349571117792</v>
      </c>
      <c r="T194" s="62">
        <f t="shared" si="142"/>
        <v>434.53418368205706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4.1935888570572084</v>
      </c>
      <c r="AA194" s="23">
        <f>EXP(-LN(2)/25)*AA193+(1-EXP(-LN(2)/25))/(LN(2)/25)*Calculateur!V194*Calculateur!X194*VLOOKUP('Données projet'!$B$9,Paramètres!$A$1:$I$89,3,0)*0.475*44/12</f>
        <v>5.9410201241027638E-2</v>
      </c>
      <c r="AB194" s="23">
        <f>EXP(-LN(2)/2)*AB193+(1-EXP(-LN(2)/2))/(LN(2)/2)*V194*Y194*VLOOKUP('Données projet'!$B$9,Paramètres!$A$1:$I$89,3,0)*0.475*44/12</f>
        <v>1.2916268280704937E-25</v>
      </c>
      <c r="AC194" s="24">
        <f t="shared" si="163"/>
        <v>4.2529990582982364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109.92383999999966</v>
      </c>
      <c r="D195" s="12">
        <f t="shared" si="140"/>
        <v>29.313039959287355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1074.8110031944964</v>
      </c>
      <c r="H195" s="70">
        <f t="shared" si="110"/>
        <v>535.83756592909151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74.666349571117792</v>
      </c>
      <c r="T195" s="62">
        <f t="shared" si="142"/>
        <v>434.53418368205706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4.1113551374069539</v>
      </c>
      <c r="AA195" s="23">
        <f>EXP(-LN(2)/25)*AA194+(1-EXP(-LN(2)/25))/(LN(2)/25)*Calculateur!V195*Calculateur!X195*VLOOKUP('Données projet'!$B$9,Paramètres!$A$1:$I$89,3,0)*0.475*44/12</f>
        <v>5.7785626163845041E-2</v>
      </c>
      <c r="AB195" s="23">
        <f>EXP(-LN(2)/2)*AB194+(1-EXP(-LN(2)/2))/(LN(2)/2)*V195*Y195*VLOOKUP('Données projet'!$B$9,Paramètres!$A$1:$I$89,3,0)*0.475*44/12</f>
        <v>9.1331808889111705E-26</v>
      </c>
      <c r="AC195" s="24">
        <f t="shared" si="163"/>
        <v>4.1691407635707991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110.49635999999965</v>
      </c>
      <c r="D196" s="12">
        <f t="shared" si="140"/>
        <v>29.447900199090455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1080.2714822385904</v>
      </c>
      <c r="H196" s="70">
        <f t="shared" ref="H196:H203" si="192">(B196+E196+F196)*44/12+(C196+D196)*0.475*44/12</f>
        <v>537.06958651341529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74.666349571117792</v>
      </c>
      <c r="T196" s="62">
        <f t="shared" si="142"/>
        <v>434.53418368205706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4.0307339708414247</v>
      </c>
      <c r="AA196" s="23">
        <f>EXP(-LN(2)/25)*AA195+(1-EXP(-LN(2)/25))/(LN(2)/25)*Calculateur!V196*Calculateur!X196*VLOOKUP('Données projet'!$B$9,Paramètres!$A$1:$I$89,3,0)*0.475*44/12</f>
        <v>5.6205475177580691E-2</v>
      </c>
      <c r="AB196" s="23">
        <f>EXP(-LN(2)/2)*AB195+(1-EXP(-LN(2)/2))/(LN(2)/2)*V196*Y196*VLOOKUP('Données projet'!$B$9,Paramètres!$A$1:$I$89,3,0)*0.475*44/12</f>
        <v>6.4581341403524685E-26</v>
      </c>
      <c r="AC196" s="24">
        <f t="shared" si="163"/>
        <v>4.0869394460190058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111.06887999999965</v>
      </c>
      <c r="D197" s="12">
        <f t="shared" ref="D197:D203" si="202">IFERROR(EXP(-1.0587+0.8836*LN(C197)+0.284),0)</f>
        <v>29.582679127632304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1085.7313336168083</v>
      </c>
      <c r="H197" s="70">
        <f t="shared" si="192"/>
        <v>538.30146548062567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74.666349571117792</v>
      </c>
      <c r="T197" s="62">
        <f t="shared" ref="T197:T203" si="204">$T$3</f>
        <v>434.53418368205706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3.9516937361781892</v>
      </c>
      <c r="AA197" s="23">
        <f>EXP(-LN(2)/25)*AA196+(1-EXP(-LN(2)/25))/(LN(2)/25)*Calculateur!V197*Calculateur!X197*VLOOKUP('Données projet'!$B$9,Paramètres!$A$1:$I$89,3,0)*0.475*44/12</f>
        <v>5.4668533503132263E-2</v>
      </c>
      <c r="AB197" s="23">
        <f>EXP(-LN(2)/2)*AB196+(1-EXP(-LN(2)/2))/(LN(2)/2)*V197*Y197*VLOOKUP('Données projet'!$B$9,Paramètres!$A$1:$I$89,3,0)*0.475*44/12</f>
        <v>4.5665904444555852E-26</v>
      </c>
      <c r="AC197" s="24">
        <f t="shared" si="163"/>
        <v>4.006362269681321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111.64139999999965</v>
      </c>
      <c r="D198" s="12">
        <f t="shared" si="202"/>
        <v>29.71737721269362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1091.1905609400885</v>
      </c>
      <c r="H198" s="70">
        <f t="shared" si="192"/>
        <v>539.53320364544072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74.666349571117792</v>
      </c>
      <c r="T198" s="62">
        <f t="shared" si="204"/>
        <v>434.53418368205706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3.874203432306917</v>
      </c>
      <c r="AA198" s="23">
        <f>EXP(-LN(2)/25)*AA197+(1-EXP(-LN(2)/25))/(LN(2)/25)*Calculateur!V198*Calculateur!X198*VLOOKUP('Données projet'!$B$9,Paramètres!$A$1:$I$89,3,0)*0.475*44/12</f>
        <v>5.3173619579595884E-2</v>
      </c>
      <c r="AB198" s="23">
        <f>EXP(-LN(2)/2)*AB197+(1-EXP(-LN(2)/2))/(LN(2)/2)*V198*Y198*VLOOKUP('Données projet'!$B$9,Paramètres!$A$1:$I$89,3,0)*0.475*44/12</f>
        <v>3.2290670701762343E-26</v>
      </c>
      <c r="AC198" s="24">
        <f t="shared" si="163"/>
        <v>3.9273770518865128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112.21391999999965</v>
      </c>
      <c r="D199" s="12">
        <f t="shared" si="202"/>
        <v>29.851994916979699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1096.6491677801916</v>
      </c>
      <c r="H199" s="70">
        <f t="shared" si="192"/>
        <v>540.76480181373904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74.666349571117792</v>
      </c>
      <c r="T199" s="62">
        <f t="shared" si="204"/>
        <v>434.53418368205706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3.7982326660301422</v>
      </c>
      <c r="AA199" s="23">
        <f>EXP(-LN(2)/25)*AA198+(1-EXP(-LN(2)/25))/(LN(2)/25)*Calculateur!V199*Calculateur!X199*VLOOKUP('Données projet'!$B$9,Paramètres!$A$1:$I$89,3,0)*0.475*44/12</f>
        <v>5.1719584155912712E-2</v>
      </c>
      <c r="AB199" s="23">
        <f>EXP(-LN(2)/2)*AB198+(1-EXP(-LN(2)/2))/(LN(2)/2)*V199*Y199*VLOOKUP('Données projet'!$B$9,Paramètres!$A$1:$I$89,3,0)*0.475*44/12</f>
        <v>2.2832952222277926E-26</v>
      </c>
      <c r="AC199" s="24">
        <f t="shared" si="163"/>
        <v>3.849952250186055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112.78643999999964</v>
      </c>
      <c r="D200" s="12">
        <f t="shared" si="202"/>
        <v>29.986532698200904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1102.10715767032</v>
      </c>
      <c r="H200" s="70">
        <f t="shared" si="192"/>
        <v>541.99626078269921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74.666349571117792</v>
      </c>
      <c r="T200" s="62">
        <f t="shared" si="204"/>
        <v>434.53418368205706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3.7237516401424631</v>
      </c>
      <c r="AA200" s="23">
        <f>EXP(-LN(2)/25)*AA199+(1-EXP(-LN(2)/25))/(LN(2)/25)*Calculateur!V200*Calculateur!X200*VLOOKUP('Données projet'!$B$9,Paramètres!$A$1:$I$89,3,0)*0.475*44/12</f>
        <v>5.0305309407354552E-2</v>
      </c>
      <c r="AB200" s="23">
        <f>EXP(-LN(2)/2)*AB199+(1-EXP(-LN(2)/2))/(LN(2)/2)*V200*Y200*VLOOKUP('Données projet'!$B$9,Paramètres!$A$1:$I$89,3,0)*0.475*44/12</f>
        <v>1.6145335350881171E-26</v>
      </c>
      <c r="AC200" s="24">
        <f t="shared" si="163"/>
        <v>3.7740569495498177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113.35895999999964</v>
      </c>
      <c r="D201" s="12">
        <f t="shared" si="202"/>
        <v>30.120991009151766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1107.5645341057304</v>
      </c>
      <c r="H201" s="70">
        <f t="shared" si="192"/>
        <v>543.22758134093874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74.666349571117792</v>
      </c>
      <c r="T201" s="62">
        <f t="shared" si="204"/>
        <v>434.53418368205706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3.6507311417435013</v>
      </c>
      <c r="AA201" s="23">
        <f>EXP(-LN(2)/25)*AA200+(1-EXP(-LN(2)/25))/(LN(2)/25)*Calculateur!V201*Calculateur!X201*VLOOKUP('Données projet'!$B$9,Paramètres!$A$1:$I$89,3,0)*0.475*44/12</f>
        <v>4.8929708076169191E-2</v>
      </c>
      <c r="AB201" s="23">
        <f>EXP(-LN(2)/2)*AB200+(1-EXP(-LN(2)/2))/(LN(2)/2)*V201*Y201*VLOOKUP('Données projet'!$B$9,Paramètres!$A$1:$I$89,3,0)*0.475*44/12</f>
        <v>1.1416476111138963E-26</v>
      </c>
      <c r="AC201" s="24">
        <f t="shared" si="163"/>
        <v>3.6996608498196704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113.93147999999964</v>
      </c>
      <c r="D202" s="12">
        <f t="shared" si="202"/>
        <v>30.255370297788318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1113.0213005443281</v>
      </c>
      <c r="H202" s="70">
        <f t="shared" si="192"/>
        <v>544.45876426864731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74.666349571117792</v>
      </c>
      <c r="T202" s="62">
        <f t="shared" si="204"/>
        <v>434.53418368205706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3.5791425307800369</v>
      </c>
      <c r="AA202" s="23">
        <f>EXP(-LN(2)/25)*AA201+(1-EXP(-LN(2)/25))/(LN(2)/25)*Calculateur!V202*Calculateur!X202*VLOOKUP('Données projet'!$B$9,Paramètres!$A$1:$I$89,3,0)*0.475*44/12</f>
        <v>4.759172263572483E-2</v>
      </c>
      <c r="AB202" s="23">
        <f>EXP(-LN(2)/2)*AB201+(1-EXP(-LN(2)/2))/(LN(2)/2)*V202*Y202*VLOOKUP('Données projet'!$B$9,Paramètres!$A$1:$I$89,3,0)*0.475*44/12</f>
        <v>8.0726676754405857E-27</v>
      </c>
      <c r="AC202" s="24">
        <f t="shared" si="163"/>
        <v>3.6267342534157616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114.50399999999964</v>
      </c>
      <c r="D203" s="12">
        <f t="shared" si="202"/>
        <v>30.389671007303843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1118.477460407255</v>
      </c>
      <c r="H203" s="70">
        <f t="shared" si="192"/>
        <v>545.68981033772025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74.666349571117792</v>
      </c>
      <c r="T203" s="62">
        <f t="shared" si="204"/>
        <v>434.53418368205706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3.5089577288128249</v>
      </c>
      <c r="AA203" s="23">
        <f>EXP(-LN(2)/25)*AA202+(1-EXP(-LN(2)/25))/(LN(2)/25)*Calculateur!V203*Calculateur!X203*VLOOKUP('Données projet'!$B$9,Paramètres!$A$1:$I$89,3,0)*0.475*44/12</f>
        <v>4.6290324477511011E-2</v>
      </c>
      <c r="AB203" s="23">
        <f>EXP(-LN(2)/2)*AB202+(1-EXP(-LN(2)/2))/(LN(2)/2)*V203*Y203*VLOOKUP('Données projet'!$B$9,Paramètres!$A$1:$I$89,3,0)*0.475*44/12</f>
        <v>5.7082380555694815E-27</v>
      </c>
      <c r="AC203" s="24">
        <f t="shared" si="163"/>
        <v>3.5552480532903359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1.3651127149691322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F20" sqref="F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3.21</v>
      </c>
      <c r="C6" s="156">
        <f ca="1">IF(OR('Données projet'!B9="",'Données projet'!C9="",'Données projet'!C9=0%),0,Calculateur!S3)</f>
        <v>74.666349571117792</v>
      </c>
      <c r="D6" s="156">
        <f>IF(OR('Données projet'!B9="",'Données projet'!C9="",'Données projet'!C9=0%),0,Calculateur!T3)</f>
        <v>434.53418368205706</v>
      </c>
      <c r="E6" s="156">
        <f ca="1">MIN(C6,D6)</f>
        <v>74.666349571117792</v>
      </c>
      <c r="F6" s="156">
        <f ca="1">E6*B6</f>
        <v>239.67898212328811</v>
      </c>
      <c r="G6" s="156">
        <f ca="1">F6*(100%-'Données projet'!$C$24)*(100%-'Données projet'!$C$25)*(100%-'Données projet'!$C$26)*(100%-'Données projet'!$C$27)</f>
        <v>172.56886712876747</v>
      </c>
      <c r="H6" s="157">
        <f>IF(OR('Données projet'!B9="",'Données projet'!C9="",'Données projet'!C9=0%),0,AVERAGE(Calculateur!$AC$3:$AC$33)*B6)</f>
        <v>152.22056114166497</v>
      </c>
      <c r="I6" s="158">
        <f>H6*(100%-'Données projet'!$C$24)*(100%-'Données projet'!$C$25)*(100%-'Données projet'!$C$26)*(100%-'Données projet'!$C$27)</f>
        <v>109.59880402199879</v>
      </c>
      <c r="J6" s="159">
        <f>IF(OR('Données projet'!B9="",'Données projet'!C9="",'Données projet'!C9=0%),0,SUM(Calculateur!$V$3:$V$33)*VLOOKUP('Données projet'!$B$9,Paramètres!$A$1:$I$89,9,0)*B6)</f>
        <v>1223.3310000000001</v>
      </c>
      <c r="K6" s="160">
        <f>J6*(100%-'Données projet'!$C$24)*(100%-'Données projet'!$C$25)*(100%-'Données projet'!$C$26)*(100%-'Données projet'!$C$27)</f>
        <v>880.7983200000001</v>
      </c>
      <c r="L6" s="161">
        <f ca="1">G6+I6+K6</f>
        <v>1162.9659911507663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239.67898212328811</v>
      </c>
      <c r="G16" s="175">
        <f t="shared" ca="1" si="3"/>
        <v>172.56886712876747</v>
      </c>
      <c r="H16" s="176">
        <f t="shared" si="3"/>
        <v>152.22056114166497</v>
      </c>
      <c r="I16" s="176">
        <f t="shared" si="3"/>
        <v>109.59880402199879</v>
      </c>
      <c r="J16" s="177">
        <f t="shared" si="3"/>
        <v>1223.3310000000001</v>
      </c>
      <c r="K16" s="177">
        <f t="shared" si="3"/>
        <v>880.7983200000001</v>
      </c>
      <c r="L16" s="178">
        <f t="shared" ca="1" si="3"/>
        <v>1162.9659911507663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1" zoomScale="90" zoomScaleNormal="90" workbookViewId="0">
      <selection activeCell="I29" sqref="I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3.21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370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str">
        <f>IF(O52+1&lt;=MIN('Données projet'!$E$9:$E$18),O52+1,"STOP")</f>
        <v>STOP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2022-06-27T06:58:26Z</dcterms:modified>
</cp:coreProperties>
</file>