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Q:\GCF\ENVIRONNEMENT\7_CARBONE\Coopératives\CFBL\Projets_LBC\Projet Château-Chinon_012022\"/>
    </mc:Choice>
  </mc:AlternateContent>
  <bookViews>
    <workbookView xWindow="0" yWindow="0" windowWidth="23040" windowHeight="9384" tabRatio="866" activeTab="1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0" i="6" l="1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FR4" i="2" s="1"/>
  <c r="DY4" i="2"/>
  <c r="ES4" i="2"/>
  <c r="DX4" i="2"/>
  <c r="EA4" i="2" s="1"/>
  <c r="GI4" i="2"/>
  <c r="GL4" i="2" s="1"/>
  <c r="CI4" i="2"/>
  <c r="ET4" i="2"/>
  <c r="DC4" i="2"/>
  <c r="BM4" i="2"/>
  <c r="DD4" i="2"/>
  <c r="CH4" i="2"/>
  <c r="BN4" i="2"/>
  <c r="BQ4" i="2" s="1"/>
  <c r="AS4" i="2"/>
  <c r="AR4" i="2"/>
  <c r="FN4" i="2"/>
  <c r="FQ4" i="2" s="1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HI4" i="2" l="1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R5" i="2" s="1"/>
  <c r="FN5" i="2"/>
  <c r="DY5" i="2"/>
  <c r="ET5" i="2"/>
  <c r="ES5" i="2"/>
  <c r="DD5" i="2"/>
  <c r="CH5" i="2"/>
  <c r="AS5" i="2"/>
  <c r="DX5" i="2"/>
  <c r="EA5" i="2" s="1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EX5" i="2" s="1"/>
  <c r="DV5" i="2"/>
  <c r="DM5" i="2"/>
  <c r="DA5" i="2"/>
  <c r="CR5" i="2"/>
  <c r="CQ5" i="2"/>
  <c r="EU5" i="2"/>
  <c r="EG5" i="2"/>
  <c r="DW5" i="2"/>
  <c r="EC5" i="2" s="1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HI5" i="2" l="1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HH6" i="2" s="1"/>
  <c r="GI6" i="2"/>
  <c r="GJ6" i="2"/>
  <c r="ET6" i="2"/>
  <c r="FO6" i="2"/>
  <c r="FR6" i="2" s="1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EA6" i="2" s="1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V6" i="2" l="1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V7" i="2" s="1"/>
  <c r="ET7" i="2"/>
  <c r="EW7" i="2" s="1"/>
  <c r="FO7" i="2"/>
  <c r="FN7" i="2"/>
  <c r="DY7" i="2"/>
  <c r="EB7" i="2" s="1"/>
  <c r="DD7" i="2"/>
  <c r="DC7" i="2"/>
  <c r="BM7" i="2"/>
  <c r="BN7" i="2"/>
  <c r="DX7" i="2"/>
  <c r="EA7" i="2" s="1"/>
  <c r="CH7" i="2"/>
  <c r="AS7" i="2"/>
  <c r="W7" i="2"/>
  <c r="CI7" i="2"/>
  <c r="AR7" i="2"/>
  <c r="X7" i="2"/>
  <c r="HB7" i="2"/>
  <c r="HC7" i="2"/>
  <c r="HI7" i="2" s="1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FS7" i="2" l="1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EX8" i="2" s="1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HG8" i="2" l="1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HG9" i="2" s="1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I9" i="2" l="1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HH10" i="2" s="1"/>
  <c r="GI10" i="2"/>
  <c r="GJ10" i="2"/>
  <c r="ET10" i="2"/>
  <c r="FN10" i="2"/>
  <c r="FO10" i="2"/>
  <c r="BN10" i="2"/>
  <c r="ES10" i="2"/>
  <c r="DX10" i="2"/>
  <c r="EA10" i="2" s="1"/>
  <c r="CH10" i="2"/>
  <c r="AS10" i="2"/>
  <c r="DC10" i="2"/>
  <c r="BM10" i="2"/>
  <c r="W10" i="2"/>
  <c r="X10" i="2"/>
  <c r="DY10" i="2"/>
  <c r="EB10" i="2" s="1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HI10" i="2" l="1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HH12" i="2" s="1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I12" i="2" l="1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HG13" i="2" s="1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EC13" i="2" s="1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I13" i="2" l="1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G14" i="2" s="1"/>
  <c r="HE14" i="2"/>
  <c r="HH14" i="2" s="1"/>
  <c r="GI14" i="2"/>
  <c r="ET14" i="2"/>
  <c r="FO14" i="2"/>
  <c r="FN14" i="2"/>
  <c r="GJ14" i="2"/>
  <c r="DY14" i="2"/>
  <c r="EB14" i="2" s="1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EX14" i="2" s="1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I14" i="2" l="1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V15" i="2" s="1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FS15" i="2" s="1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HI15" i="2" l="1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HH16" i="2" s="1"/>
  <c r="FO16" i="2"/>
  <c r="GI16" i="2"/>
  <c r="DY16" i="2"/>
  <c r="ES16" i="2"/>
  <c r="DX16" i="2"/>
  <c r="EA16" i="2" s="1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C16" i="2" l="1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G18" i="2" s="1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EX18" i="2" s="1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HI18" i="2" l="1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HG20" i="2" s="1"/>
  <c r="GJ20" i="2"/>
  <c r="FO20" i="2"/>
  <c r="DY20" i="2"/>
  <c r="ES20" i="2"/>
  <c r="EV20" i="2" s="1"/>
  <c r="DX20" i="2"/>
  <c r="CI20" i="2"/>
  <c r="BM20" i="2"/>
  <c r="GI20" i="2"/>
  <c r="ET20" i="2"/>
  <c r="EW20" i="2" s="1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S20" i="2" s="1"/>
  <c r="FB20" i="2"/>
  <c r="ER20" i="2"/>
  <c r="DV20" i="2"/>
  <c r="DM20" i="2"/>
  <c r="DA20" i="2"/>
  <c r="EU20" i="2"/>
  <c r="EG20" i="2"/>
  <c r="DW20" i="2"/>
  <c r="EC20" i="2" s="1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HI20" i="2" l="1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HH21" i="2" s="1"/>
  <c r="GJ21" i="2"/>
  <c r="HD21" i="2"/>
  <c r="GI21" i="2"/>
  <c r="FO21" i="2"/>
  <c r="FN21" i="2"/>
  <c r="DY21" i="2"/>
  <c r="EB21" i="2" s="1"/>
  <c r="ET21" i="2"/>
  <c r="EW21" i="2" s="1"/>
  <c r="ES21" i="2"/>
  <c r="EV21" i="2" s="1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X21" i="2" l="1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G22" i="2" s="1"/>
  <c r="HE22" i="2"/>
  <c r="HH22" i="2" s="1"/>
  <c r="GI22" i="2"/>
  <c r="GJ22" i="2"/>
  <c r="ET22" i="2"/>
  <c r="EW22" i="2" s="1"/>
  <c r="FO22" i="2"/>
  <c r="FN22" i="2"/>
  <c r="DY22" i="2"/>
  <c r="EB22" i="2" s="1"/>
  <c r="ES22" i="2"/>
  <c r="BN22" i="2"/>
  <c r="CH22" i="2"/>
  <c r="AS22" i="2"/>
  <c r="W22" i="2"/>
  <c r="DX22" i="2"/>
  <c r="EA22" i="2" s="1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I22" i="2" l="1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HG24" i="2" s="1"/>
  <c r="GJ24" i="2"/>
  <c r="FO24" i="2"/>
  <c r="FR24" i="2" s="1"/>
  <c r="GI24" i="2"/>
  <c r="DY24" i="2"/>
  <c r="ES24" i="2"/>
  <c r="DX24" i="2"/>
  <c r="FN24" i="2"/>
  <c r="ET24" i="2"/>
  <c r="EW24" i="2" s="1"/>
  <c r="CI24" i="2"/>
  <c r="BM24" i="2"/>
  <c r="DD24" i="2"/>
  <c r="DC24" i="2"/>
  <c r="AR24" i="2"/>
  <c r="AS24" i="2"/>
  <c r="CH24" i="2"/>
  <c r="BN24" i="2"/>
  <c r="X24" i="2"/>
  <c r="W24" i="2"/>
  <c r="HE24" i="2"/>
  <c r="HH24" i="2" s="1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EC24" i="2" l="1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HH26" i="2" s="1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C26" i="2" s="1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FS26" i="2" l="1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EX27" i="2" s="1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C27" i="2" l="1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B28" i="2" s="1"/>
  <c r="ES28" i="2"/>
  <c r="EV28" i="2" s="1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FS28" i="2" s="1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X28" i="2" l="1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S29" i="2" s="1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C29" i="2" l="1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EV30" i="2" s="1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HI30" i="2" l="1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DG31" i="2" s="1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EC31" i="2" l="1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HH33" i="2" s="1"/>
  <c r="GJ33" i="2"/>
  <c r="HD33" i="2"/>
  <c r="HG33" i="2" s="1"/>
  <c r="FO33" i="2"/>
  <c r="FN33" i="2"/>
  <c r="GI33" i="2"/>
  <c r="DY33" i="2"/>
  <c r="EB33" i="2" s="1"/>
  <c r="DD33" i="2"/>
  <c r="ET33" i="2"/>
  <c r="EW33" i="2" s="1"/>
  <c r="CH33" i="2"/>
  <c r="AS33" i="2"/>
  <c r="CI33" i="2"/>
  <c r="BM33" i="2"/>
  <c r="X33" i="2"/>
  <c r="ES33" i="2"/>
  <c r="EV33" i="2" s="1"/>
  <c r="DX33" i="2"/>
  <c r="EA33" i="2" s="1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GM33" i="2" l="1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EW34" i="2" s="1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CM34" i="2" l="1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HH35" i="2" s="1"/>
  <c r="GI35" i="2"/>
  <c r="FO35" i="2"/>
  <c r="ES35" i="2"/>
  <c r="ET35" i="2"/>
  <c r="DX35" i="2"/>
  <c r="EA35" i="2" s="1"/>
  <c r="DC35" i="2"/>
  <c r="DD35" i="2"/>
  <c r="BN35" i="2"/>
  <c r="CI35" i="2"/>
  <c r="BM35" i="2"/>
  <c r="W35" i="2"/>
  <c r="FN35" i="2"/>
  <c r="FQ35" i="2" s="1"/>
  <c r="DY35" i="2"/>
  <c r="EB35" i="2" s="1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FS35" i="2" l="1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B37" i="2" s="1"/>
  <c r="ET37" i="2"/>
  <c r="ES37" i="2"/>
  <c r="DD37" i="2"/>
  <c r="CH37" i="2"/>
  <c r="AS37" i="2"/>
  <c r="DX37" i="2"/>
  <c r="EA37" i="2" s="1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HI37" i="2" l="1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HH38" i="2" s="1"/>
  <c r="GI38" i="2"/>
  <c r="GJ38" i="2"/>
  <c r="ET38" i="2"/>
  <c r="EW38" i="2" s="1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I38" i="2" s="1"/>
  <c r="HF38" i="2"/>
  <c r="GS38" i="2"/>
  <c r="GR38" i="2"/>
  <c r="GK38" i="2"/>
  <c r="GH38" i="2"/>
  <c r="FL38" i="2"/>
  <c r="FC38" i="2"/>
  <c r="FW38" i="2"/>
  <c r="FM38" i="2"/>
  <c r="FS38" i="2" s="1"/>
  <c r="FP38" i="2"/>
  <c r="DZ38" i="2"/>
  <c r="DL38" i="2"/>
  <c r="DE38" i="2"/>
  <c r="FX38" i="2"/>
  <c r="EQ38" i="2"/>
  <c r="EH38" i="2"/>
  <c r="CJ38" i="2"/>
  <c r="GG38" i="2"/>
  <c r="FB38" i="2"/>
  <c r="ER38" i="2"/>
  <c r="EX38" i="2" s="1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V38" i="2" l="1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HG40" i="2" s="1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EX40" i="2" l="1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G42" i="2" s="1"/>
  <c r="HE42" i="2"/>
  <c r="GI42" i="2"/>
  <c r="GJ42" i="2"/>
  <c r="ET42" i="2"/>
  <c r="FN42" i="2"/>
  <c r="FO42" i="2"/>
  <c r="DY42" i="2"/>
  <c r="BN42" i="2"/>
  <c r="ES42" i="2"/>
  <c r="EV42" i="2" s="1"/>
  <c r="DX42" i="2"/>
  <c r="EA42" i="2" s="1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C42" i="2" l="1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EA43" i="2" s="1"/>
  <c r="W43" i="2"/>
  <c r="DD43" i="2"/>
  <c r="DG43" i="2" s="1"/>
  <c r="CH43" i="2"/>
  <c r="X43" i="2"/>
  <c r="AS43" i="2"/>
  <c r="AR43" i="2"/>
  <c r="HC43" i="2"/>
  <c r="HI43" i="2" s="1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EX43" i="2" s="1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FS43" i="2" l="1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EW44" i="2" s="1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I44" i="2" l="1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B45" i="2" s="1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C45" i="2" l="1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EW46" i="2" s="1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C46" i="2" s="1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FS46" i="2" l="1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G47" i="2" s="1"/>
  <c r="HE47" i="2"/>
  <c r="GI47" i="2"/>
  <c r="GJ47" i="2"/>
  <c r="ES47" i="2"/>
  <c r="ET47" i="2"/>
  <c r="FN47" i="2"/>
  <c r="FO47" i="2"/>
  <c r="DC47" i="2"/>
  <c r="DX47" i="2"/>
  <c r="EA47" i="2" s="1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FS47" i="2" l="1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G48" i="2" s="1"/>
  <c r="HE48" i="2"/>
  <c r="HH48" i="2" s="1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EC48" i="2" s="1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FS48" i="2" l="1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G50" i="2" s="1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I50" i="2" s="1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EW50" i="2" l="1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EB51" i="2" s="1"/>
  <c r="DX51" i="2"/>
  <c r="EA51" i="2" s="1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EX51" i="2" s="1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HI51" i="2" l="1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EV52" i="2" s="1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HI52" i="2" l="1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HG53" i="2" s="1"/>
  <c r="GI53" i="2"/>
  <c r="FO53" i="2"/>
  <c r="FN53" i="2"/>
  <c r="DY53" i="2"/>
  <c r="ET53" i="2"/>
  <c r="ES53" i="2"/>
  <c r="DD53" i="2"/>
  <c r="CH53" i="2"/>
  <c r="AS53" i="2"/>
  <c r="DX53" i="2"/>
  <c r="EA53" i="2" s="1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C53" i="2" l="1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 s="1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FS55" i="2" l="1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HG56" i="2" s="1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FS56" i="2" l="1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HG57" i="2" s="1"/>
  <c r="FN57" i="2"/>
  <c r="DY57" i="2"/>
  <c r="EB57" i="2" s="1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C57" i="2" l="1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EA58" i="2" s="1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X58" i="2" l="1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EC59" i="2" s="1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FS59" i="2" l="1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G60" i="2" s="1"/>
  <c r="HE60" i="2"/>
  <c r="HH60" i="2" s="1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EW60" i="2" s="1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FS60" i="2" l="1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EV61" i="2" s="1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HI61" i="2" l="1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HH62" i="2" s="1"/>
  <c r="GI62" i="2"/>
  <c r="GJ62" i="2"/>
  <c r="ET62" i="2"/>
  <c r="FO62" i="2"/>
  <c r="FN62" i="2"/>
  <c r="DY62" i="2"/>
  <c r="EB62" i="2" s="1"/>
  <c r="ES62" i="2"/>
  <c r="DX62" i="2"/>
  <c r="EA62" i="2" s="1"/>
  <c r="BN62" i="2"/>
  <c r="DD62" i="2"/>
  <c r="CH62" i="2"/>
  <c r="AS62" i="2"/>
  <c r="W62" i="2"/>
  <c r="DC62" i="2"/>
  <c r="CI62" i="2"/>
  <c r="BM62" i="2"/>
  <c r="X62" i="2"/>
  <c r="AR62" i="2"/>
  <c r="HC62" i="2"/>
  <c r="HI62" i="2" s="1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C62" i="2" l="1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EC63" i="2" s="1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HI63" i="2" l="1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EV64" i="2" s="1"/>
  <c r="DX64" i="2"/>
  <c r="EA64" i="2" s="1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HI64" i="2" l="1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HH66" i="2" s="1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W66" i="2" l="1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HH67" i="2" s="1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FS67" i="2" l="1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EC69" i="2" s="1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HI69" i="2" l="1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G70" i="2" s="1"/>
  <c r="HE70" i="2"/>
  <c r="GI70" i="2"/>
  <c r="GJ70" i="2"/>
  <c r="ET70" i="2"/>
  <c r="EW70" i="2" s="1"/>
  <c r="FO70" i="2"/>
  <c r="FN70" i="2"/>
  <c r="ES70" i="2"/>
  <c r="BN70" i="2"/>
  <c r="DY70" i="2"/>
  <c r="EB70" i="2" s="1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C70" i="2" l="1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HH71" i="2" s="1"/>
  <c r="GI71" i="2"/>
  <c r="GJ71" i="2"/>
  <c r="ES71" i="2"/>
  <c r="ET71" i="2"/>
  <c r="EW71" i="2" s="1"/>
  <c r="FO71" i="2"/>
  <c r="FN71" i="2"/>
  <c r="DY71" i="2"/>
  <c r="DD71" i="2"/>
  <c r="DC71" i="2"/>
  <c r="BN71" i="2"/>
  <c r="DX71" i="2"/>
  <c r="EA71" i="2" s="1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HI71" i="2" l="1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EW73" i="2" s="1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X73" i="2" l="1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G74" i="2" s="1"/>
  <c r="HE74" i="2"/>
  <c r="GI74" i="2"/>
  <c r="GJ74" i="2"/>
  <c r="ET74" i="2"/>
  <c r="EW74" i="2" s="1"/>
  <c r="FN74" i="2"/>
  <c r="FO74" i="2"/>
  <c r="FR74" i="2" s="1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S74" i="2" s="1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EC74" i="2" l="1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EB75" i="2" s="1"/>
  <c r="FN75" i="2"/>
  <c r="DC75" i="2"/>
  <c r="BN75" i="2"/>
  <c r="CI75" i="2"/>
  <c r="BM75" i="2"/>
  <c r="DX75" i="2"/>
  <c r="EA75" i="2" s="1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X75" i="2" l="1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W77" i="2" s="1"/>
  <c r="ES77" i="2"/>
  <c r="DD77" i="2"/>
  <c r="CH77" i="2"/>
  <c r="AS77" i="2"/>
  <c r="CI77" i="2"/>
  <c r="BM77" i="2"/>
  <c r="DY77" i="2"/>
  <c r="EB77" i="2" s="1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FS77" i="2" l="1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EW78" i="2" s="1"/>
  <c r="FO78" i="2"/>
  <c r="FN78" i="2"/>
  <c r="ES78" i="2"/>
  <c r="EV78" i="2" s="1"/>
  <c r="DX78" i="2"/>
  <c r="BN78" i="2"/>
  <c r="DD78" i="2"/>
  <c r="CH78" i="2"/>
  <c r="AS78" i="2"/>
  <c r="W78" i="2"/>
  <c r="DY78" i="2"/>
  <c r="EB78" i="2" s="1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C78" i="2" s="1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AU78" i="2" l="1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G80" i="2" s="1"/>
  <c r="HE80" i="2"/>
  <c r="HH80" i="2" s="1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EC80" i="2" l="1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G82" i="2" s="1"/>
  <c r="HE82" i="2"/>
  <c r="HH82" i="2" s="1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X82" i="2" l="1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HG84" i="2" s="1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EC84" i="2" l="1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HG85" i="2" s="1"/>
  <c r="GI85" i="2"/>
  <c r="FO85" i="2"/>
  <c r="FN85" i="2"/>
  <c r="ET85" i="2"/>
  <c r="EW85" i="2" s="1"/>
  <c r="ES85" i="2"/>
  <c r="EV85" i="2" s="1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EC85" i="2" s="1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FS85" i="2" l="1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EB86" i="2" s="1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FS86" i="2" l="1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G87" i="2" s="1"/>
  <c r="HE87" i="2"/>
  <c r="GI87" i="2"/>
  <c r="GJ87" i="2"/>
  <c r="ES87" i="2"/>
  <c r="ET87" i="2"/>
  <c r="FO87" i="2"/>
  <c r="FN87" i="2"/>
  <c r="DY87" i="2"/>
  <c r="EB87" i="2" s="1"/>
  <c r="DD87" i="2"/>
  <c r="DC87" i="2"/>
  <c r="BN87" i="2"/>
  <c r="CI87" i="2"/>
  <c r="CH87" i="2"/>
  <c r="AS87" i="2"/>
  <c r="W87" i="2"/>
  <c r="DX87" i="2"/>
  <c r="EA87" i="2" s="1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HI87" i="2" l="1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HG89" i="2" s="1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FS89" i="2" l="1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G90" i="2" s="1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EC90" i="2" l="1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EA91" i="2" s="1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X91" i="2" l="1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EW92" i="2" s="1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EX92" i="2" s="1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HI92" i="2" l="1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EC93" i="2" s="1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FS93" i="2" l="1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G94" i="2" s="1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EX94" i="2" l="1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FQ95" i="2" s="1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S95" i="2" l="1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S98" i="2" s="1"/>
  <c r="FP98" i="2"/>
  <c r="FX98" i="2"/>
  <c r="DZ98" i="2"/>
  <c r="DL98" i="2"/>
  <c r="DE98" i="2"/>
  <c r="GG98" i="2"/>
  <c r="EQ98" i="2"/>
  <c r="EH98" i="2"/>
  <c r="CJ98" i="2"/>
  <c r="CR98" i="2"/>
  <c r="FB98" i="2"/>
  <c r="ER98" i="2"/>
  <c r="EX98" i="2" s="1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C98" i="2" l="1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HH99" i="2" s="1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X99" i="2" l="1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EV100" i="2" s="1"/>
  <c r="DX100" i="2"/>
  <c r="GI100" i="2"/>
  <c r="CI100" i="2"/>
  <c r="BM100" i="2"/>
  <c r="ET100" i="2"/>
  <c r="EW100" i="2" s="1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EX100" i="2" s="1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AU100" i="2" l="1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EX104" i="2" s="1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HI104" i="2" l="1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HH105" i="2" s="1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X105" i="2" l="1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G106" i="2" s="1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I106" i="2" l="1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EB107" i="2" s="1"/>
  <c r="FN107" i="2"/>
  <c r="DC107" i="2"/>
  <c r="DD107" i="2"/>
  <c r="BN107" i="2"/>
  <c r="CI107" i="2"/>
  <c r="BM107" i="2"/>
  <c r="DX107" i="2"/>
  <c r="EA107" i="2" s="1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EC107" i="2" s="1"/>
  <c r="DB107" i="2"/>
  <c r="DZ107" i="2"/>
  <c r="DL107" i="2"/>
  <c r="DE107" i="2"/>
  <c r="EQ107" i="2"/>
  <c r="EH107" i="2"/>
  <c r="CJ107" i="2"/>
  <c r="CR107" i="2"/>
  <c r="FP107" i="2"/>
  <c r="FB107" i="2"/>
  <c r="ER107" i="2"/>
  <c r="EX107" i="2" s="1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HI107" i="2" l="1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EA108" i="2" s="1"/>
  <c r="CI108" i="2"/>
  <c r="BM108" i="2"/>
  <c r="FN108" i="2"/>
  <c r="DY108" i="2"/>
  <c r="EB108" i="2" s="1"/>
  <c r="DC108" i="2"/>
  <c r="ET108" i="2"/>
  <c r="EW108" i="2" s="1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X108" i="2" l="1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EB109" i="2" s="1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EX109" i="2" s="1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HI109" i="2" l="1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G110" i="2" s="1"/>
  <c r="HE110" i="2"/>
  <c r="HH110" i="2" s="1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EB110" i="2" s="1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HI110" i="2" l="1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EB112" i="2" s="1"/>
  <c r="CI112" i="2"/>
  <c r="BM112" i="2"/>
  <c r="DC112" i="2"/>
  <c r="AR112" i="2"/>
  <c r="CH112" i="2"/>
  <c r="DD112" i="2"/>
  <c r="BN112" i="2"/>
  <c r="AS112" i="2"/>
  <c r="X112" i="2"/>
  <c r="W112" i="2"/>
  <c r="HC112" i="2"/>
  <c r="HI112" i="2" s="1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FS112" i="2" l="1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HG113" i="2" s="1"/>
  <c r="GJ113" i="2"/>
  <c r="FO113" i="2"/>
  <c r="FN113" i="2"/>
  <c r="GI113" i="2"/>
  <c r="ET113" i="2"/>
  <c r="EW113" i="2" s="1"/>
  <c r="CH113" i="2"/>
  <c r="AS113" i="2"/>
  <c r="DY113" i="2"/>
  <c r="EB113" i="2" s="1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AW113" i="2" l="1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EW114" i="2" s="1"/>
  <c r="FN114" i="2"/>
  <c r="DD114" i="2"/>
  <c r="BN114" i="2"/>
  <c r="FO114" i="2"/>
  <c r="CH114" i="2"/>
  <c r="AS114" i="2"/>
  <c r="ES114" i="2"/>
  <c r="EV114" i="2" s="1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C114" i="2" l="1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FS115" i="2" s="1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HI115" i="2" l="1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HG116" i="2" s="1"/>
  <c r="FO116" i="2"/>
  <c r="HE116" i="2"/>
  <c r="GJ116" i="2"/>
  <c r="ES116" i="2"/>
  <c r="EV116" i="2" s="1"/>
  <c r="DX116" i="2"/>
  <c r="EA116" i="2" s="1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I116" i="2" l="1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X117" i="2" l="1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FQ118" i="2" s="1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S118" i="2" s="1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HI118" i="2" l="1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G119" i="2" s="1"/>
  <c r="HE119" i="2"/>
  <c r="GI119" i="2"/>
  <c r="GJ119" i="2"/>
  <c r="ES119" i="2"/>
  <c r="ET119" i="2"/>
  <c r="FO119" i="2"/>
  <c r="FR119" i="2" s="1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EX119" i="2" s="1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HI119" i="2" l="1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HH120" i="2" s="1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I120" i="2" s="1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EC120" i="2" l="1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EA121" i="2" s="1"/>
  <c r="CH121" i="2"/>
  <c r="AS121" i="2"/>
  <c r="CI121" i="2"/>
  <c r="BM121" i="2"/>
  <c r="X121" i="2"/>
  <c r="ET121" i="2"/>
  <c r="DY121" i="2"/>
  <c r="EB121" i="2" s="1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AW121" i="2" l="1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HH122" i="2" s="1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I122" i="2" s="1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AU122" i="2" l="1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HH123" i="2" s="1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FS123" i="2" l="1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HH124" i="2" s="1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EX124" i="2" s="1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C124" i="2" l="1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EC125" i="2" s="1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FS125" i="2" l="1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G126" i="2" s="1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I126" i="2" l="1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V127" i="2" s="1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I127" i="2" s="1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EC127" i="2" l="1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EB128" i="2" s="1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EX128" i="2" s="1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HI128" i="2" l="1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EV129" i="2" s="1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X129" i="2" l="1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G130" i="2" s="1"/>
  <c r="HE130" i="2"/>
  <c r="HH130" i="2" s="1"/>
  <c r="GI130" i="2"/>
  <c r="GJ130" i="2"/>
  <c r="ET130" i="2"/>
  <c r="EW130" i="2" s="1"/>
  <c r="FN130" i="2"/>
  <c r="DD130" i="2"/>
  <c r="BN130" i="2"/>
  <c r="CH130" i="2"/>
  <c r="AS130" i="2"/>
  <c r="DY130" i="2"/>
  <c r="EB130" i="2" s="1"/>
  <c r="DC130" i="2"/>
  <c r="W130" i="2"/>
  <c r="FO130" i="2"/>
  <c r="X130" i="2"/>
  <c r="ES130" i="2"/>
  <c r="DX130" i="2"/>
  <c r="CI130" i="2"/>
  <c r="AR130" i="2"/>
  <c r="BM130" i="2"/>
  <c r="HC130" i="2"/>
  <c r="HI130" i="2" s="1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A130" i="2" l="1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G132" i="2" s="1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S132" i="2" s="1"/>
  <c r="FB132" i="2"/>
  <c r="ER132" i="2"/>
  <c r="DV132" i="2"/>
  <c r="DM132" i="2"/>
  <c r="DA132" i="2"/>
  <c r="HF132" i="2"/>
  <c r="EU132" i="2"/>
  <c r="EG132" i="2"/>
  <c r="DW132" i="2"/>
  <c r="EC132" i="2" s="1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HI132" i="2" l="1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W133" i="2" s="1"/>
  <c r="ES133" i="2"/>
  <c r="EV133" i="2" s="1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I133" i="2" l="1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EW134" i="2" s="1"/>
  <c r="FO134" i="2"/>
  <c r="FN134" i="2"/>
  <c r="ES134" i="2"/>
  <c r="EV134" i="2" s="1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C134" i="2" l="1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EW135" i="2" s="1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HI135" i="2" l="1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FS136" i="2" s="1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HI136" i="2" l="1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H137" i="2" s="1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EX137" i="2" s="1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FS137" i="2" l="1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EB138" i="2" s="1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HI138" i="2" l="1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EB139" i="2" s="1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X139" i="2" l="1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G140" i="2" s="1"/>
  <c r="HE140" i="2"/>
  <c r="HH140" i="2" s="1"/>
  <c r="FO140" i="2"/>
  <c r="FR140" i="2" s="1"/>
  <c r="GI140" i="2"/>
  <c r="ES140" i="2"/>
  <c r="DX140" i="2"/>
  <c r="CI140" i="2"/>
  <c r="BM140" i="2"/>
  <c r="GJ140" i="2"/>
  <c r="FN140" i="2"/>
  <c r="DY140" i="2"/>
  <c r="EB140" i="2" s="1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EX140" i="2" s="1"/>
  <c r="DV140" i="2"/>
  <c r="DM140" i="2"/>
  <c r="DA140" i="2"/>
  <c r="EU140" i="2"/>
  <c r="EG140" i="2"/>
  <c r="DW140" i="2"/>
  <c r="EC140" i="2" s="1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HI140" i="2" l="1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HG141" i="2" s="1"/>
  <c r="CH141" i="2"/>
  <c r="CI141" i="2"/>
  <c r="BM141" i="2"/>
  <c r="DY141" i="2"/>
  <c r="EB141" i="2" s="1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S141" i="2" s="1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X141" i="2" l="1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G142" i="2" s="1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FS142" i="2" l="1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FS143" i="2" s="1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C143" i="2" l="1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G144" i="2" s="1"/>
  <c r="HE144" i="2"/>
  <c r="HH144" i="2" s="1"/>
  <c r="FO144" i="2"/>
  <c r="FR144" i="2" s="1"/>
  <c r="GJ144" i="2"/>
  <c r="GI144" i="2"/>
  <c r="ES144" i="2"/>
  <c r="DX144" i="2"/>
  <c r="EA144" i="2" s="1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HI144" i="2" l="1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EX145" i="2" s="1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HI145" i="2" l="1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G146" i="2" s="1"/>
  <c r="HE146" i="2"/>
  <c r="HH146" i="2" s="1"/>
  <c r="GJ146" i="2"/>
  <c r="GI146" i="2"/>
  <c r="ET146" i="2"/>
  <c r="FN146" i="2"/>
  <c r="DD146" i="2"/>
  <c r="BN146" i="2"/>
  <c r="FO146" i="2"/>
  <c r="FR146" i="2" s="1"/>
  <c r="CH146" i="2"/>
  <c r="ES146" i="2"/>
  <c r="DX146" i="2"/>
  <c r="EA146" i="2" s="1"/>
  <c r="DC146" i="2"/>
  <c r="W146" i="2"/>
  <c r="X146" i="2"/>
  <c r="DY146" i="2"/>
  <c r="BM146" i="2"/>
  <c r="AR146" i="2"/>
  <c r="CI146" i="2"/>
  <c r="AS146" i="2"/>
  <c r="HC146" i="2"/>
  <c r="HI146" i="2" s="1"/>
  <c r="HF146" i="2"/>
  <c r="HB146" i="2"/>
  <c r="GS146" i="2"/>
  <c r="GR146" i="2"/>
  <c r="GH146" i="2"/>
  <c r="FL146" i="2"/>
  <c r="FC146" i="2"/>
  <c r="FW146" i="2"/>
  <c r="FM146" i="2"/>
  <c r="FS146" i="2" s="1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X146" i="2" l="1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EW147" i="2" s="1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EX147" i="2" s="1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HI147" i="2" l="1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HH149" i="2" s="1"/>
  <c r="GJ149" i="2"/>
  <c r="HD149" i="2"/>
  <c r="HG149" i="2" s="1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EX149" i="2" s="1"/>
  <c r="DV149" i="2"/>
  <c r="DM149" i="2"/>
  <c r="DA149" i="2"/>
  <c r="EU149" i="2"/>
  <c r="EG149" i="2"/>
  <c r="DW149" i="2"/>
  <c r="EC149" i="2" s="1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FS149" i="2" l="1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EV150" i="2" s="1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I150" i="2" s="1"/>
  <c r="HF150" i="2"/>
  <c r="HB150" i="2"/>
  <c r="GS150" i="2"/>
  <c r="GR150" i="2"/>
  <c r="GK150" i="2"/>
  <c r="GH150" i="2"/>
  <c r="FL150" i="2"/>
  <c r="FC150" i="2"/>
  <c r="FW150" i="2"/>
  <c r="FM150" i="2"/>
  <c r="FS150" i="2" s="1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X150" i="2" l="1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V151" i="2" s="1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EC151" i="2" s="1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HI151" i="2" l="1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EV152" i="2" s="1"/>
  <c r="DX152" i="2"/>
  <c r="FN152" i="2"/>
  <c r="ET152" i="2"/>
  <c r="CI152" i="2"/>
  <c r="BM152" i="2"/>
  <c r="HE152" i="2"/>
  <c r="DC152" i="2"/>
  <c r="DY152" i="2"/>
  <c r="EB152" i="2" s="1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C152" i="2" l="1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EA153" i="2" s="1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HI153" i="2" l="1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EW155" i="2" s="1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HI156" i="2" s="1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AB156" i="2" s="1"/>
  <c r="H194" i="2"/>
  <c r="D195" i="2"/>
  <c r="G195" i="2" s="1"/>
  <c r="EY155" i="2"/>
  <c r="ED155" i="2"/>
  <c r="AX152" i="2"/>
  <c r="EV156" i="2" l="1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B157" i="2" s="1"/>
  <c r="EG157" i="2"/>
  <c r="EH157" i="2"/>
  <c r="GK157" i="2"/>
  <c r="ER157" i="2"/>
  <c r="EX157" i="2" s="1"/>
  <c r="DM157" i="2"/>
  <c r="ES157" i="2"/>
  <c r="ET157" i="2"/>
  <c r="DW157" i="2"/>
  <c r="EC157" i="2" s="1"/>
  <c r="CQ157" i="2"/>
  <c r="BW157" i="2"/>
  <c r="FB157" i="2"/>
  <c r="DX157" i="2"/>
  <c r="EA157" i="2" s="1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FS157" i="2" l="1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HG158" i="2" s="1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EW158" i="2" s="1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EV158" i="2" s="1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AU158" i="2" l="1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ED158" i="2" s="1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HH159" i="2" s="1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HI159" i="2" s="1"/>
  <c r="GI159" i="2"/>
  <c r="FP159" i="2"/>
  <c r="EG159" i="2"/>
  <c r="ER159" i="2"/>
  <c r="FL159" i="2"/>
  <c r="ES159" i="2"/>
  <c r="ET159" i="2"/>
  <c r="DW159" i="2"/>
  <c r="EC159" i="2" s="1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FS159" i="2" l="1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FS160" i="2" s="1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EC160" i="2" s="1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X160" i="2" l="1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AB161" i="2" s="1"/>
  <c r="H199" i="2"/>
  <c r="AX158" i="2"/>
  <c r="D200" i="2"/>
  <c r="G200" i="2" s="1"/>
  <c r="AW161" i="2" l="1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HG162" i="2" s="1"/>
  <c r="GJ162" i="2"/>
  <c r="HE162" i="2"/>
  <c r="HH162" i="2" s="1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B162" i="2" s="1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FS162" i="2" l="1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I163" i="2" s="1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V163" i="2" s="1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EA163" i="2" s="1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FS163" i="2" l="1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FS164" i="2" s="1"/>
  <c r="ET164" i="2"/>
  <c r="ES164" i="2"/>
  <c r="EV164" i="2" s="1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 s="1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EC164" i="2" l="1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HI167" i="2" s="1"/>
  <c r="GI167" i="2"/>
  <c r="FP167" i="2"/>
  <c r="EG167" i="2"/>
  <c r="FL167" i="2"/>
  <c r="EQ167" i="2"/>
  <c r="FW167" i="2"/>
  <c r="EU167" i="2"/>
  <c r="DW167" i="2"/>
  <c r="EC167" i="2" s="1"/>
  <c r="DY167" i="2"/>
  <c r="EB167" i="2" s="1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DG167" i="2" s="1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FS167" i="2" l="1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EV168" i="2" s="1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EW168" i="2" s="1"/>
  <c r="DM168" i="2"/>
  <c r="BV168" i="2"/>
  <c r="BO168" i="2"/>
  <c r="EU168" i="2"/>
  <c r="DV168" i="2"/>
  <c r="CQ168" i="2"/>
  <c r="DW168" i="2"/>
  <c r="EC168" i="2" s="1"/>
  <c r="DY168" i="2"/>
  <c r="EB168" i="2" s="1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FS168" i="2" l="1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EB169" i="2" s="1"/>
  <c r="GG169" i="2"/>
  <c r="ES169" i="2"/>
  <c r="DC169" i="2"/>
  <c r="CI169" i="2"/>
  <c r="ET169" i="2"/>
  <c r="DL169" i="2"/>
  <c r="DD169" i="2"/>
  <c r="CJ169" i="2"/>
  <c r="DW169" i="2"/>
  <c r="DX169" i="2"/>
  <c r="EA169" i="2" s="1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HI169" i="2" l="1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G172" i="2" s="1"/>
  <c r="HE172" i="2"/>
  <c r="GK172" i="2"/>
  <c r="FB172" i="2"/>
  <c r="HF172" i="2"/>
  <c r="FC172" i="2"/>
  <c r="FW172" i="2"/>
  <c r="FL172" i="2"/>
  <c r="GR172" i="2"/>
  <c r="FX172" i="2"/>
  <c r="FM172" i="2"/>
  <c r="ET172" i="2"/>
  <c r="EW172" i="2" s="1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C172" i="2" l="1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EB173" i="2" s="1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C173" i="2" l="1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HG174" i="2" s="1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C174" i="2" s="1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A174" i="2" l="1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FS175" i="2" s="1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EW175" i="2" s="1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EA175" i="2" s="1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ED174" i="2"/>
  <c r="AX172" i="2"/>
  <c r="EX175" i="2" l="1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X176" i="2" l="1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I177" i="2" l="1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EA178" i="2" s="1"/>
  <c r="CQ178" i="2"/>
  <c r="EH178" i="2"/>
  <c r="DY178" i="2"/>
  <c r="EB178" i="2" s="1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HI178" i="2" l="1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HG179" i="2" s="1"/>
  <c r="GJ179" i="2"/>
  <c r="HE179" i="2"/>
  <c r="HH179" i="2" s="1"/>
  <c r="GK179" i="2"/>
  <c r="FB179" i="2"/>
  <c r="HF179" i="2"/>
  <c r="FC179" i="2"/>
  <c r="FW179" i="2"/>
  <c r="FL179" i="2"/>
  <c r="ES179" i="2"/>
  <c r="EV179" i="2" s="1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DF179" i="2" s="1"/>
  <c r="CG179" i="2"/>
  <c r="W179" i="2"/>
  <c r="AX176" i="2"/>
  <c r="ED178" i="2"/>
  <c r="FS179" i="2" l="1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EC180" i="2" l="1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EB183" i="2" s="1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EA183" i="2" s="1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X183" i="2" l="1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HG185" i="2" s="1"/>
  <c r="GJ185" i="2"/>
  <c r="HE185" i="2"/>
  <c r="HH185" i="2" s="1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D184" i="2"/>
  <c r="AU185" i="2" l="1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HG186" i="2" s="1"/>
  <c r="GJ186" i="2"/>
  <c r="HE186" i="2"/>
  <c r="HH186" i="2" s="1"/>
  <c r="GK186" i="2"/>
  <c r="FB186" i="2"/>
  <c r="HF186" i="2"/>
  <c r="FC186" i="2"/>
  <c r="ER186" i="2"/>
  <c r="EU186" i="2"/>
  <c r="FO186" i="2"/>
  <c r="FR186" i="2" s="1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X186" i="2" l="1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HG187" i="2" s="1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HI187" i="2" l="1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FS188" i="2" l="1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EB189" i="2" s="1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EY188" i="2"/>
  <c r="AX186" i="2"/>
  <c r="EC189" i="2" l="1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EW190" i="2" s="1"/>
  <c r="FC190" i="2"/>
  <c r="EH190" i="2"/>
  <c r="FN190" i="2"/>
  <c r="FP190" i="2"/>
  <c r="ER190" i="2"/>
  <c r="DX190" i="2"/>
  <c r="CR190" i="2"/>
  <c r="ES190" i="2"/>
  <c r="EV190" i="2" s="1"/>
  <c r="DY190" i="2"/>
  <c r="EB190" i="2" s="1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HI190" i="2" l="1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G191" i="2" s="1"/>
  <c r="GJ191" i="2"/>
  <c r="HE191" i="2"/>
  <c r="HH191" i="2" s="1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EC191" i="2" l="1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HH192" i="2" s="1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HG192" i="2" s="1"/>
  <c r="GJ192" i="2"/>
  <c r="EH192" i="2"/>
  <c r="FM192" i="2"/>
  <c r="EG192" i="2"/>
  <c r="FN192" i="2"/>
  <c r="FX192" i="2"/>
  <c r="FO192" i="2"/>
  <c r="ET192" i="2"/>
  <c r="EW192" i="2" s="1"/>
  <c r="FB192" i="2"/>
  <c r="FC192" i="2"/>
  <c r="DZ192" i="2"/>
  <c r="DB192" i="2"/>
  <c r="FL192" i="2"/>
  <c r="DC192" i="2"/>
  <c r="DM192" i="2"/>
  <c r="FP192" i="2"/>
  <c r="DV192" i="2"/>
  <c r="DW192" i="2"/>
  <c r="EC192" i="2" s="1"/>
  <c r="CQ192" i="2"/>
  <c r="CI192" i="2"/>
  <c r="BN192" i="2"/>
  <c r="EQ192" i="2"/>
  <c r="DX192" i="2"/>
  <c r="EA192" i="2" s="1"/>
  <c r="CR192" i="2"/>
  <c r="CJ192" i="2"/>
  <c r="BO192" i="2"/>
  <c r="ER192" i="2"/>
  <c r="DY192" i="2"/>
  <c r="EB192" i="2" s="1"/>
  <c r="ES192" i="2"/>
  <c r="EV192" i="2" s="1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AW192" i="2" l="1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EX193" i="2" s="1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A193" i="2" s="1"/>
  <c r="EU193" i="2"/>
  <c r="DY193" i="2"/>
  <c r="EB193" i="2" s="1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FS193" i="2" l="1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HI194" i="2" s="1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AW194" i="2" l="1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EB195" i="2" s="1"/>
  <c r="DA195" i="2"/>
  <c r="BW195" i="2"/>
  <c r="EG195" i="2"/>
  <c r="DZ195" i="2"/>
  <c r="EH195" i="2"/>
  <c r="ER195" i="2"/>
  <c r="EX195" i="2" s="1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A195" i="2" s="1"/>
  <c r="AX192" i="2"/>
  <c r="AU195" i="2" l="1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HH196" i="2" s="1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FS196" i="2" l="1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EC197" i="2" s="1"/>
  <c r="CQ197" i="2"/>
  <c r="GK197" i="2"/>
  <c r="FM197" i="2"/>
  <c r="FS197" i="2" s="1"/>
  <c r="EH197" i="2"/>
  <c r="DX197" i="2"/>
  <c r="EA197" i="2" s="1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X197" i="2" l="1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EV198" i="2" s="1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EW198" i="2" s="1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FS198" i="2" l="1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HG199" i="2" s="1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FS199" i="2" s="1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I199" i="2" l="1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EX200" i="2" s="1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HI200" i="2" l="1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EA201" i="2" s="1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ED200" i="2"/>
  <c r="DI200" i="2"/>
  <c r="HI201" i="2" l="1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FR202" i="2" s="1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EV202" i="2" l="1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R203" i="2" s="1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BP203" i="2" s="1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AH92" i="2" a="1"/>
  <c r="AH92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EC203" i="2" l="1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<sst xmlns="http://schemas.openxmlformats.org/spreadsheetml/2006/main" count="1170" uniqueCount="324">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</sst>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2.108474572518316</c:v>
                </c:pt>
                <c:pt idx="2">
                  <c:v>2.8670085021075149</c:v>
                </c:pt>
                <c:pt idx="3">
                  <c:v>3.8995836938128075</c:v>
                </c:pt>
                <c:pt idx="4">
                  <c:v>5.3055980481022571</c:v>
                </c:pt>
                <c:pt idx="5">
                  <c:v>7.2206353449995211</c:v>
                </c:pt>
                <c:pt idx="6">
                  <c:v>9.8296836619511652</c:v>
                </c:pt>
                <c:pt idx="7">
                  <c:v>13.38519747861622</c:v>
                </c:pt>
                <c:pt idx="8">
                  <c:v>18.23178342374937</c:v>
                </c:pt>
                <c:pt idx="9">
                  <c:v>24.839945406389592</c:v>
                </c:pt>
                <c:pt idx="10">
                  <c:v>33.852222834482681</c:v>
                </c:pt>
                <c:pt idx="11">
                  <c:v>46.146285377623315</c:v>
                </c:pt>
                <c:pt idx="12">
                  <c:v>62.921232121831004</c:v>
                </c:pt>
                <c:pt idx="13">
                  <c:v>83.125805197857886</c:v>
                </c:pt>
                <c:pt idx="14">
                  <c:v>103.20556924537884</c:v>
                </c:pt>
                <c:pt idx="15">
                  <c:v>123.18839787166746</c:v>
                </c:pt>
                <c:pt idx="16">
                  <c:v>143.09228790376088</c:v>
                </c:pt>
                <c:pt idx="17">
                  <c:v>132.98618500597115</c:v>
                </c:pt>
                <c:pt idx="18">
                  <c:v>155.45722875617952</c:v>
                </c:pt>
                <c:pt idx="19">
                  <c:v>177.85099744783145</c:v>
                </c:pt>
                <c:pt idx="20">
                  <c:v>200.17860042757502</c:v>
                </c:pt>
                <c:pt idx="21">
                  <c:v>182.06242044637693</c:v>
                </c:pt>
                <c:pt idx="22">
                  <c:v>207.9308195045044</c:v>
                </c:pt>
                <c:pt idx="23">
                  <c:v>233.72485302763633</c:v>
                </c:pt>
                <c:pt idx="24">
                  <c:v>259.45388286365005</c:v>
                </c:pt>
                <c:pt idx="25">
                  <c:v>229.5379645972439</c:v>
                </c:pt>
                <c:pt idx="26">
                  <c:v>254.95565122562834</c:v>
                </c:pt>
                <c:pt idx="27">
                  <c:v>280.31597953415428</c:v>
                </c:pt>
                <c:pt idx="28">
                  <c:v>305.62486594574432</c:v>
                </c:pt>
                <c:pt idx="29">
                  <c:v>277.00184490652941</c:v>
                </c:pt>
                <c:pt idx="30">
                  <c:v>300.92982424386526</c:v>
                </c:pt>
                <c:pt idx="31">
                  <c:v>324.81544955459077</c:v>
                </c:pt>
                <c:pt idx="32">
                  <c:v>348.66227126658896</c:v>
                </c:pt>
                <c:pt idx="33">
                  <c:v>372.47331459708585</c:v>
                </c:pt>
                <c:pt idx="34">
                  <c:v>396.25118655434932</c:v>
                </c:pt>
                <c:pt idx="35">
                  <c:v>338.65964342796582</c:v>
                </c:pt>
                <c:pt idx="36">
                  <c:v>357.59545707493356</c:v>
                </c:pt>
                <c:pt idx="37">
                  <c:v>376.50933088459868</c:v>
                </c:pt>
                <c:pt idx="38">
                  <c:v>395.40252158012913</c:v>
                </c:pt>
                <c:pt idx="39">
                  <c:v>414.27615603045524</c:v>
                </c:pt>
                <c:pt idx="40">
                  <c:v>433.13125009429888</c:v>
                </c:pt>
                <c:pt idx="41">
                  <c:v>403.88741034371873</c:v>
                </c:pt>
                <c:pt idx="42">
                  <c:v>417.87909386741245</c:v>
                </c:pt>
                <c:pt idx="43">
                  <c:v>431.86068387305653</c:v>
                </c:pt>
                <c:pt idx="44">
                  <c:v>445.8325531308746</c:v>
                </c:pt>
                <c:pt idx="45">
                  <c:v>459.79504914411177</c:v>
                </c:pt>
                <c:pt idx="46">
                  <c:v>473.74849659300207</c:v>
                </c:pt>
                <c:pt idx="47">
                  <c:v>456.3052857575903</c:v>
                </c:pt>
                <c:pt idx="48">
                  <c:v>465.50435362197749</c:v>
                </c:pt>
                <c:pt idx="49">
                  <c:v>474.69954624952516</c:v>
                </c:pt>
                <c:pt idx="50">
                  <c:v>483.89094931012482</c:v>
                </c:pt>
                <c:pt idx="51">
                  <c:v>493.07864495283161</c:v>
                </c:pt>
                <c:pt idx="52">
                  <c:v>502.2627120148843</c:v>
                </c:pt>
                <c:pt idx="53">
                  <c:v>511.44322621464318</c:v>
                </c:pt>
                <c:pt idx="54">
                  <c:v>520.62026032995084</c:v>
                </c:pt>
                <c:pt idx="55">
                  <c:v>502.89596414017211</c:v>
                </c:pt>
                <c:pt idx="56">
                  <c:v>506.69512340906493</c:v>
                </c:pt>
                <c:pt idx="57">
                  <c:v>510.49368045075312</c:v>
                </c:pt>
                <c:pt idx="58">
                  <c:v>514.29164038230499</c:v>
                </c:pt>
                <c:pt idx="59">
                  <c:v>518.08900823898546</c:v>
                </c:pt>
                <c:pt idx="60">
                  <c:v>521.88578897616731</c:v>
                </c:pt>
                <c:pt idx="61">
                  <c:v>525.68198747118402</c:v>
                </c:pt>
                <c:pt idx="62">
                  <c:v>529.4776085251259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06038096"/>
        <c:axId val="503454672"/>
      </c:scatterChart>
      <c:valAx>
        <c:axId val="7060380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503454672"/>
        <c:crosses val="autoZero"/>
        <c:crossBetween val="midCat"/>
      </c:valAx>
      <c:valAx>
        <c:axId val="5034546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7060380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65457680"/>
        <c:axId val="865451696"/>
      </c:scatterChart>
      <c:valAx>
        <c:axId val="86545768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865451696"/>
        <c:crosses val="autoZero"/>
        <c:crossBetween val="midCat"/>
      </c:valAx>
      <c:valAx>
        <c:axId val="8654516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86545768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03459568"/>
        <c:axId val="503456848"/>
      </c:scatterChart>
      <c:valAx>
        <c:axId val="5034595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503456848"/>
        <c:crosses val="autoZero"/>
        <c:crossBetween val="midCat"/>
      </c:valAx>
      <c:valAx>
        <c:axId val="5034568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5034595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03447056"/>
        <c:axId val="503450320"/>
      </c:scatterChart>
      <c:valAx>
        <c:axId val="503447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503450320"/>
        <c:crosses val="autoZero"/>
        <c:crossBetween val="midCat"/>
      </c:valAx>
      <c:valAx>
        <c:axId val="5034503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503447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02952608"/>
        <c:axId val="502946624"/>
      </c:scatterChart>
      <c:valAx>
        <c:axId val="50295260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502946624"/>
        <c:crosses val="autoZero"/>
        <c:crossBetween val="midCat"/>
      </c:valAx>
      <c:valAx>
        <c:axId val="5029466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50295260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65466384"/>
        <c:axId val="865465840"/>
      </c:scatterChart>
      <c:valAx>
        <c:axId val="86546638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865465840"/>
        <c:crosses val="autoZero"/>
        <c:crossBetween val="midCat"/>
      </c:valAx>
      <c:valAx>
        <c:axId val="8654658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86546638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65455504"/>
        <c:axId val="865452784"/>
      </c:scatterChart>
      <c:valAx>
        <c:axId val="8654555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865452784"/>
        <c:crosses val="autoZero"/>
        <c:crossBetween val="midCat"/>
      </c:valAx>
      <c:valAx>
        <c:axId val="865452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8654555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65456048"/>
        <c:axId val="865462576"/>
      </c:scatterChart>
      <c:valAx>
        <c:axId val="86545604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865462576"/>
        <c:crosses val="autoZero"/>
        <c:crossBetween val="midCat"/>
      </c:valAx>
      <c:valAx>
        <c:axId val="8654625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86545604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65457136"/>
        <c:axId val="865462032"/>
      </c:scatterChart>
      <c:valAx>
        <c:axId val="86545713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865462032"/>
        <c:crosses val="autoZero"/>
        <c:crossBetween val="midCat"/>
      </c:valAx>
      <c:valAx>
        <c:axId val="8654620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86545713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65456592"/>
        <c:axId val="865459312"/>
      </c:scatterChart>
      <c:valAx>
        <c:axId val="86545659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865459312"/>
        <c:crosses val="autoZero"/>
        <c:crossBetween val="midCat"/>
      </c:valAx>
      <c:valAx>
        <c:axId val="8654593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86545659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xmlns="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xmlns="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xmlns="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xmlns="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xmlns="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xmlns="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xmlns="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xmlns="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xmlns="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xmlns="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1"/>
  <dimension ref="B12:M31"/>
  <sheetViews>
    <sheetView showGridLines="0" showRowColHeaders="0" topLeftCell="A42" zoomScale="80" zoomScaleNormal="80" workbookViewId="0">
      <selection activeCell="B12" sqref="B12:M16"/>
    </sheetView>
  </sheetViews>
  <sheetFormatPr baseColWidth="10" defaultRowHeight="14.4" x14ac:dyDescent="0.3"/>
  <cols>
    <col min="1" max="1" width="6.6640625" customWidth="1"/>
    <col min="2" max="13" width="15.88671875" customWidth="1"/>
  </cols>
  <sheetData>
    <row r="12" spans="2:13" ht="15" customHeight="1" x14ac:dyDescent="0.3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3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3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3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3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3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3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3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3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3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3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3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3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3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3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3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3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3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3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/>
  <dimension ref="A1:AS427"/>
  <sheetViews>
    <sheetView tabSelected="1" zoomScale="80" zoomScaleNormal="80" workbookViewId="0">
      <selection activeCell="B10" sqref="B10"/>
    </sheetView>
  </sheetViews>
  <sheetFormatPr baseColWidth="10" defaultColWidth="11.44140625" defaultRowHeight="14.4" x14ac:dyDescent="0.3"/>
  <cols>
    <col min="1" max="1" width="13.6640625" style="25" customWidth="1"/>
    <col min="2" max="2" width="36.109375" style="25" customWidth="1"/>
    <col min="3" max="3" width="14.88671875" style="25" bestFit="1" customWidth="1"/>
    <col min="4" max="4" width="16.44140625" style="25" customWidth="1"/>
    <col min="5" max="5" width="23.33203125" style="25" customWidth="1"/>
    <col min="6" max="6" width="28.88671875" style="25" bestFit="1" customWidth="1"/>
    <col min="7" max="8" width="14.6640625" style="25" customWidth="1"/>
    <col min="9" max="9" width="17" style="25" customWidth="1"/>
    <col min="10" max="10" width="13.88671875" style="25" customWidth="1"/>
    <col min="11" max="16384" width="11.44140625" style="25"/>
  </cols>
  <sheetData>
    <row r="1" spans="1:38" x14ac:dyDescent="0.3">
      <c r="A1" s="5"/>
      <c r="B1" s="5"/>
      <c r="C1" s="293" t="s">
        <v>190</v>
      </c>
      <c r="D1" s="293"/>
      <c r="E1" s="293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" thickBot="1" x14ac:dyDescent="0.35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6.4" thickBot="1" x14ac:dyDescent="0.35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5.8" x14ac:dyDescent="0.3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5.8" x14ac:dyDescent="0.3">
      <c r="A5" s="304" t="s">
        <v>231</v>
      </c>
      <c r="B5" s="304"/>
      <c r="C5" s="26">
        <v>1.63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3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5.8" x14ac:dyDescent="0.3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3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3">
      <c r="A9" s="33" t="s">
        <v>165</v>
      </c>
      <c r="B9" s="34" t="s">
        <v>36</v>
      </c>
      <c r="C9" s="35">
        <v>0.93</v>
      </c>
      <c r="D9" s="36">
        <f t="shared" ref="D9:D18" si="0">C9*$C$5</f>
        <v>1.5159</v>
      </c>
      <c r="E9" s="37">
        <v>62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3">
      <c r="A10" s="33" t="s">
        <v>166</v>
      </c>
      <c r="B10" s="34"/>
      <c r="C10" s="35"/>
      <c r="D10" s="36">
        <f t="shared" si="0"/>
        <v>0</v>
      </c>
      <c r="E10" s="37"/>
      <c r="F10" s="38" t="str">
        <f t="array" ref="F10">IF(E10="","",IF(INDEX(A:A,MAX(IF(ISNUMBER($A$62:$A$81),ROW($A$62:$A$81),"")))&lt;&gt;E10,"Corrigez : révolution incorrecte","OK"))</f>
        <v/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3">
      <c r="A11" s="33" t="s">
        <v>167</v>
      </c>
      <c r="B11" s="34"/>
      <c r="C11" s="35"/>
      <c r="D11" s="36">
        <f t="shared" si="0"/>
        <v>0</v>
      </c>
      <c r="E11" s="37"/>
      <c r="F11" s="38" t="str">
        <f t="array" ref="F11">IF(E11="","",IF(INDEX(A:A,MAX(IF(ISNUMBER($A$88:$A$107),ROW($A$88:$A$107),"")))&lt;&gt;E11,"Corrigez : révolution incorrecte","OK"))</f>
        <v/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3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3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3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3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3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3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3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3">
      <c r="A19" s="100"/>
      <c r="B19" s="39" t="s">
        <v>175</v>
      </c>
      <c r="C19" s="40">
        <f>SUM(C9:C18)</f>
        <v>0.93</v>
      </c>
      <c r="D19" s="41">
        <f>SUM(D9:D18)</f>
        <v>1.5159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3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3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4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3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3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3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3">
      <c r="A26" s="44" t="s">
        <v>222</v>
      </c>
      <c r="B26" s="45" t="s">
        <v>221</v>
      </c>
      <c r="C26" s="46">
        <v>0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3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3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3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3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3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3">
      <c r="A32" s="49" t="s">
        <v>165</v>
      </c>
      <c r="B32" s="50" t="str">
        <f>IF(B9="","",B9)</f>
        <v>Pin maritime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3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3">
      <c r="A34" s="5"/>
      <c r="B34" s="91" t="s">
        <v>185</v>
      </c>
      <c r="C34" s="294" t="s">
        <v>186</v>
      </c>
      <c r="D34" s="294"/>
      <c r="E34" s="295" t="s">
        <v>187</v>
      </c>
      <c r="F34" s="296"/>
      <c r="G34" s="296"/>
      <c r="H34" s="297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3.2" x14ac:dyDescent="0.3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3">
      <c r="A36" s="53">
        <v>12</v>
      </c>
      <c r="B36" s="63">
        <v>46</v>
      </c>
      <c r="C36" s="63"/>
      <c r="D36" s="63"/>
      <c r="E36" s="54"/>
      <c r="F36" s="54"/>
      <c r="G36" s="54"/>
      <c r="H36" s="54"/>
      <c r="I36" s="52">
        <f>IFERROR(B36/A36,"")</f>
        <v>3.8333333333333335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3">
      <c r="A37" s="53">
        <v>16</v>
      </c>
      <c r="B37" s="63">
        <v>107</v>
      </c>
      <c r="C37" s="63">
        <v>1</v>
      </c>
      <c r="D37" s="63">
        <v>25</v>
      </c>
      <c r="E37" s="54"/>
      <c r="F37" s="54">
        <v>0.4</v>
      </c>
      <c r="G37" s="54">
        <v>0.6</v>
      </c>
      <c r="H37" s="54"/>
      <c r="I37" s="56">
        <f t="shared" ref="I37:I55" si="1">IF(A37&lt;&gt;0,(B37-(B36-D36))/(A37-A36),"")</f>
        <v>15.25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3">
      <c r="A38" s="53">
        <v>20</v>
      </c>
      <c r="B38" s="63">
        <v>151</v>
      </c>
      <c r="C38" s="63">
        <v>2</v>
      </c>
      <c r="D38" s="63">
        <v>34</v>
      </c>
      <c r="E38" s="54">
        <v>0.2</v>
      </c>
      <c r="F38" s="54">
        <v>0.3</v>
      </c>
      <c r="G38" s="54">
        <v>0.5</v>
      </c>
      <c r="H38" s="54"/>
      <c r="I38" s="56">
        <f t="shared" si="1"/>
        <v>17.25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3">
      <c r="A39" s="53">
        <v>24</v>
      </c>
      <c r="B39" s="63">
        <v>197</v>
      </c>
      <c r="C39" s="63">
        <v>3</v>
      </c>
      <c r="D39" s="63">
        <v>43</v>
      </c>
      <c r="E39" s="54">
        <v>0.3</v>
      </c>
      <c r="F39" s="54">
        <v>0.3</v>
      </c>
      <c r="G39" s="54">
        <v>0.4</v>
      </c>
      <c r="H39" s="54"/>
      <c r="I39" s="52">
        <f t="shared" si="1"/>
        <v>20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3">
      <c r="A40" s="53">
        <v>28</v>
      </c>
      <c r="B40" s="63">
        <v>233</v>
      </c>
      <c r="C40" s="63">
        <v>4</v>
      </c>
      <c r="D40" s="63">
        <v>41</v>
      </c>
      <c r="E40" s="54">
        <v>0.4</v>
      </c>
      <c r="F40" s="54">
        <v>0.3</v>
      </c>
      <c r="G40" s="54">
        <v>0.3</v>
      </c>
      <c r="H40" s="54"/>
      <c r="I40" s="52">
        <f t="shared" si="1"/>
        <v>19.75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3">
      <c r="A41" s="53">
        <v>34</v>
      </c>
      <c r="B41" s="63">
        <v>304</v>
      </c>
      <c r="C41" s="63">
        <v>5</v>
      </c>
      <c r="D41" s="63">
        <v>60</v>
      </c>
      <c r="E41" s="54"/>
      <c r="F41" s="54"/>
      <c r="G41" s="54"/>
      <c r="H41" s="54"/>
      <c r="I41" s="56">
        <f t="shared" si="1"/>
        <v>18.666666666666668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3">
      <c r="A42" s="53">
        <v>40</v>
      </c>
      <c r="B42" s="63">
        <v>333</v>
      </c>
      <c r="C42" s="63">
        <v>6</v>
      </c>
      <c r="D42" s="63">
        <v>34</v>
      </c>
      <c r="E42" s="54"/>
      <c r="F42" s="54"/>
      <c r="G42" s="54"/>
      <c r="H42" s="54"/>
      <c r="I42" s="56">
        <f t="shared" si="1"/>
        <v>14.833333333333334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3">
      <c r="A43" s="283">
        <v>46</v>
      </c>
      <c r="B43" s="63">
        <v>365</v>
      </c>
      <c r="C43" s="63">
        <v>7</v>
      </c>
      <c r="D43" s="63">
        <v>21</v>
      </c>
      <c r="E43" s="54"/>
      <c r="F43" s="54"/>
      <c r="G43" s="54"/>
      <c r="H43" s="54"/>
      <c r="I43" s="52">
        <f t="shared" si="1"/>
        <v>11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3">
      <c r="A44" s="283">
        <v>54</v>
      </c>
      <c r="B44" s="63">
        <v>402</v>
      </c>
      <c r="C44" s="63">
        <v>8</v>
      </c>
      <c r="D44" s="63">
        <v>17</v>
      </c>
      <c r="E44" s="54"/>
      <c r="F44" s="54"/>
      <c r="G44" s="54"/>
      <c r="H44" s="54"/>
      <c r="I44" s="52">
        <f t="shared" si="1"/>
        <v>7.25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3">
      <c r="A45" s="283">
        <v>62</v>
      </c>
      <c r="B45" s="63">
        <v>409</v>
      </c>
      <c r="C45" s="63"/>
      <c r="D45" s="63">
        <v>409</v>
      </c>
      <c r="E45" s="54"/>
      <c r="F45" s="54"/>
      <c r="G45" s="54"/>
      <c r="H45" s="54"/>
      <c r="I45" s="52">
        <f t="shared" si="1"/>
        <v>3</v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3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3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3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3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3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3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3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3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3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3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3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3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3">
      <c r="A58" s="49" t="s">
        <v>166</v>
      </c>
      <c r="B58" s="55" t="str">
        <f>IF(B10="","",B10)</f>
        <v/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3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3">
      <c r="A60" s="5"/>
      <c r="B60" s="91" t="s">
        <v>185</v>
      </c>
      <c r="C60" s="294" t="s">
        <v>186</v>
      </c>
      <c r="D60" s="294"/>
      <c r="E60" s="295" t="s">
        <v>187</v>
      </c>
      <c r="F60" s="296"/>
      <c r="G60" s="296"/>
      <c r="H60" s="297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3.2" x14ac:dyDescent="0.3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3">
      <c r="A62" s="53"/>
      <c r="B62" s="63"/>
      <c r="C62" s="63"/>
      <c r="D62" s="63"/>
      <c r="E62" s="54"/>
      <c r="F62" s="54"/>
      <c r="G62" s="54"/>
      <c r="H62" s="54"/>
      <c r="I62" s="56" t="str">
        <f>IFERROR(B62/A62,"")</f>
        <v/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3">
      <c r="A63" s="53"/>
      <c r="B63" s="63"/>
      <c r="C63" s="63"/>
      <c r="D63" s="63"/>
      <c r="E63" s="54"/>
      <c r="F63" s="54"/>
      <c r="G63" s="54"/>
      <c r="H63" s="54"/>
      <c r="I63" s="52" t="str">
        <f>IF(A63&lt;&gt;0,(B63-(B62-D62))/(A63-A62),"")</f>
        <v/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3">
      <c r="A64" s="53"/>
      <c r="B64" s="63"/>
      <c r="C64" s="63"/>
      <c r="D64" s="63"/>
      <c r="E64" s="54"/>
      <c r="F64" s="54"/>
      <c r="G64" s="54"/>
      <c r="H64" s="54"/>
      <c r="I64" s="52" t="str">
        <f>IF(A64&lt;&gt;0,(B64-(B63-D63))/(A64-A63),"")</f>
        <v/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3">
      <c r="A65" s="53"/>
      <c r="B65" s="63"/>
      <c r="C65" s="63"/>
      <c r="D65" s="63"/>
      <c r="E65" s="54"/>
      <c r="F65" s="54"/>
      <c r="G65" s="54"/>
      <c r="H65" s="54"/>
      <c r="I65" s="52" t="str">
        <f>IF(A65&lt;&gt;0,(B65-(B64-D64))/(A65-A64),"")</f>
        <v/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3">
      <c r="A66" s="53"/>
      <c r="B66" s="63"/>
      <c r="C66" s="63"/>
      <c r="D66" s="63"/>
      <c r="E66" s="54"/>
      <c r="F66" s="54"/>
      <c r="G66" s="54"/>
      <c r="H66" s="54"/>
      <c r="I66" s="52" t="str">
        <f t="shared" ref="I66:I81" si="2">IF(A66&lt;&gt;0,(B66-(B65-D65))/(A66-A65),"")</f>
        <v/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3">
      <c r="A67" s="53"/>
      <c r="B67" s="63"/>
      <c r="C67" s="63"/>
      <c r="D67" s="63"/>
      <c r="E67" s="54"/>
      <c r="F67" s="54"/>
      <c r="G67" s="54"/>
      <c r="H67" s="54"/>
      <c r="I67" s="52" t="str">
        <f t="shared" si="2"/>
        <v/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3">
      <c r="A68" s="53"/>
      <c r="B68" s="63"/>
      <c r="C68" s="63"/>
      <c r="D68" s="63"/>
      <c r="E68" s="54"/>
      <c r="F68" s="54"/>
      <c r="G68" s="54"/>
      <c r="H68" s="54"/>
      <c r="I68" s="52" t="str">
        <f t="shared" si="2"/>
        <v/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3">
      <c r="A69" s="53"/>
      <c r="B69" s="53"/>
      <c r="C69" s="53"/>
      <c r="D69" s="53"/>
      <c r="E69" s="54"/>
      <c r="F69" s="54"/>
      <c r="G69" s="54"/>
      <c r="H69" s="54"/>
      <c r="I69" s="52" t="str">
        <f t="shared" si="2"/>
        <v/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3">
      <c r="A70" s="53"/>
      <c r="B70" s="53"/>
      <c r="C70" s="53"/>
      <c r="D70" s="53"/>
      <c r="E70" s="54"/>
      <c r="F70" s="54"/>
      <c r="G70" s="54"/>
      <c r="H70" s="54"/>
      <c r="I70" s="52" t="str">
        <f t="shared" si="2"/>
        <v/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3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3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3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3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3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3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3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3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3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3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3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3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3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3">
      <c r="A84" s="49" t="s">
        <v>167</v>
      </c>
      <c r="B84" s="55" t="str">
        <f>IF(B11="","",B11)</f>
        <v/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3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3">
      <c r="A86" s="5"/>
      <c r="B86" s="91" t="s">
        <v>185</v>
      </c>
      <c r="C86" s="294" t="s">
        <v>186</v>
      </c>
      <c r="D86" s="294"/>
      <c r="E86" s="295" t="s">
        <v>187</v>
      </c>
      <c r="F86" s="296"/>
      <c r="G86" s="296"/>
      <c r="H86" s="297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3.2" x14ac:dyDescent="0.3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3">
      <c r="A88" s="53"/>
      <c r="B88" s="63"/>
      <c r="C88" s="63"/>
      <c r="D88" s="63"/>
      <c r="E88" s="54"/>
      <c r="F88" s="54"/>
      <c r="G88" s="54"/>
      <c r="H88" s="93"/>
      <c r="I88" s="56" t="str">
        <f>IFERROR(B88/A88,"")</f>
        <v/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3">
      <c r="A89" s="53"/>
      <c r="B89" s="63"/>
      <c r="C89" s="63"/>
      <c r="D89" s="63"/>
      <c r="E89" s="54"/>
      <c r="F89" s="54"/>
      <c r="G89" s="54"/>
      <c r="H89" s="93"/>
      <c r="I89" s="56" t="str">
        <f t="shared" ref="I89:I107" si="3">IF(A89&lt;&gt;0,(B89-(B88-D88))/(A89-A88),"")</f>
        <v/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3">
      <c r="A90" s="53"/>
      <c r="B90" s="63"/>
      <c r="C90" s="63"/>
      <c r="D90" s="63"/>
      <c r="E90" s="93"/>
      <c r="F90" s="93"/>
      <c r="G90" s="93"/>
      <c r="H90" s="93"/>
      <c r="I90" s="56" t="str">
        <f t="shared" si="3"/>
        <v/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3">
      <c r="A91" s="53"/>
      <c r="B91" s="63"/>
      <c r="C91" s="63"/>
      <c r="D91" s="63"/>
      <c r="E91" s="93"/>
      <c r="F91" s="93"/>
      <c r="G91" s="93"/>
      <c r="H91" s="93"/>
      <c r="I91" s="56" t="str">
        <f t="shared" si="3"/>
        <v/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3">
      <c r="A92" s="53"/>
      <c r="B92" s="63"/>
      <c r="C92" s="63"/>
      <c r="D92" s="63"/>
      <c r="E92" s="93"/>
      <c r="F92" s="93"/>
      <c r="G92" s="93"/>
      <c r="H92" s="93"/>
      <c r="I92" s="56" t="str">
        <f t="shared" si="3"/>
        <v/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3">
      <c r="A93" s="53"/>
      <c r="B93" s="63"/>
      <c r="C93" s="63"/>
      <c r="D93" s="63"/>
      <c r="E93" s="93"/>
      <c r="F93" s="93"/>
      <c r="G93" s="93"/>
      <c r="H93" s="93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3">
      <c r="A94" s="53"/>
      <c r="B94" s="63"/>
      <c r="C94" s="63"/>
      <c r="D94" s="63"/>
      <c r="E94" s="93"/>
      <c r="F94" s="93"/>
      <c r="G94" s="93"/>
      <c r="H94" s="93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3">
      <c r="A95" s="63"/>
      <c r="B95" s="63"/>
      <c r="C95" s="63"/>
      <c r="D95" s="63"/>
      <c r="E95" s="93"/>
      <c r="F95" s="93"/>
      <c r="G95" s="93"/>
      <c r="H95" s="93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3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3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3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3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3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3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3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3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3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3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3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3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3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3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3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3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3">
      <c r="A112" s="5"/>
      <c r="B112" s="91" t="s">
        <v>185</v>
      </c>
      <c r="C112" s="294" t="s">
        <v>186</v>
      </c>
      <c r="D112" s="294"/>
      <c r="E112" s="295" t="s">
        <v>187</v>
      </c>
      <c r="F112" s="296"/>
      <c r="G112" s="296"/>
      <c r="H112" s="297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3.2" x14ac:dyDescent="0.3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3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3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3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3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3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3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3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3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3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3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3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3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3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3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3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3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3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3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3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3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3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3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3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3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3">
      <c r="A138" s="5"/>
      <c r="B138" s="91" t="s">
        <v>185</v>
      </c>
      <c r="C138" s="294" t="s">
        <v>186</v>
      </c>
      <c r="D138" s="294"/>
      <c r="E138" s="295" t="s">
        <v>187</v>
      </c>
      <c r="F138" s="296"/>
      <c r="G138" s="296"/>
      <c r="H138" s="297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3.2" x14ac:dyDescent="0.3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3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3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3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3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3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3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3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3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3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3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3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3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3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3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3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3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3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3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3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3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3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3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3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3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3">
      <c r="A164" s="5"/>
      <c r="B164" s="91" t="s">
        <v>185</v>
      </c>
      <c r="C164" s="294" t="s">
        <v>186</v>
      </c>
      <c r="D164" s="294"/>
      <c r="E164" s="295" t="s">
        <v>187</v>
      </c>
      <c r="F164" s="296"/>
      <c r="G164" s="296"/>
      <c r="H164" s="297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3.2" x14ac:dyDescent="0.3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3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3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3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3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3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3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3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3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3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3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3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3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3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3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3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3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3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3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3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3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3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3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3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3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3">
      <c r="A190" s="5"/>
      <c r="B190" s="91" t="s">
        <v>185</v>
      </c>
      <c r="C190" s="294" t="s">
        <v>186</v>
      </c>
      <c r="D190" s="294"/>
      <c r="E190" s="295" t="s">
        <v>187</v>
      </c>
      <c r="F190" s="296"/>
      <c r="G190" s="296"/>
      <c r="H190" s="297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3.2" x14ac:dyDescent="0.3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3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3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3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3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3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3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3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3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3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3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3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3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3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3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3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3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3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3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3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3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3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3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3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3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3">
      <c r="A216" s="5"/>
      <c r="B216" s="91" t="s">
        <v>185</v>
      </c>
      <c r="C216" s="294" t="s">
        <v>186</v>
      </c>
      <c r="D216" s="294"/>
      <c r="E216" s="295" t="s">
        <v>187</v>
      </c>
      <c r="F216" s="296"/>
      <c r="G216" s="296"/>
      <c r="H216" s="297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3.2" x14ac:dyDescent="0.3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3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3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3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3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3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3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3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3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3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3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3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3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3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3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3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3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3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3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3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3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3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3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3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3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3">
      <c r="A242" s="5"/>
      <c r="B242" s="91" t="s">
        <v>185</v>
      </c>
      <c r="C242" s="294" t="s">
        <v>186</v>
      </c>
      <c r="D242" s="294"/>
      <c r="E242" s="295" t="s">
        <v>187</v>
      </c>
      <c r="F242" s="296"/>
      <c r="G242" s="296"/>
      <c r="H242" s="297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3.2" x14ac:dyDescent="0.3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3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3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3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3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3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3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3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3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3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3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3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3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3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3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3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3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3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3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3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3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3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3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3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3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3">
      <c r="A268" s="5"/>
      <c r="B268" s="91" t="s">
        <v>185</v>
      </c>
      <c r="C268" s="294" t="s">
        <v>186</v>
      </c>
      <c r="D268" s="294"/>
      <c r="E268" s="295" t="s">
        <v>187</v>
      </c>
      <c r="F268" s="296"/>
      <c r="G268" s="296"/>
      <c r="H268" s="297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3.2" x14ac:dyDescent="0.3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3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3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3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3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3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3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3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3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3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3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3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3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3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3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3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3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3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3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3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3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3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3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3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3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3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3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3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3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3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3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3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3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3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3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3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3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3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3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3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3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3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3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3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3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3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3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3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3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3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3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3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3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3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3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3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3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3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3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3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3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3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3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3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3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3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3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3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3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3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3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3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3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3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3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3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3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3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3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3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3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3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3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3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3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3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3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3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3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3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3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3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3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3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3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3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3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3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3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3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3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3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3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3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3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3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3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3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3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3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3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3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3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3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3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3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3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3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3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3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3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3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3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3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3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3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3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3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3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3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3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3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3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3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3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3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3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3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3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3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3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3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3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3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3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3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3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3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3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3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3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3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3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3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3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3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3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3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3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>
      <formula1>VAN</formula1>
    </dataValidation>
    <dataValidation type="list" allowBlank="1" showInputMessage="1" showErrorMessage="1" sqref="C26">
      <formula1>Incendie</formula1>
    </dataValidation>
    <dataValidation type="list" allowBlank="1" showInputMessage="1" showErrorMessage="1" sqref="C27">
      <formula1>Fertilité</formula1>
    </dataValidation>
  </dataValidations>
  <hyperlinks>
    <hyperlink ref="A9" location="'Données projet'!A44" tooltip="Table de production à compléter ci-dessous" display="Essence 1"/>
    <hyperlink ref="A10" location="'Données projet'!A70" tooltip="Table de production à compléter ci-dessous" display="Essence 2"/>
    <hyperlink ref="A11" location="'Données projet'!A96" tooltip="Table de production à compléter ci-dessous" display="Essence 3"/>
    <hyperlink ref="A12" location="'Données projet'!A122" tooltip="Table de production à compléter ci-dessous" display="Essence 4"/>
    <hyperlink ref="A13" location="'Données projet'!A148" tooltip="Table de production à compléter ci-dessous" display="Essence 5"/>
    <hyperlink ref="A14" location="'Données projet'!A174" tooltip="Table de production à compléter ci-dessous" display="Essence 6"/>
    <hyperlink ref="A15" location="'Données projet'!A202" tooltip="Table de production à compléter ci-dessous" display="Essence 7"/>
    <hyperlink ref="A16" location="'Données projet'!A228" tooltip="Table de production à compléter ci-dessous" display="Essence 8"/>
    <hyperlink ref="A17" location="'Données projet'!A254" tooltip="Table de production à compléter ci-dessous" display="Essence 9"/>
    <hyperlink ref="A18" location="'Données projet'!A280" tooltip="Table de production à compléter ci-dessous" display="Essence 10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Paramètres!$A$2:$A$87</xm:f>
          </x14:formula1>
          <xm:sqref>B10:B18</xm:sqref>
        </x14:dataValidation>
        <x14:dataValidation type="list" allowBlank="1" showInputMessage="1" showErrorMessage="1">
          <x14:formula1>
            <xm:f>Paramètres!$A$2:$A$87</xm:f>
          </x14:formula1>
          <xm:sqref>B9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/>
  <dimension ref="A1:AL163"/>
  <sheetViews>
    <sheetView zoomScaleNormal="100" workbookViewId="0">
      <selection activeCell="G20" sqref="G20"/>
    </sheetView>
  </sheetViews>
  <sheetFormatPr baseColWidth="10" defaultColWidth="11.44140625" defaultRowHeight="14.4" x14ac:dyDescent="0.3"/>
  <cols>
    <col min="1" max="1" width="5.886718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5546875" style="1" customWidth="1"/>
    <col min="12" max="16384" width="11.44140625" style="1"/>
  </cols>
  <sheetData>
    <row r="1" spans="1:38" ht="15" thickBot="1" x14ac:dyDescent="0.35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6.4" thickBot="1" x14ac:dyDescent="0.55000000000000004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3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3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3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3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3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3">
      <c r="A8" s="114">
        <v>1</v>
      </c>
      <c r="B8" s="64">
        <v>0</v>
      </c>
      <c r="C8" s="52" t="s">
        <v>177</v>
      </c>
      <c r="D8" s="25"/>
      <c r="E8" s="114">
        <v>4</v>
      </c>
      <c r="F8" s="64">
        <v>1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3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3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1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3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3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3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3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3">
      <c r="A15" s="25"/>
      <c r="B15" s="29" t="s">
        <v>295</v>
      </c>
      <c r="C15" s="5"/>
      <c r="D15" s="25"/>
      <c r="E15" s="5"/>
      <c r="F15" s="5"/>
      <c r="G15" s="2" t="s">
        <v>46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3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3">
      <c r="A17" s="25"/>
      <c r="B17" s="64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3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3">
      <c r="A19" s="25"/>
      <c r="B19" s="115">
        <f>SUM(B16:B18)</f>
        <v>0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3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3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3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3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3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3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3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3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3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3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3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3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3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3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3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3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3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3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3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3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3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3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3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3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3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3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3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3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3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3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3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3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3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3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3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3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3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3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3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3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3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3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3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3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3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3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3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3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3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3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3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3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3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3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3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3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3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3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3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3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3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3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3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3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3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3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3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3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3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3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3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3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3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3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3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3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3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3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3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3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3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3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3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3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3">
      <c r="C104" s="5"/>
      <c r="F104" s="5"/>
    </row>
    <row r="105" spans="3:35" x14ac:dyDescent="0.3">
      <c r="C105" s="5"/>
      <c r="F105" s="5"/>
    </row>
    <row r="106" spans="3:35" x14ac:dyDescent="0.3">
      <c r="C106" s="5"/>
      <c r="F106" s="5"/>
    </row>
    <row r="107" spans="3:35" x14ac:dyDescent="0.3">
      <c r="C107" s="5"/>
      <c r="F107" s="5"/>
    </row>
    <row r="108" spans="3:35" x14ac:dyDescent="0.3">
      <c r="C108" s="5"/>
      <c r="F108" s="5"/>
    </row>
    <row r="109" spans="3:35" x14ac:dyDescent="0.3">
      <c r="C109" s="5"/>
      <c r="F109" s="5"/>
    </row>
    <row r="110" spans="3:35" x14ac:dyDescent="0.3">
      <c r="C110" s="5"/>
      <c r="F110" s="5"/>
    </row>
    <row r="111" spans="3:35" x14ac:dyDescent="0.3">
      <c r="C111" s="5"/>
      <c r="F111" s="5"/>
    </row>
    <row r="112" spans="3:35" x14ac:dyDescent="0.3">
      <c r="C112" s="5"/>
      <c r="F112" s="5"/>
    </row>
    <row r="113" spans="3:6" x14ac:dyDescent="0.3">
      <c r="C113" s="5"/>
      <c r="F113" s="5"/>
    </row>
    <row r="114" spans="3:6" x14ac:dyDescent="0.3">
      <c r="C114" s="5"/>
      <c r="F114" s="5"/>
    </row>
    <row r="115" spans="3:6" x14ac:dyDescent="0.3">
      <c r="C115" s="5"/>
      <c r="F115" s="5"/>
    </row>
    <row r="116" spans="3:6" x14ac:dyDescent="0.3">
      <c r="C116" s="5"/>
      <c r="F116" s="5"/>
    </row>
    <row r="117" spans="3:6" x14ac:dyDescent="0.3">
      <c r="C117" s="5"/>
      <c r="F117" s="5"/>
    </row>
    <row r="118" spans="3:6" x14ac:dyDescent="0.3">
      <c r="C118" s="5"/>
      <c r="F118" s="5"/>
    </row>
    <row r="119" spans="3:6" x14ac:dyDescent="0.3">
      <c r="C119" s="5"/>
      <c r="F119" s="5"/>
    </row>
    <row r="120" spans="3:6" x14ac:dyDescent="0.3">
      <c r="C120" s="5"/>
      <c r="F120" s="5"/>
    </row>
    <row r="121" spans="3:6" x14ac:dyDescent="0.3">
      <c r="C121" s="5"/>
      <c r="F121" s="5"/>
    </row>
    <row r="122" spans="3:6" x14ac:dyDescent="0.3">
      <c r="C122" s="5"/>
      <c r="F122" s="5"/>
    </row>
    <row r="123" spans="3:6" x14ac:dyDescent="0.3">
      <c r="C123" s="5"/>
      <c r="F123" s="5"/>
    </row>
    <row r="124" spans="3:6" x14ac:dyDescent="0.3">
      <c r="C124" s="5"/>
      <c r="F124" s="5"/>
    </row>
    <row r="125" spans="3:6" x14ac:dyDescent="0.3">
      <c r="C125" s="5"/>
      <c r="F125" s="5"/>
    </row>
    <row r="126" spans="3:6" x14ac:dyDescent="0.3">
      <c r="C126" s="5"/>
      <c r="F126" s="5"/>
    </row>
    <row r="127" spans="3:6" x14ac:dyDescent="0.3">
      <c r="C127" s="5"/>
      <c r="F127" s="5"/>
    </row>
    <row r="128" spans="3:6" x14ac:dyDescent="0.3">
      <c r="C128" s="5"/>
      <c r="F128" s="5"/>
    </row>
    <row r="129" spans="3:6" x14ac:dyDescent="0.3">
      <c r="C129" s="5"/>
      <c r="F129" s="5"/>
    </row>
    <row r="130" spans="3:6" x14ac:dyDescent="0.3">
      <c r="C130" s="5"/>
      <c r="F130" s="5"/>
    </row>
    <row r="131" spans="3:6" x14ac:dyDescent="0.3">
      <c r="C131" s="5"/>
      <c r="F131" s="5"/>
    </row>
    <row r="132" spans="3:6" x14ac:dyDescent="0.3">
      <c r="F132" s="5"/>
    </row>
    <row r="133" spans="3:6" x14ac:dyDescent="0.3">
      <c r="F133" s="5"/>
    </row>
    <row r="134" spans="3:6" x14ac:dyDescent="0.3">
      <c r="F134" s="5"/>
    </row>
    <row r="135" spans="3:6" x14ac:dyDescent="0.3">
      <c r="F135" s="5"/>
    </row>
    <row r="136" spans="3:6" x14ac:dyDescent="0.3">
      <c r="F136" s="5"/>
    </row>
    <row r="137" spans="3:6" x14ac:dyDescent="0.3">
      <c r="F137" s="5"/>
    </row>
    <row r="138" spans="3:6" x14ac:dyDescent="0.3">
      <c r="F138" s="5"/>
    </row>
    <row r="139" spans="3:6" x14ac:dyDescent="0.3">
      <c r="F139" s="5"/>
    </row>
    <row r="140" spans="3:6" x14ac:dyDescent="0.3">
      <c r="F140" s="5"/>
    </row>
    <row r="141" spans="3:6" x14ac:dyDescent="0.3">
      <c r="F141" s="5"/>
    </row>
    <row r="142" spans="3:6" x14ac:dyDescent="0.3">
      <c r="F142" s="5"/>
    </row>
    <row r="143" spans="3:6" x14ac:dyDescent="0.3">
      <c r="F143" s="5"/>
    </row>
    <row r="144" spans="3:6" x14ac:dyDescent="0.3">
      <c r="F144" s="5"/>
    </row>
    <row r="145" spans="6:6" x14ac:dyDescent="0.3">
      <c r="F145" s="5"/>
    </row>
    <row r="146" spans="6:6" x14ac:dyDescent="0.3">
      <c r="F146" s="5"/>
    </row>
    <row r="147" spans="6:6" x14ac:dyDescent="0.3">
      <c r="F147" s="5"/>
    </row>
    <row r="148" spans="6:6" x14ac:dyDescent="0.3">
      <c r="F148" s="5"/>
    </row>
    <row r="149" spans="6:6" x14ac:dyDescent="0.3">
      <c r="F149" s="5"/>
    </row>
    <row r="150" spans="6:6" x14ac:dyDescent="0.3">
      <c r="F150" s="5"/>
    </row>
    <row r="151" spans="6:6" x14ac:dyDescent="0.3">
      <c r="F151" s="5"/>
    </row>
    <row r="152" spans="6:6" x14ac:dyDescent="0.3">
      <c r="F152" s="5"/>
    </row>
    <row r="153" spans="6:6" x14ac:dyDescent="0.3">
      <c r="F153" s="5"/>
    </row>
    <row r="154" spans="6:6" x14ac:dyDescent="0.3">
      <c r="F154" s="5"/>
    </row>
    <row r="155" spans="6:6" x14ac:dyDescent="0.3">
      <c r="F155" s="5"/>
    </row>
    <row r="156" spans="6:6" x14ac:dyDescent="0.3">
      <c r="F156" s="5"/>
    </row>
    <row r="157" spans="6:6" x14ac:dyDescent="0.3">
      <c r="F157" s="5"/>
    </row>
    <row r="158" spans="6:6" x14ac:dyDescent="0.3">
      <c r="F158" s="5"/>
    </row>
    <row r="159" spans="6:6" x14ac:dyDescent="0.3">
      <c r="F159" s="5"/>
    </row>
    <row r="160" spans="6:6" x14ac:dyDescent="0.3">
      <c r="F160" s="5"/>
    </row>
    <row r="161" spans="6:6" x14ac:dyDescent="0.3">
      <c r="F161" s="5"/>
    </row>
    <row r="162" spans="6:6" x14ac:dyDescent="0.3">
      <c r="F162" s="5"/>
    </row>
    <row r="163" spans="6:6" x14ac:dyDescent="0.3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88671875" style="71" bestFit="1" customWidth="1"/>
    <col min="2" max="4" width="11.44140625" style="71"/>
    <col min="5" max="5" width="9.5546875" style="71" customWidth="1"/>
    <col min="6" max="7" width="11.44140625" style="71"/>
    <col min="8" max="8" width="10.6640625" style="71" customWidth="1"/>
    <col min="9" max="9" width="9.44140625" style="71" customWidth="1"/>
    <col min="10" max="11" width="10.5546875" style="71" bestFit="1" customWidth="1"/>
    <col min="12" max="12" width="14" style="71" bestFit="1" customWidth="1"/>
    <col min="13" max="13" width="14" style="71" customWidth="1"/>
    <col min="14" max="23" width="11.44140625" style="71"/>
    <col min="24" max="24" width="11.6640625" style="71" bestFit="1" customWidth="1"/>
    <col min="25" max="25" width="14.5546875" style="71" bestFit="1" customWidth="1"/>
    <col min="26" max="26" width="12.44140625" style="71" bestFit="1" customWidth="1"/>
    <col min="27" max="27" width="9.6640625" style="71" bestFit="1" customWidth="1"/>
    <col min="28" max="28" width="11" style="71" bestFit="1" customWidth="1"/>
    <col min="29" max="29" width="9.44140625" style="71" bestFit="1" customWidth="1"/>
    <col min="30" max="31" width="9.44140625" style="71" customWidth="1"/>
    <col min="32" max="32" width="11.44140625" style="71"/>
    <col min="33" max="34" width="14" style="71" bestFit="1" customWidth="1"/>
    <col min="35" max="35" width="10.5546875" style="71" bestFit="1" customWidth="1"/>
    <col min="36" max="36" width="9.44140625" style="71" bestFit="1" customWidth="1"/>
    <col min="37" max="38" width="10.5546875" style="71" bestFit="1" customWidth="1"/>
    <col min="39" max="41" width="10.5546875" style="71" customWidth="1"/>
    <col min="42" max="42" width="9" style="71" bestFit="1" customWidth="1"/>
    <col min="43" max="43" width="10.5546875" style="71" bestFit="1" customWidth="1"/>
    <col min="44" max="44" width="9.33203125" style="71" bestFit="1" customWidth="1"/>
    <col min="45" max="45" width="11.6640625" style="71" bestFit="1" customWidth="1"/>
    <col min="46" max="46" width="8.44140625" style="71" bestFit="1" customWidth="1"/>
    <col min="47" max="47" width="9.44140625" style="71" bestFit="1" customWidth="1"/>
    <col min="48" max="48" width="9.6640625" style="71" bestFit="1" customWidth="1"/>
    <col min="49" max="49" width="11" style="71" bestFit="1" customWidth="1"/>
    <col min="50" max="50" width="9.44140625" style="71" bestFit="1" customWidth="1"/>
    <col min="51" max="52" width="9.44140625" style="71" customWidth="1"/>
    <col min="53" max="53" width="10.5546875" style="71" bestFit="1" customWidth="1"/>
    <col min="54" max="54" width="14.33203125" style="71" customWidth="1"/>
    <col min="55" max="55" width="14" style="71" customWidth="1"/>
    <col min="56" max="56" width="10.5546875" style="71" bestFit="1" customWidth="1"/>
    <col min="57" max="57" width="9.44140625" style="71" bestFit="1" customWidth="1"/>
    <col min="58" max="59" width="10.5546875" style="71" bestFit="1" customWidth="1"/>
    <col min="60" max="62" width="10.5546875" style="71" customWidth="1"/>
    <col min="63" max="63" width="9" style="71" bestFit="1" customWidth="1"/>
    <col min="64" max="64" width="10.5546875" style="71" bestFit="1" customWidth="1"/>
    <col min="65" max="65" width="9.33203125" style="71" bestFit="1" customWidth="1"/>
    <col min="66" max="66" width="11.6640625" style="71" bestFit="1" customWidth="1"/>
    <col min="67" max="67" width="8.44140625" style="71" bestFit="1" customWidth="1"/>
    <col min="68" max="68" width="9.44140625" style="71" bestFit="1" customWidth="1"/>
    <col min="69" max="69" width="9.6640625" style="71" bestFit="1" customWidth="1"/>
    <col min="70" max="70" width="11" style="71" bestFit="1" customWidth="1"/>
    <col min="71" max="71" width="9.44140625" style="71" bestFit="1" customWidth="1"/>
    <col min="72" max="73" width="9.44140625" style="71" customWidth="1"/>
    <col min="74" max="74" width="10.5546875" style="71" bestFit="1" customWidth="1"/>
    <col min="75" max="75" width="14" style="71" bestFit="1" customWidth="1"/>
    <col min="76" max="76" width="13.88671875" style="71" customWidth="1"/>
    <col min="77" max="77" width="10.5546875" style="71" bestFit="1" customWidth="1"/>
    <col min="78" max="78" width="9.44140625" style="71" bestFit="1" customWidth="1"/>
    <col min="79" max="80" width="10.5546875" style="71" bestFit="1" customWidth="1"/>
    <col min="81" max="83" width="10.5546875" style="71" customWidth="1"/>
    <col min="84" max="84" width="11.44140625" style="71"/>
    <col min="85" max="85" width="10.5546875" style="71" bestFit="1" customWidth="1"/>
    <col min="86" max="86" width="9.33203125" style="71" bestFit="1" customWidth="1"/>
    <col min="87" max="87" width="11.6640625" style="71" bestFit="1" customWidth="1"/>
    <col min="88" max="88" width="8.44140625" style="71" bestFit="1" customWidth="1"/>
    <col min="89" max="89" width="9.44140625" style="71" bestFit="1" customWidth="1"/>
    <col min="90" max="90" width="9.6640625" style="71" bestFit="1" customWidth="1"/>
    <col min="91" max="91" width="11" style="71" bestFit="1" customWidth="1"/>
    <col min="92" max="92" width="9.44140625" style="71" bestFit="1" customWidth="1"/>
    <col min="93" max="94" width="9.44140625" style="71" customWidth="1"/>
    <col min="95" max="95" width="11.44140625" style="71"/>
    <col min="96" max="97" width="14" style="71" customWidth="1"/>
    <col min="98" max="98" width="10.5546875" style="71" bestFit="1" customWidth="1"/>
    <col min="99" max="99" width="9.44140625" style="71" bestFit="1" customWidth="1"/>
    <col min="100" max="101" width="10.5546875" style="71" bestFit="1" customWidth="1"/>
    <col min="102" max="104" width="10.5546875" style="71" customWidth="1"/>
    <col min="105" max="105" width="9" style="71" bestFit="1" customWidth="1"/>
    <col min="106" max="106" width="10.5546875" style="71" bestFit="1" customWidth="1"/>
    <col min="107" max="107" width="9.33203125" style="71" bestFit="1" customWidth="1"/>
    <col min="108" max="108" width="11.6640625" style="71" bestFit="1" customWidth="1"/>
    <col min="109" max="109" width="8.44140625" style="71" bestFit="1" customWidth="1"/>
    <col min="110" max="110" width="9.44140625" style="71" bestFit="1" customWidth="1"/>
    <col min="111" max="111" width="9.6640625" style="71" bestFit="1" customWidth="1"/>
    <col min="112" max="112" width="11" style="71" bestFit="1" customWidth="1"/>
    <col min="113" max="113" width="9.44140625" style="71" bestFit="1" customWidth="1"/>
    <col min="114" max="115" width="9.44140625" style="71" customWidth="1"/>
    <col min="116" max="116" width="10.5546875" style="71" bestFit="1" customWidth="1"/>
    <col min="117" max="117" width="14.33203125" style="71" customWidth="1"/>
    <col min="118" max="118" width="14" style="71" bestFit="1" customWidth="1"/>
    <col min="119" max="119" width="10.5546875" style="71" bestFit="1" customWidth="1"/>
    <col min="120" max="120" width="9.44140625" style="71" bestFit="1" customWidth="1"/>
    <col min="121" max="122" width="10.5546875" style="71" bestFit="1" customWidth="1"/>
    <col min="123" max="125" width="10.5546875" style="71" customWidth="1"/>
    <col min="126" max="126" width="9" style="71" bestFit="1" customWidth="1"/>
    <col min="127" max="127" width="10.5546875" style="71" bestFit="1" customWidth="1"/>
    <col min="128" max="128" width="9.33203125" style="71" bestFit="1" customWidth="1"/>
    <col min="129" max="129" width="11.6640625" style="71" bestFit="1" customWidth="1"/>
    <col min="130" max="130" width="8.44140625" style="71" bestFit="1" customWidth="1"/>
    <col min="131" max="131" width="9.44140625" style="71" bestFit="1" customWidth="1"/>
    <col min="132" max="132" width="9.6640625" style="71" bestFit="1" customWidth="1"/>
    <col min="133" max="133" width="11" style="71" bestFit="1" customWidth="1"/>
    <col min="134" max="134" width="9.44140625" style="71" bestFit="1" customWidth="1"/>
    <col min="135" max="136" width="9.44140625" style="71" customWidth="1"/>
    <col min="137" max="137" width="10.5546875" style="71" bestFit="1" customWidth="1"/>
    <col min="138" max="139" width="14" style="71" customWidth="1"/>
    <col min="140" max="140" width="10.5546875" style="71" bestFit="1" customWidth="1"/>
    <col min="141" max="141" width="9.44140625" style="71" bestFit="1" customWidth="1"/>
    <col min="142" max="143" width="10.5546875" style="71" bestFit="1" customWidth="1"/>
    <col min="144" max="146" width="10.5546875" style="71" customWidth="1"/>
    <col min="147" max="147" width="9" style="71" bestFit="1" customWidth="1"/>
    <col min="148" max="148" width="10.5546875" style="71" bestFit="1" customWidth="1"/>
    <col min="149" max="149" width="9.33203125" style="71" bestFit="1" customWidth="1"/>
    <col min="150" max="150" width="11.6640625" style="71" bestFit="1" customWidth="1"/>
    <col min="151" max="151" width="8.44140625" style="71" bestFit="1" customWidth="1"/>
    <col min="152" max="152" width="9.44140625" style="71" bestFit="1" customWidth="1"/>
    <col min="153" max="153" width="9.6640625" style="71" bestFit="1" customWidth="1"/>
    <col min="154" max="154" width="11" style="71" bestFit="1" customWidth="1"/>
    <col min="155" max="155" width="9.44140625" style="71" bestFit="1" customWidth="1"/>
    <col min="156" max="157" width="9.44140625" style="71" customWidth="1"/>
    <col min="158" max="158" width="11.44140625" style="71"/>
    <col min="159" max="160" width="14" style="71" bestFit="1" customWidth="1"/>
    <col min="161" max="161" width="10.5546875" style="71" bestFit="1" customWidth="1"/>
    <col min="162" max="162" width="9.44140625" style="71" bestFit="1" customWidth="1"/>
    <col min="163" max="164" width="10.5546875" style="71" bestFit="1" customWidth="1"/>
    <col min="165" max="167" width="10.5546875" style="71" customWidth="1"/>
    <col min="168" max="168" width="9" style="71" bestFit="1" customWidth="1"/>
    <col min="169" max="169" width="10.5546875" style="71" bestFit="1" customWidth="1"/>
    <col min="170" max="170" width="9.33203125" style="71" bestFit="1" customWidth="1"/>
    <col min="171" max="171" width="11.6640625" style="71" bestFit="1" customWidth="1"/>
    <col min="172" max="172" width="8.109375" style="71" bestFit="1" customWidth="1"/>
    <col min="173" max="173" width="9.44140625" style="71" bestFit="1" customWidth="1"/>
    <col min="174" max="174" width="9.6640625" style="71" bestFit="1" customWidth="1"/>
    <col min="175" max="175" width="11" style="71" bestFit="1" customWidth="1"/>
    <col min="176" max="176" width="9.44140625" style="71" bestFit="1" customWidth="1"/>
    <col min="177" max="178" width="9.44140625" style="71" customWidth="1"/>
    <col min="179" max="179" width="10.5546875" style="71" bestFit="1" customWidth="1"/>
    <col min="180" max="181" width="14" style="71" bestFit="1" customWidth="1"/>
    <col min="182" max="182" width="10.5546875" style="71" bestFit="1" customWidth="1"/>
    <col min="183" max="183" width="9.44140625" style="71" bestFit="1" customWidth="1"/>
    <col min="184" max="185" width="10.5546875" style="71" bestFit="1" customWidth="1"/>
    <col min="186" max="188" width="10.5546875" style="71" customWidth="1"/>
    <col min="189" max="189" width="9" style="71" bestFit="1" customWidth="1"/>
    <col min="190" max="190" width="10.5546875" style="71" bestFit="1" customWidth="1"/>
    <col min="191" max="191" width="9.33203125" style="71" bestFit="1" customWidth="1"/>
    <col min="192" max="192" width="11.44140625" style="71"/>
    <col min="193" max="193" width="8.44140625" style="71" bestFit="1" customWidth="1"/>
    <col min="194" max="194" width="9.44140625" style="71" bestFit="1" customWidth="1"/>
    <col min="195" max="195" width="9.6640625" style="71" bestFit="1" customWidth="1"/>
    <col min="196" max="196" width="11" style="71" bestFit="1" customWidth="1"/>
    <col min="197" max="197" width="9.44140625" style="71" bestFit="1" customWidth="1"/>
    <col min="198" max="199" width="9.44140625" style="71" customWidth="1"/>
    <col min="200" max="200" width="10.5546875" style="71" bestFit="1" customWidth="1"/>
    <col min="201" max="201" width="14" style="71" customWidth="1"/>
    <col min="202" max="202" width="14.33203125" style="71" customWidth="1"/>
    <col min="203" max="203" width="10.5546875" style="71" bestFit="1" customWidth="1"/>
    <col min="204" max="204" width="9.44140625" style="71" bestFit="1" customWidth="1"/>
    <col min="205" max="206" width="10.5546875" style="71" bestFit="1" customWidth="1"/>
    <col min="207" max="209" width="10.5546875" style="71" customWidth="1"/>
    <col min="210" max="210" width="9" style="71" bestFit="1" customWidth="1"/>
    <col min="211" max="211" width="10.5546875" style="71" bestFit="1" customWidth="1"/>
    <col min="212" max="212" width="9.33203125" style="71" bestFit="1" customWidth="1"/>
    <col min="213" max="213" width="11.6640625" style="71" bestFit="1" customWidth="1"/>
    <col min="214" max="214" width="8.44140625" style="71" bestFit="1" customWidth="1"/>
    <col min="215" max="215" width="9.44140625" style="71" bestFit="1" customWidth="1"/>
    <col min="216" max="216" width="9.6640625" style="71" bestFit="1" customWidth="1"/>
    <col min="217" max="217" width="11" style="71" bestFit="1" customWidth="1"/>
    <col min="218" max="218" width="9.44140625" style="71" bestFit="1" customWidth="1"/>
    <col min="219" max="16384" width="11.44140625" style="71"/>
  </cols>
  <sheetData>
    <row r="1" spans="1:218" s="5" customFormat="1" ht="26.4" thickBot="1" x14ac:dyDescent="0.55000000000000004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Pin maritime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/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/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/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/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/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/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/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/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/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58.2" thickBot="1" x14ac:dyDescent="0.35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3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10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293.33333333333331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293.33333333333331</v>
      </c>
      <c r="S3" s="62">
        <f ca="1">AVERAGE(OFFSET($R$3,0,0,'Données projet'!$E$9+1,1))-AVERAGE(OFFSET($H$3,0,0,'Données projet'!$E$9+1,1))</f>
        <v>255.1976414275677</v>
      </c>
      <c r="T3" s="62">
        <f>IF('Données projet'!E9&gt;30,$R$33-$H$33,LOOKUP('Données projet'!$E$9,$A$3:$A$203,R3:R203)-LOOKUP('Données projet'!$E$9,$A$3:$A$203,$H$3:$H$203))</f>
        <v>266.42714758321767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 t="e">
        <f>AI3*VLOOKUP('Données projet'!$B$10,Paramètres!$A$1:$I$89,3,0)*VLOOKUP('Données projet'!$B$10,Paramètres!$A$1:$I$89,5,0)</f>
        <v>#N/A</v>
      </c>
      <c r="AK3" s="13">
        <v>0</v>
      </c>
      <c r="AL3" s="15" t="e">
        <f>(AJ3+AK3)*0.475*44/12</f>
        <v>#N/A</v>
      </c>
      <c r="AM3" s="62" t="e">
        <f>AL3+(AD3+AE3)*44/12</f>
        <v>#N/A</v>
      </c>
      <c r="AN3" s="62" t="e">
        <f ca="1">AVERAGE(OFFSET($AM$3,0,0,'Données projet'!$E$10+1,1))-AVERAGE(OFFSET($H$3,0,0,'Données projet'!$E$10+1,1))</f>
        <v>#N/A</v>
      </c>
      <c r="AO3" s="62" t="e">
        <f>IF('Données projet'!E10&gt;30,$AM$33-$H$33,LOOKUP('Données projet'!$E$10,$A$3:$A$203,AM3:AM203)-LOOKUP('Données projet'!$E$10,$A$3:$A$203,$H$3:$H$203))</f>
        <v>#N/A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 t="e">
        <f>BD3*VLOOKUP('Données projet'!$B$11,Paramètres!$A$1:$I$89,3,0)*VLOOKUP('Données projet'!$B$11,Paramètres!$A$1:$I$89,5,0)</f>
        <v>#N/A</v>
      </c>
      <c r="BF3" s="13">
        <v>0</v>
      </c>
      <c r="BG3" s="15" t="e">
        <f>(BE3+BF3)*0.475*44/12</f>
        <v>#N/A</v>
      </c>
      <c r="BH3" s="62" t="e">
        <f>BG3+(AY3+AZ3)*44/12</f>
        <v>#N/A</v>
      </c>
      <c r="BI3" s="62" t="e">
        <f ca="1">AVERAGE(OFFSET($BH$3,0,0,'Données projet'!$E$11+1,1))-AVERAGE(OFFSET($H$3,0,0,'Données projet'!$E$11+1,1))</f>
        <v>#N/A</v>
      </c>
      <c r="BJ3" s="62" t="e">
        <f>IF('Données projet'!E11&gt;30,$BH$33-$H$33,LOOKUP('Données projet'!$E$11,$A$3:$A$203,BH3:BH203)-LOOKUP('Données projet'!$E$11,$A$3:$A$203,$H$3:$H$203))</f>
        <v>#N/A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3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0.49400000000000005</v>
      </c>
      <c r="D4" s="12">
        <f>IFERROR(EXP(-1.0587+0.8836*LN(C4)+0.284),0)</f>
        <v>0.24713212124918574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10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5.7210198833270489</v>
      </c>
      <c r="H4" s="70">
        <f t="shared" ref="H4:H67" si="1">(B4+E4+F4)*44/12+(C4+D4)*0.475*44/12</f>
        <v>294.62413844450896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3.8333333333333335</v>
      </c>
      <c r="N4" s="14">
        <f>IF('Données projet'!$A$36&gt;35,N3+M4-V3,IF(A4&lt;'Données projet'!$A$36,$K$205^A4,IF(A4='Données projet'!$A$36,'Données projet'!$B$36,N3+M4-V3)))</f>
        <v>1.3758248603770518</v>
      </c>
      <c r="O4" s="14">
        <f>N4*VLOOKUP('Données projet'!$B$9,Paramètres!$A$1:$I$89,3,0)*VLOOKUP('Données projet'!$B$9,Paramètres!$A$1:$I$89,5,0)</f>
        <v>0.82274326650547702</v>
      </c>
      <c r="P4" s="14">
        <f>EXP(-1.0587+0.8836*LN(O4)+0.284)</f>
        <v>0.3878641435528864</v>
      </c>
      <c r="Q4" s="22">
        <f t="shared" ref="Q4:Q34" si="2">(O4+P4)*0.475*44/12</f>
        <v>2.108474572518316</v>
      </c>
      <c r="R4" s="62">
        <f t="shared" si="0"/>
        <v>295.44180790585165</v>
      </c>
      <c r="S4" s="62">
        <f ca="1">AVERAGE(OFFSET($R$3,0,0,'Données projet'!$E$9+1,1))-AVERAGE(OFFSET($H$3,0,0,'Données projet'!$E$9+1,1))</f>
        <v>255.1976414275677</v>
      </c>
      <c r="T4" s="62">
        <f>$T$3</f>
        <v>266.42714758321767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0</v>
      </c>
      <c r="AI4" s="14">
        <f>IF('Données projet'!$A$62&gt;35,AI3+AH4-AQ3,IF(A4&lt;'Données projet'!$A$62,$AF$205^A4,IF(A4='Données projet'!$A$62,'Données projet'!$B$62,AI3+AH4-AQ3)))</f>
        <v>0</v>
      </c>
      <c r="AJ4" s="14" t="e">
        <f>AI4*VLOOKUP('Données projet'!$B$10,Paramètres!$A$1:$I$89,3,0)*VLOOKUP('Données projet'!$B$10,Paramètres!$A$1:$I$89,5,0)</f>
        <v>#N/A</v>
      </c>
      <c r="AK4" s="14" t="e">
        <f>EXP(-1.0587+0.8836*LN(AJ4)+0.284)</f>
        <v>#N/A</v>
      </c>
      <c r="AL4" s="22" t="e">
        <f t="shared" ref="AL4:AL67" si="4">(AJ4+AK4)*0.475*44/12</f>
        <v>#N/A</v>
      </c>
      <c r="AM4" s="62" t="e">
        <f t="shared" ref="AM4:AM67" si="5">AL4+(AD4+AE4)*44/12</f>
        <v>#N/A</v>
      </c>
      <c r="AN4" s="62" t="e">
        <f ca="1">AVERAGE(OFFSET($AM$3,0,0,'Données projet'!$E$10+1,1))-AVERAGE(OFFSET($H$3,0,0,'Données projet'!$E$10+1,1))</f>
        <v>#N/A</v>
      </c>
      <c r="AO4" s="62" t="e">
        <f>$AO$3</f>
        <v>#N/A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 t="e">
        <f>EXP(-LN(2)/35)*AU3+(1-EXP(-LN(2)/35))/(LN(2)/35)*AQ4*AR4*VLOOKUP('Données projet'!$B$10,Paramètres!$A$1:$I$89,3,0)*0.475*44/12</f>
        <v>#N/A</v>
      </c>
      <c r="AV4" s="23" t="e">
        <f>EXP(-LN(2)/25)*AV3+(1-EXP(-LN(2)/25))/(LN(2)/25)*Calculateur!AQ4*Calculateur!AS4*VLOOKUP('Données projet'!$B$10,Paramètres!$A$1:$I$89,3,0)*0.475*44/12</f>
        <v>#N/A</v>
      </c>
      <c r="AW4" s="23" t="e">
        <f>EXP(-LN(2)/2)*AW3+(1-EXP(-LN(2)/2))/(LN(2)/2)*AQ4*AT4*VLOOKUP('Données projet'!$B$10,Paramètres!$A$1:$I$89,3,0)*0.475*44/12</f>
        <v>#N/A</v>
      </c>
      <c r="AX4" s="23" t="e">
        <f t="shared" ref="AX4:AX67" si="6">SUM(AU4:AW4)</f>
        <v>#N/A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0</v>
      </c>
      <c r="BD4" s="13">
        <f>IF('Données projet'!$A$88&gt;35,BD3+BC4-BL3,IF(A4&lt;'Données projet'!$A$88,$BA$205^A4,IF(A4='Données projet'!$A$88,'Données projet'!$B$88,BD3+BC4-BL3)))</f>
        <v>0</v>
      </c>
      <c r="BE4" s="14" t="e">
        <f>BD4*VLOOKUP('Données projet'!$B$11,Paramètres!$A$1:$I$89,3,0)*VLOOKUP('Données projet'!$B$11,Paramètres!$A$1:$I$89,5,0)</f>
        <v>#N/A</v>
      </c>
      <c r="BF4" s="14" t="e">
        <f>EXP(-1.0587+0.8836*LN(BE4)+0.284)</f>
        <v>#N/A</v>
      </c>
      <c r="BG4" s="22" t="e">
        <f t="shared" ref="BG4:BG67" si="7">(BE4+BF4)*0.475*44/12</f>
        <v>#N/A</v>
      </c>
      <c r="BH4" s="62" t="e">
        <f t="shared" ref="BH4:BH67" si="8">BG4+(AY4+AZ4)*44/12</f>
        <v>#N/A</v>
      </c>
      <c r="BI4" s="62" t="e">
        <f ca="1">AVERAGE(OFFSET($BH$3,0,0,'Données projet'!$E$11+1,1))-AVERAGE(OFFSET($H$3,0,0,'Données projet'!$E$11+1,1))</f>
        <v>#N/A</v>
      </c>
      <c r="BJ4" s="62" t="e">
        <f>$BJ$3</f>
        <v>#N/A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 t="e">
        <f>EXP(-LN(2)/35)*BP3+(1-EXP(-LN(2)/35))/(LN(2)/35)*BL4*BM4*VLOOKUP('Données projet'!$B$11,Paramètres!$A$1:$I$89,3,0)*0.475*44/12</f>
        <v>#N/A</v>
      </c>
      <c r="BQ4" s="23" t="e">
        <f>EXP(-LN(2)/25)*BQ3+(1-EXP(-LN(2)/25))/(LN(2)/25)*Calculateur!BL4*Calculateur!BN4*VLOOKUP('Données projet'!$B$11,Paramètres!$A$1:$I$89,3,0)*0.475*44/12</f>
        <v>#N/A</v>
      </c>
      <c r="BR4" s="23" t="e">
        <f>EXP(-LN(2)/2)*BR3+(1-EXP(-LN(2)/2))/(LN(2)/2)*BL4*BO4*VLOOKUP('Données projet'!$B$11,Paramètres!$A$1:$I$89,3,0)*0.475*44/12</f>
        <v>#N/A</v>
      </c>
      <c r="BS4" s="24" t="e">
        <f t="shared" ref="BS4:BS67" si="9">SUM(BP4:BR4)</f>
        <v>#N/A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3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0.9880000000000001</v>
      </c>
      <c r="D5" s="12">
        <f t="shared" ref="D5:D68" si="32">IFERROR(EXP(-1.0587+0.8836*LN(C5)+0.284),0)</f>
        <v>0.45595218483732475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10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11.146297567165314</v>
      </c>
      <c r="H5" s="70">
        <f t="shared" si="1"/>
        <v>295.84821672192498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3.8333333333333335</v>
      </c>
      <c r="N5" s="14">
        <f>IF('Données projet'!$A$36&gt;35,N4+M5-V4,IF(A5&lt;'Données projet'!$A$36,$K$205^A5,IF(A5='Données projet'!$A$36,'Données projet'!$B$36,N4+M5-V4)))</f>
        <v>1.892894046431534</v>
      </c>
      <c r="O5" s="14">
        <f>N5*VLOOKUP('Données projet'!$B$9,Paramètres!$A$1:$I$89,3,0)*VLOOKUP('Données projet'!$B$9,Paramètres!$A$1:$I$89,5,0)</f>
        <v>1.1319506397660575</v>
      </c>
      <c r="P5" s="14">
        <f t="shared" ref="P5:P68" si="33">EXP(-1.0587+0.8836*LN(O5)+0.284)</f>
        <v>0.51417864374064992</v>
      </c>
      <c r="Q5" s="22">
        <f t="shared" si="2"/>
        <v>2.8670085021075149</v>
      </c>
      <c r="R5" s="62">
        <f t="shared" si="0"/>
        <v>296.20034183544084</v>
      </c>
      <c r="S5" s="62">
        <f ca="1">AVERAGE(OFFSET($R$3,0,0,'Données projet'!$E$9+1,1))-AVERAGE(OFFSET($H$3,0,0,'Données projet'!$E$9+1,1))</f>
        <v>255.1976414275677</v>
      </c>
      <c r="T5" s="62">
        <f t="shared" ref="T5:T68" si="34">$T$3</f>
        <v>266.42714758321767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0</v>
      </c>
      <c r="AI5" s="14">
        <f>IF('Données projet'!$A$62&gt;35,AI4+AH5-AQ4,IF(A5&lt;'Données projet'!$A$62,$AF$205^A5,IF(A5='Données projet'!$A$62,'Données projet'!$B$62,AI4+AH5-AQ4)))</f>
        <v>0</v>
      </c>
      <c r="AJ5" s="14" t="e">
        <f>AI5*VLOOKUP('Données projet'!$B$10,Paramètres!$A$1:$I$89,3,0)*VLOOKUP('Données projet'!$B$10,Paramètres!$A$1:$I$89,5,0)</f>
        <v>#N/A</v>
      </c>
      <c r="AK5" s="14" t="e">
        <f t="shared" ref="AK5:AK68" si="35">EXP(-1.0587+0.8836*LN(AJ5)+0.284)</f>
        <v>#N/A</v>
      </c>
      <c r="AL5" s="22" t="e">
        <f t="shared" si="4"/>
        <v>#N/A</v>
      </c>
      <c r="AM5" s="62" t="e">
        <f t="shared" si="5"/>
        <v>#N/A</v>
      </c>
      <c r="AN5" s="62" t="e">
        <f ca="1">AVERAGE(OFFSET($AM$3,0,0,'Données projet'!$E$10+1,1))-AVERAGE(OFFSET($H$3,0,0,'Données projet'!$E$10+1,1))</f>
        <v>#N/A</v>
      </c>
      <c r="AO5" s="62" t="e">
        <f t="shared" ref="AO5:AO68" si="36">$AO$3</f>
        <v>#N/A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 t="e">
        <f>EXP(-LN(2)/35)*AU4+(1-EXP(-LN(2)/35))/(LN(2)/35)*AQ5*AR5*VLOOKUP('Données projet'!$B$10,Paramètres!$A$1:$I$89,3,0)*0.475*44/12</f>
        <v>#N/A</v>
      </c>
      <c r="AV5" s="23" t="e">
        <f>EXP(-LN(2)/25)*AV4+(1-EXP(-LN(2)/25))/(LN(2)/25)*Calculateur!AQ5*Calculateur!AS5*VLOOKUP('Données projet'!$B$10,Paramètres!$A$1:$I$89,3,0)*0.475*44/12</f>
        <v>#N/A</v>
      </c>
      <c r="AW5" s="23" t="e">
        <f>EXP(-LN(2)/2)*AW4+(1-EXP(-LN(2)/2))/(LN(2)/2)*AQ5*AT5*VLOOKUP('Données projet'!$B$10,Paramètres!$A$1:$I$89,3,0)*0.475*44/12</f>
        <v>#N/A</v>
      </c>
      <c r="AX5" s="23" t="e">
        <f t="shared" si="6"/>
        <v>#N/A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0</v>
      </c>
      <c r="BD5" s="13">
        <f>IF('Données projet'!$A$88&gt;35,BD4+BC5-BL4,IF(A5&lt;'Données projet'!$A$88,$BA$205^A5,IF(A5='Données projet'!$A$88,'Données projet'!$B$88,BD4+BC5-BL4)))</f>
        <v>0</v>
      </c>
      <c r="BE5" s="14" t="e">
        <f>BD5*VLOOKUP('Données projet'!$B$11,Paramètres!$A$1:$I$89,3,0)*VLOOKUP('Données projet'!$B$11,Paramètres!$A$1:$I$89,5,0)</f>
        <v>#N/A</v>
      </c>
      <c r="BF5" s="14" t="e">
        <f t="shared" ref="BF5:BF68" si="37">EXP(-1.0587+0.8836*LN(BE5)+0.284)</f>
        <v>#N/A</v>
      </c>
      <c r="BG5" s="22" t="e">
        <f t="shared" si="7"/>
        <v>#N/A</v>
      </c>
      <c r="BH5" s="62" t="e">
        <f t="shared" si="8"/>
        <v>#N/A</v>
      </c>
      <c r="BI5" s="62" t="e">
        <f ca="1">AVERAGE(OFFSET($BH$3,0,0,'Données projet'!$E$11+1,1))-AVERAGE(OFFSET($H$3,0,0,'Données projet'!$E$11+1,1))</f>
        <v>#N/A</v>
      </c>
      <c r="BJ5" s="62" t="e">
        <f t="shared" ref="BJ5:BJ68" si="38">$BJ$3</f>
        <v>#N/A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 t="e">
        <f>EXP(-LN(2)/35)*BP4+(1-EXP(-LN(2)/35))/(LN(2)/35)*BL5*BM5*VLOOKUP('Données projet'!$B$11,Paramètres!$A$1:$I$89,3,0)*0.475*44/12</f>
        <v>#N/A</v>
      </c>
      <c r="BQ5" s="23" t="e">
        <f>EXP(-LN(2)/25)*BQ4+(1-EXP(-LN(2)/25))/(LN(2)/25)*Calculateur!BL5*Calculateur!BN5*VLOOKUP('Données projet'!$B$11,Paramètres!$A$1:$I$89,3,0)*0.475*44/12</f>
        <v>#N/A</v>
      </c>
      <c r="BR5" s="23" t="e">
        <f>EXP(-LN(2)/2)*BR4+(1-EXP(-LN(2)/2))/(LN(2)/2)*BL5*BO5*VLOOKUP('Données projet'!$B$11,Paramètres!$A$1:$I$89,3,0)*0.475*44/12</f>
        <v>#N/A</v>
      </c>
      <c r="BS5" s="24" t="e">
        <f t="shared" si="9"/>
        <v>#N/A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3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1.4820000000000002</v>
      </c>
      <c r="D6" s="12">
        <f t="shared" si="32"/>
        <v>0.65239937694593597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10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16.476065365898453</v>
      </c>
      <c r="H6" s="70">
        <f t="shared" si="1"/>
        <v>297.05074558151415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3.8333333333333335</v>
      </c>
      <c r="N6" s="14">
        <f>IF('Données projet'!$A$36&gt;35,N5+M6-V5,IF(A6&lt;'Données projet'!$A$36,$K$205^A6,IF(A6='Données projet'!$A$36,'Données projet'!$B$36,N5+M6-V5)))</f>
        <v>2.6042906871402178</v>
      </c>
      <c r="O6" s="14">
        <f>N6*VLOOKUP('Données projet'!$B$9,Paramètres!$A$1:$I$89,3,0)*VLOOKUP('Données projet'!$B$9,Paramètres!$A$1:$I$89,5,0)</f>
        <v>1.5573658309098504</v>
      </c>
      <c r="P6" s="14">
        <f t="shared" si="33"/>
        <v>0.68162959137501489</v>
      </c>
      <c r="Q6" s="22">
        <f t="shared" si="2"/>
        <v>3.8995836938128075</v>
      </c>
      <c r="R6" s="62">
        <f t="shared" si="0"/>
        <v>297.23291702714613</v>
      </c>
      <c r="S6" s="62">
        <f ca="1">AVERAGE(OFFSET($R$3,0,0,'Données projet'!$E$9+1,1))-AVERAGE(OFFSET($H$3,0,0,'Données projet'!$E$9+1,1))</f>
        <v>255.1976414275677</v>
      </c>
      <c r="T6" s="62">
        <f t="shared" si="34"/>
        <v>266.42714758321767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0</v>
      </c>
      <c r="AI6" s="14">
        <f>IF('Données projet'!$A$62&gt;35,AI5+AH6-AQ5,IF(A6&lt;'Données projet'!$A$62,$AF$205^A6,IF(A6='Données projet'!$A$62,'Données projet'!$B$62,AI5+AH6-AQ5)))</f>
        <v>0</v>
      </c>
      <c r="AJ6" s="14" t="e">
        <f>AI6*VLOOKUP('Données projet'!$B$10,Paramètres!$A$1:$I$89,3,0)*VLOOKUP('Données projet'!$B$10,Paramètres!$A$1:$I$89,5,0)</f>
        <v>#N/A</v>
      </c>
      <c r="AK6" s="14" t="e">
        <f t="shared" si="35"/>
        <v>#N/A</v>
      </c>
      <c r="AL6" s="22" t="e">
        <f t="shared" si="4"/>
        <v>#N/A</v>
      </c>
      <c r="AM6" s="62" t="e">
        <f t="shared" si="5"/>
        <v>#N/A</v>
      </c>
      <c r="AN6" s="62" t="e">
        <f ca="1">AVERAGE(OFFSET($AM$3,0,0,'Données projet'!$E$10+1,1))-AVERAGE(OFFSET($H$3,0,0,'Données projet'!$E$10+1,1))</f>
        <v>#N/A</v>
      </c>
      <c r="AO6" s="62" t="e">
        <f t="shared" si="36"/>
        <v>#N/A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 t="e">
        <f>EXP(-LN(2)/35)*AU5+(1-EXP(-LN(2)/35))/(LN(2)/35)*AQ6*AR6*VLOOKUP('Données projet'!$B$10,Paramètres!$A$1:$I$89,3,0)*0.475*44/12</f>
        <v>#N/A</v>
      </c>
      <c r="AV6" s="23" t="e">
        <f>EXP(-LN(2)/25)*AV5+(1-EXP(-LN(2)/25))/(LN(2)/25)*Calculateur!AQ6*Calculateur!AS6*VLOOKUP('Données projet'!$B$10,Paramètres!$A$1:$I$89,3,0)*0.475*44/12</f>
        <v>#N/A</v>
      </c>
      <c r="AW6" s="23" t="e">
        <f>EXP(-LN(2)/2)*AW5+(1-EXP(-LN(2)/2))/(LN(2)/2)*AQ6*AT6*VLOOKUP('Données projet'!$B$10,Paramètres!$A$1:$I$89,3,0)*0.475*44/12</f>
        <v>#N/A</v>
      </c>
      <c r="AX6" s="23" t="e">
        <f t="shared" si="6"/>
        <v>#N/A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0</v>
      </c>
      <c r="BD6" s="13">
        <f>IF('Données projet'!$A$88&gt;35,BD5+BC6-BL5,IF(A6&lt;'Données projet'!$A$88,$BA$205^A6,IF(A6='Données projet'!$A$88,'Données projet'!$B$88,BD5+BC6-BL5)))</f>
        <v>0</v>
      </c>
      <c r="BE6" s="14" t="e">
        <f>BD6*VLOOKUP('Données projet'!$B$11,Paramètres!$A$1:$I$89,3,0)*VLOOKUP('Données projet'!$B$11,Paramètres!$A$1:$I$89,5,0)</f>
        <v>#N/A</v>
      </c>
      <c r="BF6" s="14" t="e">
        <f t="shared" si="37"/>
        <v>#N/A</v>
      </c>
      <c r="BG6" s="22" t="e">
        <f t="shared" si="7"/>
        <v>#N/A</v>
      </c>
      <c r="BH6" s="62" t="e">
        <f t="shared" si="8"/>
        <v>#N/A</v>
      </c>
      <c r="BI6" s="62" t="e">
        <f ca="1">AVERAGE(OFFSET($BH$3,0,0,'Données projet'!$E$11+1,1))-AVERAGE(OFFSET($H$3,0,0,'Données projet'!$E$11+1,1))</f>
        <v>#N/A</v>
      </c>
      <c r="BJ6" s="62" t="e">
        <f t="shared" si="38"/>
        <v>#N/A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 t="e">
        <f>EXP(-LN(2)/35)*BP5+(1-EXP(-LN(2)/35))/(LN(2)/35)*BL6*BM6*VLOOKUP('Données projet'!$B$11,Paramètres!$A$1:$I$89,3,0)*0.475*44/12</f>
        <v>#N/A</v>
      </c>
      <c r="BQ6" s="23" t="e">
        <f>EXP(-LN(2)/25)*BQ5+(1-EXP(-LN(2)/25))/(LN(2)/25)*Calculateur!BL6*Calculateur!BN6*VLOOKUP('Données projet'!$B$11,Paramètres!$A$1:$I$89,3,0)*0.475*44/12</f>
        <v>#N/A</v>
      </c>
      <c r="BR6" s="23" t="e">
        <f>EXP(-LN(2)/2)*BR5+(1-EXP(-LN(2)/2))/(LN(2)/2)*BL6*BO6*VLOOKUP('Données projet'!$B$11,Paramètres!$A$1:$I$89,3,0)*0.475*44/12</f>
        <v>#N/A</v>
      </c>
      <c r="BS6" s="24" t="e">
        <f t="shared" si="9"/>
        <v>#N/A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3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1.9760000000000002</v>
      </c>
      <c r="D7" s="12">
        <f t="shared" si="32"/>
        <v>0.84121964318960396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10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21.746958649182915</v>
      </c>
      <c r="H7" s="70">
        <f t="shared" si="1"/>
        <v>298.2399908785552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3.8333333333333335</v>
      </c>
      <c r="N7" s="14">
        <f>IF('Données projet'!$A$36&gt;35,N6+M7-V6,IF(A7&lt;'Données projet'!$A$36,$K$205^A7,IF(A7='Données projet'!$A$36,'Données projet'!$B$36,N6+M7-V6)))</f>
        <v>3.5830478710159466</v>
      </c>
      <c r="O7" s="14">
        <f>N7*VLOOKUP('Données projet'!$B$9,Paramètres!$A$1:$I$89,3,0)*VLOOKUP('Données projet'!$B$9,Paramètres!$A$1:$I$89,5,0)</f>
        <v>2.1426626268675362</v>
      </c>
      <c r="P7" s="14">
        <f t="shared" si="33"/>
        <v>0.9036137643873482</v>
      </c>
      <c r="Q7" s="22">
        <f t="shared" si="2"/>
        <v>5.3055980481022571</v>
      </c>
      <c r="R7" s="62">
        <f t="shared" si="0"/>
        <v>298.63893138143555</v>
      </c>
      <c r="S7" s="62">
        <f ca="1">AVERAGE(OFFSET($R$3,0,0,'Données projet'!$E$9+1,1))-AVERAGE(OFFSET($H$3,0,0,'Données projet'!$E$9+1,1))</f>
        <v>255.1976414275677</v>
      </c>
      <c r="T7" s="62">
        <f t="shared" si="34"/>
        <v>266.42714758321767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0</v>
      </c>
      <c r="AI7" s="14">
        <f>IF('Données projet'!$A$62&gt;35,AI6+AH7-AQ6,IF(A7&lt;'Données projet'!$A$62,$AF$205^A7,IF(A7='Données projet'!$A$62,'Données projet'!$B$62,AI6+AH7-AQ6)))</f>
        <v>0</v>
      </c>
      <c r="AJ7" s="14" t="e">
        <f>AI7*VLOOKUP('Données projet'!$B$10,Paramètres!$A$1:$I$89,3,0)*VLOOKUP('Données projet'!$B$10,Paramètres!$A$1:$I$89,5,0)</f>
        <v>#N/A</v>
      </c>
      <c r="AK7" s="14" t="e">
        <f t="shared" si="35"/>
        <v>#N/A</v>
      </c>
      <c r="AL7" s="22" t="e">
        <f t="shared" si="4"/>
        <v>#N/A</v>
      </c>
      <c r="AM7" s="62" t="e">
        <f t="shared" si="5"/>
        <v>#N/A</v>
      </c>
      <c r="AN7" s="62" t="e">
        <f ca="1">AVERAGE(OFFSET($AM$3,0,0,'Données projet'!$E$10+1,1))-AVERAGE(OFFSET($H$3,0,0,'Données projet'!$E$10+1,1))</f>
        <v>#N/A</v>
      </c>
      <c r="AO7" s="62" t="e">
        <f t="shared" si="36"/>
        <v>#N/A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 t="e">
        <f>EXP(-LN(2)/35)*AU6+(1-EXP(-LN(2)/35))/(LN(2)/35)*AQ7*AR7*VLOOKUP('Données projet'!$B$10,Paramètres!$A$1:$I$89,3,0)*0.475*44/12</f>
        <v>#N/A</v>
      </c>
      <c r="AV7" s="23" t="e">
        <f>EXP(-LN(2)/25)*AV6+(1-EXP(-LN(2)/25))/(LN(2)/25)*Calculateur!AQ7*Calculateur!AS7*VLOOKUP('Données projet'!$B$10,Paramètres!$A$1:$I$89,3,0)*0.475*44/12</f>
        <v>#N/A</v>
      </c>
      <c r="AW7" s="23" t="e">
        <f>EXP(-LN(2)/2)*AW6+(1-EXP(-LN(2)/2))/(LN(2)/2)*AQ7*AT7*VLOOKUP('Données projet'!$B$10,Paramètres!$A$1:$I$89,3,0)*0.475*44/12</f>
        <v>#N/A</v>
      </c>
      <c r="AX7" s="23" t="e">
        <f t="shared" si="6"/>
        <v>#N/A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0</v>
      </c>
      <c r="BD7" s="13">
        <f>IF('Données projet'!$A$88&gt;35,BD6+BC7-BL6,IF(A7&lt;'Données projet'!$A$88,$BA$205^A7,IF(A7='Données projet'!$A$88,'Données projet'!$B$88,BD6+BC7-BL6)))</f>
        <v>0</v>
      </c>
      <c r="BE7" s="14" t="e">
        <f>BD7*VLOOKUP('Données projet'!$B$11,Paramètres!$A$1:$I$89,3,0)*VLOOKUP('Données projet'!$B$11,Paramètres!$A$1:$I$89,5,0)</f>
        <v>#N/A</v>
      </c>
      <c r="BF7" s="14" t="e">
        <f t="shared" si="37"/>
        <v>#N/A</v>
      </c>
      <c r="BG7" s="22" t="e">
        <f t="shared" si="7"/>
        <v>#N/A</v>
      </c>
      <c r="BH7" s="62" t="e">
        <f t="shared" si="8"/>
        <v>#N/A</v>
      </c>
      <c r="BI7" s="62" t="e">
        <f ca="1">AVERAGE(OFFSET($BH$3,0,0,'Données projet'!$E$11+1,1))-AVERAGE(OFFSET($H$3,0,0,'Données projet'!$E$11+1,1))</f>
        <v>#N/A</v>
      </c>
      <c r="BJ7" s="62" t="e">
        <f t="shared" si="38"/>
        <v>#N/A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 t="e">
        <f>EXP(-LN(2)/35)*BP6+(1-EXP(-LN(2)/35))/(LN(2)/35)*BL7*BM7*VLOOKUP('Données projet'!$B$11,Paramètres!$A$1:$I$89,3,0)*0.475*44/12</f>
        <v>#N/A</v>
      </c>
      <c r="BQ7" s="23" t="e">
        <f>EXP(-LN(2)/25)*BQ6+(1-EXP(-LN(2)/25))/(LN(2)/25)*Calculateur!BL7*Calculateur!BN7*VLOOKUP('Données projet'!$B$11,Paramètres!$A$1:$I$89,3,0)*0.475*44/12</f>
        <v>#N/A</v>
      </c>
      <c r="BR7" s="23" t="e">
        <f>EXP(-LN(2)/2)*BR6+(1-EXP(-LN(2)/2))/(LN(2)/2)*BL7*BO7*VLOOKUP('Données projet'!$B$11,Paramètres!$A$1:$I$89,3,0)*0.475*44/12</f>
        <v>#N/A</v>
      </c>
      <c r="BS7" s="24" t="e">
        <f t="shared" si="9"/>
        <v>#N/A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3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2.4700000000000002</v>
      </c>
      <c r="D8" s="12">
        <f t="shared" si="32"/>
        <v>1.0245640017032431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10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26.975581767533807</v>
      </c>
      <c r="H8" s="70">
        <f t="shared" si="1"/>
        <v>299.41969896963315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3.8333333333333335</v>
      </c>
      <c r="N8" s="14">
        <f>IF('Données projet'!$A$36&gt;35,N7+M8-V7,IF(A8&lt;'Données projet'!$A$36,$K$205^A8,IF(A8='Données projet'!$A$36,'Données projet'!$B$36,N7+M8-V7)))</f>
        <v>4.9296463368648071</v>
      </c>
      <c r="O8" s="14">
        <f>N8*VLOOKUP('Données projet'!$B$9,Paramètres!$A$1:$I$89,3,0)*VLOOKUP('Données projet'!$B$9,Paramètres!$A$1:$I$89,5,0)</f>
        <v>2.9479285094451551</v>
      </c>
      <c r="P8" s="14">
        <f t="shared" si="33"/>
        <v>1.1978908273966751</v>
      </c>
      <c r="Q8" s="22">
        <f t="shared" si="2"/>
        <v>7.2206353449995211</v>
      </c>
      <c r="R8" s="62">
        <f t="shared" si="0"/>
        <v>300.55396867833281</v>
      </c>
      <c r="S8" s="62">
        <f ca="1">AVERAGE(OFFSET($R$3,0,0,'Données projet'!$E$9+1,1))-AVERAGE(OFFSET($H$3,0,0,'Données projet'!$E$9+1,1))</f>
        <v>255.1976414275677</v>
      </c>
      <c r="T8" s="62">
        <f t="shared" si="34"/>
        <v>266.42714758321767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0</v>
      </c>
      <c r="AI8" s="14">
        <f>IF('Données projet'!$A$62&gt;35,AI7+AH8-AQ7,IF(A8&lt;'Données projet'!$A$62,$AF$205^A8,IF(A8='Données projet'!$A$62,'Données projet'!$B$62,AI7+AH8-AQ7)))</f>
        <v>0</v>
      </c>
      <c r="AJ8" s="14" t="e">
        <f>AI8*VLOOKUP('Données projet'!$B$10,Paramètres!$A$1:$I$89,3,0)*VLOOKUP('Données projet'!$B$10,Paramètres!$A$1:$I$89,5,0)</f>
        <v>#N/A</v>
      </c>
      <c r="AK8" s="14" t="e">
        <f t="shared" si="35"/>
        <v>#N/A</v>
      </c>
      <c r="AL8" s="22" t="e">
        <f t="shared" si="4"/>
        <v>#N/A</v>
      </c>
      <c r="AM8" s="62" t="e">
        <f t="shared" si="5"/>
        <v>#N/A</v>
      </c>
      <c r="AN8" s="62" t="e">
        <f ca="1">AVERAGE(OFFSET($AM$3,0,0,'Données projet'!$E$10+1,1))-AVERAGE(OFFSET($H$3,0,0,'Données projet'!$E$10+1,1))</f>
        <v>#N/A</v>
      </c>
      <c r="AO8" s="62" t="e">
        <f t="shared" si="36"/>
        <v>#N/A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 t="e">
        <f>EXP(-LN(2)/35)*AU7+(1-EXP(-LN(2)/35))/(LN(2)/35)*AQ8*AR8*VLOOKUP('Données projet'!$B$10,Paramètres!$A$1:$I$89,3,0)*0.475*44/12</f>
        <v>#N/A</v>
      </c>
      <c r="AV8" s="23" t="e">
        <f>EXP(-LN(2)/25)*AV7+(1-EXP(-LN(2)/25))/(LN(2)/25)*Calculateur!AQ8*Calculateur!AS8*VLOOKUP('Données projet'!$B$10,Paramètres!$A$1:$I$89,3,0)*0.475*44/12</f>
        <v>#N/A</v>
      </c>
      <c r="AW8" s="23" t="e">
        <f>EXP(-LN(2)/2)*AW7+(1-EXP(-LN(2)/2))/(LN(2)/2)*AQ8*AT8*VLOOKUP('Données projet'!$B$10,Paramètres!$A$1:$I$89,3,0)*0.475*44/12</f>
        <v>#N/A</v>
      </c>
      <c r="AX8" s="23" t="e">
        <f t="shared" si="6"/>
        <v>#N/A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0</v>
      </c>
      <c r="BD8" s="13">
        <f>IF('Données projet'!$A$88&gt;35,BD7+BC8-BL7,IF(A8&lt;'Données projet'!$A$88,$BA$205^A8,IF(A8='Données projet'!$A$88,'Données projet'!$B$88,BD7+BC8-BL7)))</f>
        <v>0</v>
      </c>
      <c r="BE8" s="14" t="e">
        <f>BD8*VLOOKUP('Données projet'!$B$11,Paramètres!$A$1:$I$89,3,0)*VLOOKUP('Données projet'!$B$11,Paramètres!$A$1:$I$89,5,0)</f>
        <v>#N/A</v>
      </c>
      <c r="BF8" s="14" t="e">
        <f t="shared" si="37"/>
        <v>#N/A</v>
      </c>
      <c r="BG8" s="22" t="e">
        <f t="shared" si="7"/>
        <v>#N/A</v>
      </c>
      <c r="BH8" s="62" t="e">
        <f t="shared" si="8"/>
        <v>#N/A</v>
      </c>
      <c r="BI8" s="62" t="e">
        <f ca="1">AVERAGE(OFFSET($BH$3,0,0,'Données projet'!$E$11+1,1))-AVERAGE(OFFSET($H$3,0,0,'Données projet'!$E$11+1,1))</f>
        <v>#N/A</v>
      </c>
      <c r="BJ8" s="62" t="e">
        <f t="shared" si="38"/>
        <v>#N/A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 t="e">
        <f>EXP(-LN(2)/35)*BP7+(1-EXP(-LN(2)/35))/(LN(2)/35)*BL8*BM8*VLOOKUP('Données projet'!$B$11,Paramètres!$A$1:$I$89,3,0)*0.475*44/12</f>
        <v>#N/A</v>
      </c>
      <c r="BQ8" s="23" t="e">
        <f>EXP(-LN(2)/25)*BQ7+(1-EXP(-LN(2)/25))/(LN(2)/25)*Calculateur!BL8*Calculateur!BN8*VLOOKUP('Données projet'!$B$11,Paramètres!$A$1:$I$89,3,0)*0.475*44/12</f>
        <v>#N/A</v>
      </c>
      <c r="BR8" s="23" t="e">
        <f>EXP(-LN(2)/2)*BR7+(1-EXP(-LN(2)/2))/(LN(2)/2)*BL8*BO8*VLOOKUP('Données projet'!$B$11,Paramètres!$A$1:$I$89,3,0)*0.475*44/12</f>
        <v>#N/A</v>
      </c>
      <c r="BS8" s="24" t="e">
        <f t="shared" si="9"/>
        <v>#N/A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3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2.9640000000000004</v>
      </c>
      <c r="D9" s="12">
        <f t="shared" si="32"/>
        <v>1.2036594830385248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10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32.17140653573599</v>
      </c>
      <c r="H9" s="70">
        <f t="shared" si="1"/>
        <v>300.59200693295872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3.8333333333333335</v>
      </c>
      <c r="N9" s="14">
        <f>IF('Données projet'!$A$36&gt;35,N8+M9-V8,IF(A9&lt;'Données projet'!$A$36,$K$205^A9,IF(A9='Données projet'!$A$36,'Données projet'!$B$36,N8+M9-V8)))</f>
        <v>6.7823299831252681</v>
      </c>
      <c r="O9" s="14">
        <f>N9*VLOOKUP('Données projet'!$B$9,Paramètres!$A$1:$I$89,3,0)*VLOOKUP('Données projet'!$B$9,Paramètres!$A$1:$I$89,5,0)</f>
        <v>4.0558333299089107</v>
      </c>
      <c r="P9" s="14">
        <f t="shared" si="33"/>
        <v>1.5880041793453468</v>
      </c>
      <c r="Q9" s="22">
        <f t="shared" si="2"/>
        <v>9.8296836619511652</v>
      </c>
      <c r="R9" s="62">
        <f t="shared" si="0"/>
        <v>303.16301699528447</v>
      </c>
      <c r="S9" s="62">
        <f ca="1">AVERAGE(OFFSET($R$3,0,0,'Données projet'!$E$9+1,1))-AVERAGE(OFFSET($H$3,0,0,'Données projet'!$E$9+1,1))</f>
        <v>255.1976414275677</v>
      </c>
      <c r="T9" s="62">
        <f t="shared" si="34"/>
        <v>266.42714758321767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0</v>
      </c>
      <c r="AI9" s="14">
        <f>IF('Données projet'!$A$62&gt;35,AI8+AH9-AQ8,IF(A9&lt;'Données projet'!$A$62,$AF$205^A9,IF(A9='Données projet'!$A$62,'Données projet'!$B$62,AI8+AH9-AQ8)))</f>
        <v>0</v>
      </c>
      <c r="AJ9" s="14" t="e">
        <f>AI9*VLOOKUP('Données projet'!$B$10,Paramètres!$A$1:$I$89,3,0)*VLOOKUP('Données projet'!$B$10,Paramètres!$A$1:$I$89,5,0)</f>
        <v>#N/A</v>
      </c>
      <c r="AK9" s="14" t="e">
        <f t="shared" si="35"/>
        <v>#N/A</v>
      </c>
      <c r="AL9" s="22" t="e">
        <f t="shared" si="4"/>
        <v>#N/A</v>
      </c>
      <c r="AM9" s="62" t="e">
        <f t="shared" si="5"/>
        <v>#N/A</v>
      </c>
      <c r="AN9" s="62" t="e">
        <f ca="1">AVERAGE(OFFSET($AM$3,0,0,'Données projet'!$E$10+1,1))-AVERAGE(OFFSET($H$3,0,0,'Données projet'!$E$10+1,1))</f>
        <v>#N/A</v>
      </c>
      <c r="AO9" s="62" t="e">
        <f t="shared" si="36"/>
        <v>#N/A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 t="e">
        <f>EXP(-LN(2)/35)*AU8+(1-EXP(-LN(2)/35))/(LN(2)/35)*AQ9*AR9*VLOOKUP('Données projet'!$B$10,Paramètres!$A$1:$I$89,3,0)*0.475*44/12</f>
        <v>#N/A</v>
      </c>
      <c r="AV9" s="23" t="e">
        <f>EXP(-LN(2)/25)*AV8+(1-EXP(-LN(2)/25))/(LN(2)/25)*Calculateur!AQ9*Calculateur!AS9*VLOOKUP('Données projet'!$B$10,Paramètres!$A$1:$I$89,3,0)*0.475*44/12</f>
        <v>#N/A</v>
      </c>
      <c r="AW9" s="23" t="e">
        <f>EXP(-LN(2)/2)*AW8+(1-EXP(-LN(2)/2))/(LN(2)/2)*AQ9*AT9*VLOOKUP('Données projet'!$B$10,Paramètres!$A$1:$I$89,3,0)*0.475*44/12</f>
        <v>#N/A</v>
      </c>
      <c r="AX9" s="23" t="e">
        <f t="shared" si="6"/>
        <v>#N/A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0</v>
      </c>
      <c r="BD9" s="13">
        <f>IF('Données projet'!$A$88&gt;35,BD8+BC9-BL8,IF(A9&lt;'Données projet'!$A$88,$BA$205^A9,IF(A9='Données projet'!$A$88,'Données projet'!$B$88,BD8+BC9-BL8)))</f>
        <v>0</v>
      </c>
      <c r="BE9" s="14" t="e">
        <f>BD9*VLOOKUP('Données projet'!$B$11,Paramètres!$A$1:$I$89,3,0)*VLOOKUP('Données projet'!$B$11,Paramètres!$A$1:$I$89,5,0)</f>
        <v>#N/A</v>
      </c>
      <c r="BF9" s="14" t="e">
        <f t="shared" si="37"/>
        <v>#N/A</v>
      </c>
      <c r="BG9" s="22" t="e">
        <f t="shared" si="7"/>
        <v>#N/A</v>
      </c>
      <c r="BH9" s="62" t="e">
        <f t="shared" si="8"/>
        <v>#N/A</v>
      </c>
      <c r="BI9" s="62" t="e">
        <f ca="1">AVERAGE(OFFSET($BH$3,0,0,'Données projet'!$E$11+1,1))-AVERAGE(OFFSET($H$3,0,0,'Données projet'!$E$11+1,1))</f>
        <v>#N/A</v>
      </c>
      <c r="BJ9" s="62" t="e">
        <f t="shared" si="38"/>
        <v>#N/A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 t="e">
        <f>EXP(-LN(2)/35)*BP8+(1-EXP(-LN(2)/35))/(LN(2)/35)*BL9*BM9*VLOOKUP('Données projet'!$B$11,Paramètres!$A$1:$I$89,3,0)*0.475*44/12</f>
        <v>#N/A</v>
      </c>
      <c r="BQ9" s="23" t="e">
        <f>EXP(-LN(2)/25)*BQ8+(1-EXP(-LN(2)/25))/(LN(2)/25)*Calculateur!BL9*Calculateur!BN9*VLOOKUP('Données projet'!$B$11,Paramètres!$A$1:$I$89,3,0)*0.475*44/12</f>
        <v>#N/A</v>
      </c>
      <c r="BR9" s="23" t="e">
        <f>EXP(-LN(2)/2)*BR8+(1-EXP(-LN(2)/2))/(LN(2)/2)*BL9*BO9*VLOOKUP('Données projet'!$B$11,Paramètres!$A$1:$I$89,3,0)*0.475*44/12</f>
        <v>#N/A</v>
      </c>
      <c r="BS9" s="24" t="e">
        <f t="shared" si="9"/>
        <v>#N/A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3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3.4580000000000006</v>
      </c>
      <c r="D10" s="12">
        <f t="shared" si="32"/>
        <v>1.3792971063482828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10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37.340539066548153</v>
      </c>
      <c r="H10" s="70">
        <f t="shared" si="1"/>
        <v>301.75829246022323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3.8333333333333335</v>
      </c>
      <c r="N10" s="14">
        <f>IF('Données projet'!$A$36&gt;35,N9+M10-V9,IF(A10&lt;'Données projet'!$A$36,$K$205^A10,IF(A10='Données projet'!$A$36,'Données projet'!$B$36,N9+M10-V9)))</f>
        <v>9.3312982020644135</v>
      </c>
      <c r="O10" s="14">
        <f>N10*VLOOKUP('Données projet'!$B$9,Paramètres!$A$1:$I$89,3,0)*VLOOKUP('Données projet'!$B$9,Paramètres!$A$1:$I$89,5,0)</f>
        <v>5.5801163248345196</v>
      </c>
      <c r="P10" s="14">
        <f t="shared" si="33"/>
        <v>2.1051645241317321</v>
      </c>
      <c r="Q10" s="22">
        <f t="shared" si="2"/>
        <v>13.38519747861622</v>
      </c>
      <c r="R10" s="62">
        <f t="shared" si="0"/>
        <v>306.71853081194956</v>
      </c>
      <c r="S10" s="62">
        <f ca="1">AVERAGE(OFFSET($R$3,0,0,'Données projet'!$E$9+1,1))-AVERAGE(OFFSET($H$3,0,0,'Données projet'!$E$9+1,1))</f>
        <v>255.1976414275677</v>
      </c>
      <c r="T10" s="62">
        <f t="shared" si="34"/>
        <v>266.42714758321767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0</v>
      </c>
      <c r="AI10" s="14">
        <f>IF('Données projet'!$A$62&gt;35,AI9+AH10-AQ9,IF(A10&lt;'Données projet'!$A$62,$AF$205^A10,IF(A10='Données projet'!$A$62,'Données projet'!$B$62,AI9+AH10-AQ9)))</f>
        <v>0</v>
      </c>
      <c r="AJ10" s="14" t="e">
        <f>AI10*VLOOKUP('Données projet'!$B$10,Paramètres!$A$1:$I$89,3,0)*VLOOKUP('Données projet'!$B$10,Paramètres!$A$1:$I$89,5,0)</f>
        <v>#N/A</v>
      </c>
      <c r="AK10" s="14" t="e">
        <f t="shared" si="35"/>
        <v>#N/A</v>
      </c>
      <c r="AL10" s="22" t="e">
        <f t="shared" si="4"/>
        <v>#N/A</v>
      </c>
      <c r="AM10" s="62" t="e">
        <f t="shared" si="5"/>
        <v>#N/A</v>
      </c>
      <c r="AN10" s="62" t="e">
        <f ca="1">AVERAGE(OFFSET($AM$3,0,0,'Données projet'!$E$10+1,1))-AVERAGE(OFFSET($H$3,0,0,'Données projet'!$E$10+1,1))</f>
        <v>#N/A</v>
      </c>
      <c r="AO10" s="62" t="e">
        <f t="shared" si="36"/>
        <v>#N/A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 t="e">
        <f>EXP(-LN(2)/35)*AU9+(1-EXP(-LN(2)/35))/(LN(2)/35)*AQ10*AR10*VLOOKUP('Données projet'!$B$10,Paramètres!$A$1:$I$89,3,0)*0.475*44/12</f>
        <v>#N/A</v>
      </c>
      <c r="AV10" s="23" t="e">
        <f>EXP(-LN(2)/25)*AV9+(1-EXP(-LN(2)/25))/(LN(2)/25)*Calculateur!AQ10*Calculateur!AS10*VLOOKUP('Données projet'!$B$10,Paramètres!$A$1:$I$89,3,0)*0.475*44/12</f>
        <v>#N/A</v>
      </c>
      <c r="AW10" s="23" t="e">
        <f>EXP(-LN(2)/2)*AW9+(1-EXP(-LN(2)/2))/(LN(2)/2)*AQ10*AT10*VLOOKUP('Données projet'!$B$10,Paramètres!$A$1:$I$89,3,0)*0.475*44/12</f>
        <v>#N/A</v>
      </c>
      <c r="AX10" s="23" t="e">
        <f t="shared" si="6"/>
        <v>#N/A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0</v>
      </c>
      <c r="BD10" s="13">
        <f>IF('Données projet'!$A$88&gt;35,BD9+BC10-BL9,IF(A10&lt;'Données projet'!$A$88,$BA$205^A10,IF(A10='Données projet'!$A$88,'Données projet'!$B$88,BD9+BC10-BL9)))</f>
        <v>0</v>
      </c>
      <c r="BE10" s="14" t="e">
        <f>BD10*VLOOKUP('Données projet'!$B$11,Paramètres!$A$1:$I$89,3,0)*VLOOKUP('Données projet'!$B$11,Paramètres!$A$1:$I$89,5,0)</f>
        <v>#N/A</v>
      </c>
      <c r="BF10" s="14" t="e">
        <f t="shared" si="37"/>
        <v>#N/A</v>
      </c>
      <c r="BG10" s="22" t="e">
        <f t="shared" si="7"/>
        <v>#N/A</v>
      </c>
      <c r="BH10" s="62" t="e">
        <f t="shared" si="8"/>
        <v>#N/A</v>
      </c>
      <c r="BI10" s="62" t="e">
        <f ca="1">AVERAGE(OFFSET($BH$3,0,0,'Données projet'!$E$11+1,1))-AVERAGE(OFFSET($H$3,0,0,'Données projet'!$E$11+1,1))</f>
        <v>#N/A</v>
      </c>
      <c r="BJ10" s="62" t="e">
        <f t="shared" si="38"/>
        <v>#N/A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 t="e">
        <f>EXP(-LN(2)/35)*BP9+(1-EXP(-LN(2)/35))/(LN(2)/35)*BL10*BM10*VLOOKUP('Données projet'!$B$11,Paramètres!$A$1:$I$89,3,0)*0.475*44/12</f>
        <v>#N/A</v>
      </c>
      <c r="BQ10" s="23" t="e">
        <f>EXP(-LN(2)/25)*BQ9+(1-EXP(-LN(2)/25))/(LN(2)/25)*Calculateur!BL10*Calculateur!BN10*VLOOKUP('Données projet'!$B$11,Paramètres!$A$1:$I$89,3,0)*0.475*44/12</f>
        <v>#N/A</v>
      </c>
      <c r="BR10" s="23" t="e">
        <f>EXP(-LN(2)/2)*BR9+(1-EXP(-LN(2)/2))/(LN(2)/2)*BL10*BO10*VLOOKUP('Données projet'!$B$11,Paramètres!$A$1:$I$89,3,0)*0.475*44/12</f>
        <v>#N/A</v>
      </c>
      <c r="BS10" s="24" t="e">
        <f t="shared" si="9"/>
        <v>#N/A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3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3.9520000000000008</v>
      </c>
      <c r="D11" s="12">
        <f t="shared" si="32"/>
        <v>1.5520278477018838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10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42.48723250857595</v>
      </c>
      <c r="H11" s="70">
        <f t="shared" si="1"/>
        <v>302.91951516808075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3.8333333333333335</v>
      </c>
      <c r="N11" s="14">
        <f>IF('Données projet'!$A$36&gt;35,N10+M11-V10,IF(A11&lt;'Données projet'!$A$36,$K$205^A11,IF(A11='Données projet'!$A$36,'Données projet'!$B$36,N10+M11-V10)))</f>
        <v>12.838232045991907</v>
      </c>
      <c r="O11" s="14">
        <f>N11*VLOOKUP('Données projet'!$B$9,Paramètres!$A$1:$I$89,3,0)*VLOOKUP('Données projet'!$B$9,Paramètres!$A$1:$I$89,5,0)</f>
        <v>7.6772627635031609</v>
      </c>
      <c r="P11" s="14">
        <f t="shared" si="33"/>
        <v>2.7907468577883434</v>
      </c>
      <c r="Q11" s="22">
        <f t="shared" si="2"/>
        <v>18.23178342374937</v>
      </c>
      <c r="R11" s="62">
        <f t="shared" si="0"/>
        <v>311.56511675708271</v>
      </c>
      <c r="S11" s="62">
        <f ca="1">AVERAGE(OFFSET($R$3,0,0,'Données projet'!$E$9+1,1))-AVERAGE(OFFSET($H$3,0,0,'Données projet'!$E$9+1,1))</f>
        <v>255.1976414275677</v>
      </c>
      <c r="T11" s="62">
        <f t="shared" si="34"/>
        <v>266.42714758321767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0</v>
      </c>
      <c r="AI11" s="14">
        <f>IF('Données projet'!$A$62&gt;35,AI10+AH11-AQ10,IF(A11&lt;'Données projet'!$A$62,$AF$205^A11,IF(A11='Données projet'!$A$62,'Données projet'!$B$62,AI10+AH11-AQ10)))</f>
        <v>0</v>
      </c>
      <c r="AJ11" s="14" t="e">
        <f>AI11*VLOOKUP('Données projet'!$B$10,Paramètres!$A$1:$I$89,3,0)*VLOOKUP('Données projet'!$B$10,Paramètres!$A$1:$I$89,5,0)</f>
        <v>#N/A</v>
      </c>
      <c r="AK11" s="14" t="e">
        <f t="shared" si="35"/>
        <v>#N/A</v>
      </c>
      <c r="AL11" s="22" t="e">
        <f t="shared" si="4"/>
        <v>#N/A</v>
      </c>
      <c r="AM11" s="62" t="e">
        <f t="shared" si="5"/>
        <v>#N/A</v>
      </c>
      <c r="AN11" s="62" t="e">
        <f ca="1">AVERAGE(OFFSET($AM$3,0,0,'Données projet'!$E$10+1,1))-AVERAGE(OFFSET($H$3,0,0,'Données projet'!$E$10+1,1))</f>
        <v>#N/A</v>
      </c>
      <c r="AO11" s="62" t="e">
        <f t="shared" si="36"/>
        <v>#N/A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 t="e">
        <f>EXP(-LN(2)/35)*AU10+(1-EXP(-LN(2)/35))/(LN(2)/35)*AQ11*AR11*VLOOKUP('Données projet'!$B$10,Paramètres!$A$1:$I$89,3,0)*0.475*44/12</f>
        <v>#N/A</v>
      </c>
      <c r="AV11" s="23" t="e">
        <f>EXP(-LN(2)/25)*AV10+(1-EXP(-LN(2)/25))/(LN(2)/25)*Calculateur!AQ11*Calculateur!AS11*VLOOKUP('Données projet'!$B$10,Paramètres!$A$1:$I$89,3,0)*0.475*44/12</f>
        <v>#N/A</v>
      </c>
      <c r="AW11" s="23" t="e">
        <f>EXP(-LN(2)/2)*AW10+(1-EXP(-LN(2)/2))/(LN(2)/2)*AQ11*AT11*VLOOKUP('Données projet'!$B$10,Paramètres!$A$1:$I$89,3,0)*0.475*44/12</f>
        <v>#N/A</v>
      </c>
      <c r="AX11" s="23" t="e">
        <f t="shared" si="6"/>
        <v>#N/A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0</v>
      </c>
      <c r="BD11" s="13">
        <f>IF('Données projet'!$A$88&gt;35,BD10+BC11-BL10,IF(A11&lt;'Données projet'!$A$88,$BA$205^A11,IF(A11='Données projet'!$A$88,'Données projet'!$B$88,BD10+BC11-BL10)))</f>
        <v>0</v>
      </c>
      <c r="BE11" s="14" t="e">
        <f>BD11*VLOOKUP('Données projet'!$B$11,Paramètres!$A$1:$I$89,3,0)*VLOOKUP('Données projet'!$B$11,Paramètres!$A$1:$I$89,5,0)</f>
        <v>#N/A</v>
      </c>
      <c r="BF11" s="14" t="e">
        <f t="shared" si="37"/>
        <v>#N/A</v>
      </c>
      <c r="BG11" s="22" t="e">
        <f t="shared" si="7"/>
        <v>#N/A</v>
      </c>
      <c r="BH11" s="62" t="e">
        <f t="shared" si="8"/>
        <v>#N/A</v>
      </c>
      <c r="BI11" s="62" t="e">
        <f ca="1">AVERAGE(OFFSET($BH$3,0,0,'Données projet'!$E$11+1,1))-AVERAGE(OFFSET($H$3,0,0,'Données projet'!$E$11+1,1))</f>
        <v>#N/A</v>
      </c>
      <c r="BJ11" s="62" t="e">
        <f t="shared" si="38"/>
        <v>#N/A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 t="e">
        <f>EXP(-LN(2)/35)*BP10+(1-EXP(-LN(2)/35))/(LN(2)/35)*BL11*BM11*VLOOKUP('Données projet'!$B$11,Paramètres!$A$1:$I$89,3,0)*0.475*44/12</f>
        <v>#N/A</v>
      </c>
      <c r="BQ11" s="23" t="e">
        <f>EXP(-LN(2)/25)*BQ10+(1-EXP(-LN(2)/25))/(LN(2)/25)*Calculateur!BL11*Calculateur!BN11*VLOOKUP('Données projet'!$B$11,Paramètres!$A$1:$I$89,3,0)*0.475*44/12</f>
        <v>#N/A</v>
      </c>
      <c r="BR11" s="23" t="e">
        <f>EXP(-LN(2)/2)*BR10+(1-EXP(-LN(2)/2))/(LN(2)/2)*BL11*BO11*VLOOKUP('Données projet'!$B$11,Paramètres!$A$1:$I$89,3,0)*0.475*44/12</f>
        <v>#N/A</v>
      </c>
      <c r="BS11" s="24" t="e">
        <f t="shared" si="9"/>
        <v>#N/A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3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4.4460000000000006</v>
      </c>
      <c r="D12" s="12">
        <f t="shared" si="32"/>
        <v>1.7222566815192901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10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47.614612980148912</v>
      </c>
      <c r="H12" s="70">
        <f t="shared" si="1"/>
        <v>304.07638038697939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3.8333333333333335</v>
      </c>
      <c r="N12" s="14">
        <f>IF('Données projet'!$A$36&gt;35,N11+M12-V11,IF(A12&lt;'Données projet'!$A$36,$K$205^A12,IF(A12='Données projet'!$A$36,'Données projet'!$B$36,N11+M12-V11)))</f>
        <v>17.663158812165008</v>
      </c>
      <c r="O12" s="14">
        <f>N12*VLOOKUP('Données projet'!$B$9,Paramètres!$A$1:$I$89,3,0)*VLOOKUP('Données projet'!$B$9,Paramètres!$A$1:$I$89,5,0)</f>
        <v>10.562568969674675</v>
      </c>
      <c r="P12" s="14">
        <f t="shared" si="33"/>
        <v>3.6996006416494942</v>
      </c>
      <c r="Q12" s="22">
        <f t="shared" si="2"/>
        <v>24.839945406389592</v>
      </c>
      <c r="R12" s="62">
        <f t="shared" si="0"/>
        <v>318.17327873972289</v>
      </c>
      <c r="S12" s="62">
        <f ca="1">AVERAGE(OFFSET($R$3,0,0,'Données projet'!$E$9+1,1))-AVERAGE(OFFSET($H$3,0,0,'Données projet'!$E$9+1,1))</f>
        <v>255.1976414275677</v>
      </c>
      <c r="T12" s="62">
        <f t="shared" si="34"/>
        <v>266.42714758321767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0</v>
      </c>
      <c r="AI12" s="14">
        <f>IF('Données projet'!$A$62&gt;35,AI11+AH12-AQ11,IF(A12&lt;'Données projet'!$A$62,$AF$205^A12,IF(A12='Données projet'!$A$62,'Données projet'!$B$62,AI11+AH12-AQ11)))</f>
        <v>0</v>
      </c>
      <c r="AJ12" s="14" t="e">
        <f>AI12*VLOOKUP('Données projet'!$B$10,Paramètres!$A$1:$I$89,3,0)*VLOOKUP('Données projet'!$B$10,Paramètres!$A$1:$I$89,5,0)</f>
        <v>#N/A</v>
      </c>
      <c r="AK12" s="14" t="e">
        <f t="shared" si="35"/>
        <v>#N/A</v>
      </c>
      <c r="AL12" s="22" t="e">
        <f t="shared" si="4"/>
        <v>#N/A</v>
      </c>
      <c r="AM12" s="62" t="e">
        <f t="shared" si="5"/>
        <v>#N/A</v>
      </c>
      <c r="AN12" s="62" t="e">
        <f ca="1">AVERAGE(OFFSET($AM$3,0,0,'Données projet'!$E$10+1,1))-AVERAGE(OFFSET($H$3,0,0,'Données projet'!$E$10+1,1))</f>
        <v>#N/A</v>
      </c>
      <c r="AO12" s="62" t="e">
        <f t="shared" si="36"/>
        <v>#N/A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 t="e">
        <f>EXP(-LN(2)/35)*AU11+(1-EXP(-LN(2)/35))/(LN(2)/35)*AQ12*AR12*VLOOKUP('Données projet'!$B$10,Paramètres!$A$1:$I$89,3,0)*0.475*44/12</f>
        <v>#N/A</v>
      </c>
      <c r="AV12" s="23" t="e">
        <f>EXP(-LN(2)/25)*AV11+(1-EXP(-LN(2)/25))/(LN(2)/25)*Calculateur!AQ12*Calculateur!AS12*VLOOKUP('Données projet'!$B$10,Paramètres!$A$1:$I$89,3,0)*0.475*44/12</f>
        <v>#N/A</v>
      </c>
      <c r="AW12" s="23" t="e">
        <f>EXP(-LN(2)/2)*AW11+(1-EXP(-LN(2)/2))/(LN(2)/2)*AQ12*AT12*VLOOKUP('Données projet'!$B$10,Paramètres!$A$1:$I$89,3,0)*0.475*44/12</f>
        <v>#N/A</v>
      </c>
      <c r="AX12" s="23" t="e">
        <f t="shared" si="6"/>
        <v>#N/A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0</v>
      </c>
      <c r="BD12" s="13">
        <f>IF('Données projet'!$A$88&gt;35,BD11+BC12-BL11,IF(A12&lt;'Données projet'!$A$88,$BA$205^A12,IF(A12='Données projet'!$A$88,'Données projet'!$B$88,BD11+BC12-BL11)))</f>
        <v>0</v>
      </c>
      <c r="BE12" s="14" t="e">
        <f>BD12*VLOOKUP('Données projet'!$B$11,Paramètres!$A$1:$I$89,3,0)*VLOOKUP('Données projet'!$B$11,Paramètres!$A$1:$I$89,5,0)</f>
        <v>#N/A</v>
      </c>
      <c r="BF12" s="14" t="e">
        <f t="shared" si="37"/>
        <v>#N/A</v>
      </c>
      <c r="BG12" s="22" t="e">
        <f t="shared" si="7"/>
        <v>#N/A</v>
      </c>
      <c r="BH12" s="62" t="e">
        <f t="shared" si="8"/>
        <v>#N/A</v>
      </c>
      <c r="BI12" s="62" t="e">
        <f ca="1">AVERAGE(OFFSET($BH$3,0,0,'Données projet'!$E$11+1,1))-AVERAGE(OFFSET($H$3,0,0,'Données projet'!$E$11+1,1))</f>
        <v>#N/A</v>
      </c>
      <c r="BJ12" s="62" t="e">
        <f t="shared" si="38"/>
        <v>#N/A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 t="e">
        <f>EXP(-LN(2)/35)*BP11+(1-EXP(-LN(2)/35))/(LN(2)/35)*BL12*BM12*VLOOKUP('Données projet'!$B$11,Paramètres!$A$1:$I$89,3,0)*0.475*44/12</f>
        <v>#N/A</v>
      </c>
      <c r="BQ12" s="23" t="e">
        <f>EXP(-LN(2)/25)*BQ11+(1-EXP(-LN(2)/25))/(LN(2)/25)*Calculateur!BL12*Calculateur!BN12*VLOOKUP('Données projet'!$B$11,Paramètres!$A$1:$I$89,3,0)*0.475*44/12</f>
        <v>#N/A</v>
      </c>
      <c r="BR12" s="23" t="e">
        <f>EXP(-LN(2)/2)*BR11+(1-EXP(-LN(2)/2))/(LN(2)/2)*BL12*BO12*VLOOKUP('Données projet'!$B$11,Paramètres!$A$1:$I$89,3,0)*0.475*44/12</f>
        <v>#N/A</v>
      </c>
      <c r="BS12" s="24" t="e">
        <f t="shared" si="9"/>
        <v>#N/A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3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4.9400000000000004</v>
      </c>
      <c r="D13" s="12">
        <f t="shared" si="32"/>
        <v>1.8902933083766646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10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52.725071152381275</v>
      </c>
      <c r="H13" s="70">
        <f t="shared" si="1"/>
        <v>305.22942751208933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3.8333333333333335</v>
      </c>
      <c r="N13" s="14">
        <f>IF('Données projet'!$A$36&gt;35,N12+M13-V12,IF(A13&lt;'Données projet'!$A$36,$K$205^A13,IF(A13='Données projet'!$A$36,'Données projet'!$B$36,N12+M13-V12)))</f>
        <v>24.301413006564612</v>
      </c>
      <c r="O13" s="14">
        <f>N13*VLOOKUP('Données projet'!$B$9,Paramètres!$A$1:$I$89,3,0)*VLOOKUP('Données projet'!$B$9,Paramètres!$A$1:$I$89,5,0)</f>
        <v>14.53224497792564</v>
      </c>
      <c r="P13" s="14">
        <f t="shared" si="33"/>
        <v>4.9044379892414502</v>
      </c>
      <c r="Q13" s="22">
        <f t="shared" si="2"/>
        <v>33.852222834482681</v>
      </c>
      <c r="R13" s="62">
        <f t="shared" si="0"/>
        <v>327.185556167816</v>
      </c>
      <c r="S13" s="62">
        <f ca="1">AVERAGE(OFFSET($R$3,0,0,'Données projet'!$E$9+1,1))-AVERAGE(OFFSET($H$3,0,0,'Données projet'!$E$9+1,1))</f>
        <v>255.1976414275677</v>
      </c>
      <c r="T13" s="62">
        <f t="shared" si="34"/>
        <v>266.42714758321767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0</v>
      </c>
      <c r="AI13" s="14">
        <f>IF('Données projet'!$A$62&gt;35,AI12+AH13-AQ12,IF(A13&lt;'Données projet'!$A$62,$AF$205^A13,IF(A13='Données projet'!$A$62,'Données projet'!$B$62,AI12+AH13-AQ12)))</f>
        <v>0</v>
      </c>
      <c r="AJ13" s="14" t="e">
        <f>AI13*VLOOKUP('Données projet'!$B$10,Paramètres!$A$1:$I$89,3,0)*VLOOKUP('Données projet'!$B$10,Paramètres!$A$1:$I$89,5,0)</f>
        <v>#N/A</v>
      </c>
      <c r="AK13" s="14" t="e">
        <f t="shared" si="35"/>
        <v>#N/A</v>
      </c>
      <c r="AL13" s="22" t="e">
        <f t="shared" si="4"/>
        <v>#N/A</v>
      </c>
      <c r="AM13" s="62" t="e">
        <f t="shared" si="5"/>
        <v>#N/A</v>
      </c>
      <c r="AN13" s="62" t="e">
        <f ca="1">AVERAGE(OFFSET($AM$3,0,0,'Données projet'!$E$10+1,1))-AVERAGE(OFFSET($H$3,0,0,'Données projet'!$E$10+1,1))</f>
        <v>#N/A</v>
      </c>
      <c r="AO13" s="62" t="e">
        <f t="shared" si="36"/>
        <v>#N/A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 t="e">
        <f>EXP(-LN(2)/35)*AU12+(1-EXP(-LN(2)/35))/(LN(2)/35)*AQ13*AR13*VLOOKUP('Données projet'!$B$10,Paramètres!$A$1:$I$89,3,0)*0.475*44/12</f>
        <v>#N/A</v>
      </c>
      <c r="AV13" s="23" t="e">
        <f>EXP(-LN(2)/25)*AV12+(1-EXP(-LN(2)/25))/(LN(2)/25)*Calculateur!AQ13*Calculateur!AS13*VLOOKUP('Données projet'!$B$10,Paramètres!$A$1:$I$89,3,0)*0.475*44/12</f>
        <v>#N/A</v>
      </c>
      <c r="AW13" s="23" t="e">
        <f>EXP(-LN(2)/2)*AW12+(1-EXP(-LN(2)/2))/(LN(2)/2)*AQ13*AT13*VLOOKUP('Données projet'!$B$10,Paramètres!$A$1:$I$89,3,0)*0.475*44/12</f>
        <v>#N/A</v>
      </c>
      <c r="AX13" s="23" t="e">
        <f t="shared" si="6"/>
        <v>#N/A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0</v>
      </c>
      <c r="BD13" s="13">
        <f>IF('Données projet'!$A$88&gt;35,BD12+BC13-BL12,IF(A13&lt;'Données projet'!$A$88,$BA$205^A13,IF(A13='Données projet'!$A$88,'Données projet'!$B$88,BD12+BC13-BL12)))</f>
        <v>0</v>
      </c>
      <c r="BE13" s="14" t="e">
        <f>BD13*VLOOKUP('Données projet'!$B$11,Paramètres!$A$1:$I$89,3,0)*VLOOKUP('Données projet'!$B$11,Paramètres!$A$1:$I$89,5,0)</f>
        <v>#N/A</v>
      </c>
      <c r="BF13" s="14" t="e">
        <f t="shared" si="37"/>
        <v>#N/A</v>
      </c>
      <c r="BG13" s="22" t="e">
        <f t="shared" si="7"/>
        <v>#N/A</v>
      </c>
      <c r="BH13" s="62" t="e">
        <f t="shared" si="8"/>
        <v>#N/A</v>
      </c>
      <c r="BI13" s="62" t="e">
        <f ca="1">AVERAGE(OFFSET($BH$3,0,0,'Données projet'!$E$11+1,1))-AVERAGE(OFFSET($H$3,0,0,'Données projet'!$E$11+1,1))</f>
        <v>#N/A</v>
      </c>
      <c r="BJ13" s="62" t="e">
        <f t="shared" si="38"/>
        <v>#N/A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 t="e">
        <f>EXP(-LN(2)/35)*BP12+(1-EXP(-LN(2)/35))/(LN(2)/35)*BL13*BM13*VLOOKUP('Données projet'!$B$11,Paramètres!$A$1:$I$89,3,0)*0.475*44/12</f>
        <v>#N/A</v>
      </c>
      <c r="BQ13" s="23" t="e">
        <f>EXP(-LN(2)/25)*BQ12+(1-EXP(-LN(2)/25))/(LN(2)/25)*Calculateur!BL13*Calculateur!BN13*VLOOKUP('Données projet'!$B$11,Paramètres!$A$1:$I$89,3,0)*0.475*44/12</f>
        <v>#N/A</v>
      </c>
      <c r="BR13" s="23" t="e">
        <f>EXP(-LN(2)/2)*BR12+(1-EXP(-LN(2)/2))/(LN(2)/2)*BL13*BO13*VLOOKUP('Données projet'!$B$11,Paramètres!$A$1:$I$89,3,0)*0.475*44/12</f>
        <v>#N/A</v>
      </c>
      <c r="BS13" s="24" t="e">
        <f t="shared" si="9"/>
        <v>#N/A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3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5.4340000000000002</v>
      </c>
      <c r="D14" s="12">
        <f t="shared" si="32"/>
        <v>2.0563819044260145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10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57.820491893814847</v>
      </c>
      <c r="H14" s="70">
        <f t="shared" si="1"/>
        <v>306.37908181687527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3.8333333333333335</v>
      </c>
      <c r="N14" s="14">
        <f>IF('Données projet'!$A$36&gt;35,N13+M14-V13,IF(A14&lt;'Données projet'!$A$36,$K$205^A14,IF(A14='Données projet'!$A$36,'Données projet'!$B$36,N13+M14-V13)))</f>
        <v>33.434488156721827</v>
      </c>
      <c r="O14" s="14">
        <f>N14*VLOOKUP('Données projet'!$B$9,Paramètres!$A$1:$I$89,3,0)*VLOOKUP('Données projet'!$B$9,Paramètres!$A$1:$I$89,5,0)</f>
        <v>19.993823917719652</v>
      </c>
      <c r="P14" s="14">
        <f t="shared" si="33"/>
        <v>6.5016509402458835</v>
      </c>
      <c r="Q14" s="22">
        <f t="shared" si="2"/>
        <v>46.146285377623315</v>
      </c>
      <c r="R14" s="62">
        <f t="shared" si="0"/>
        <v>339.47961871095663</v>
      </c>
      <c r="S14" s="62">
        <f ca="1">AVERAGE(OFFSET($R$3,0,0,'Données projet'!$E$9+1,1))-AVERAGE(OFFSET($H$3,0,0,'Données projet'!$E$9+1,1))</f>
        <v>255.1976414275677</v>
      </c>
      <c r="T14" s="62">
        <f t="shared" si="34"/>
        <v>266.42714758321767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0</v>
      </c>
      <c r="AI14" s="14">
        <f>IF('Données projet'!$A$62&gt;35,AI13+AH14-AQ13,IF(A14&lt;'Données projet'!$A$62,$AF$205^A14,IF(A14='Données projet'!$A$62,'Données projet'!$B$62,AI13+AH14-AQ13)))</f>
        <v>0</v>
      </c>
      <c r="AJ14" s="14" t="e">
        <f>AI14*VLOOKUP('Données projet'!$B$10,Paramètres!$A$1:$I$89,3,0)*VLOOKUP('Données projet'!$B$10,Paramètres!$A$1:$I$89,5,0)</f>
        <v>#N/A</v>
      </c>
      <c r="AK14" s="14" t="e">
        <f t="shared" si="35"/>
        <v>#N/A</v>
      </c>
      <c r="AL14" s="22" t="e">
        <f t="shared" si="4"/>
        <v>#N/A</v>
      </c>
      <c r="AM14" s="62" t="e">
        <f t="shared" si="5"/>
        <v>#N/A</v>
      </c>
      <c r="AN14" s="62" t="e">
        <f ca="1">AVERAGE(OFFSET($AM$3,0,0,'Données projet'!$E$10+1,1))-AVERAGE(OFFSET($H$3,0,0,'Données projet'!$E$10+1,1))</f>
        <v>#N/A</v>
      </c>
      <c r="AO14" s="62" t="e">
        <f t="shared" si="36"/>
        <v>#N/A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 t="e">
        <f>EXP(-LN(2)/35)*AU13+(1-EXP(-LN(2)/35))/(LN(2)/35)*AQ14*AR14*VLOOKUP('Données projet'!$B$10,Paramètres!$A$1:$I$89,3,0)*0.475*44/12</f>
        <v>#N/A</v>
      </c>
      <c r="AV14" s="23" t="e">
        <f>EXP(-LN(2)/25)*AV13+(1-EXP(-LN(2)/25))/(LN(2)/25)*Calculateur!AQ14*Calculateur!AS14*VLOOKUP('Données projet'!$B$10,Paramètres!$A$1:$I$89,3,0)*0.475*44/12</f>
        <v>#N/A</v>
      </c>
      <c r="AW14" s="23" t="e">
        <f>EXP(-LN(2)/2)*AW13+(1-EXP(-LN(2)/2))/(LN(2)/2)*AQ14*AT14*VLOOKUP('Données projet'!$B$10,Paramètres!$A$1:$I$89,3,0)*0.475*44/12</f>
        <v>#N/A</v>
      </c>
      <c r="AX14" s="23" t="e">
        <f t="shared" si="6"/>
        <v>#N/A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0</v>
      </c>
      <c r="BD14" s="13">
        <f>IF('Données projet'!$A$88&gt;35,BD13+BC14-BL13,IF(A14&lt;'Données projet'!$A$88,$BA$205^A14,IF(A14='Données projet'!$A$88,'Données projet'!$B$88,BD13+BC14-BL13)))</f>
        <v>0</v>
      </c>
      <c r="BE14" s="14" t="e">
        <f>BD14*VLOOKUP('Données projet'!$B$11,Paramètres!$A$1:$I$89,3,0)*VLOOKUP('Données projet'!$B$11,Paramètres!$A$1:$I$89,5,0)</f>
        <v>#N/A</v>
      </c>
      <c r="BF14" s="14" t="e">
        <f t="shared" si="37"/>
        <v>#N/A</v>
      </c>
      <c r="BG14" s="22" t="e">
        <f t="shared" si="7"/>
        <v>#N/A</v>
      </c>
      <c r="BH14" s="62" t="e">
        <f t="shared" si="8"/>
        <v>#N/A</v>
      </c>
      <c r="BI14" s="62" t="e">
        <f ca="1">AVERAGE(OFFSET($BH$3,0,0,'Données projet'!$E$11+1,1))-AVERAGE(OFFSET($H$3,0,0,'Données projet'!$E$11+1,1))</f>
        <v>#N/A</v>
      </c>
      <c r="BJ14" s="62" t="e">
        <f t="shared" si="38"/>
        <v>#N/A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 t="e">
        <f>EXP(-LN(2)/35)*BP13+(1-EXP(-LN(2)/35))/(LN(2)/35)*BL14*BM14*VLOOKUP('Données projet'!$B$11,Paramètres!$A$1:$I$89,3,0)*0.475*44/12</f>
        <v>#N/A</v>
      </c>
      <c r="BQ14" s="23" t="e">
        <f>EXP(-LN(2)/25)*BQ13+(1-EXP(-LN(2)/25))/(LN(2)/25)*Calculateur!BL14*Calculateur!BN14*VLOOKUP('Données projet'!$B$11,Paramètres!$A$1:$I$89,3,0)*0.475*44/12</f>
        <v>#N/A</v>
      </c>
      <c r="BR14" s="23" t="e">
        <f>EXP(-LN(2)/2)*BR13+(1-EXP(-LN(2)/2))/(LN(2)/2)*BL14*BO14*VLOOKUP('Données projet'!$B$11,Paramètres!$A$1:$I$89,3,0)*0.475*44/12</f>
        <v>#N/A</v>
      </c>
      <c r="BS14" s="24" t="e">
        <f t="shared" si="9"/>
        <v>#N/A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3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5.9279999999999999</v>
      </c>
      <c r="D15" s="12">
        <f t="shared" si="32"/>
        <v>2.2207197037661022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10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62.902397713282191</v>
      </c>
      <c r="H15" s="70">
        <f t="shared" si="1"/>
        <v>307.52568681739263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3">
        <f>VLOOKUP(A15,'Données projet'!$A$35:$I$55,2,0)</f>
        <v>46</v>
      </c>
      <c r="L15" s="13">
        <f>VLOOKUP(A15,'Données projet'!$A$35:$I$55,9,0)</f>
        <v>3.8333333333333335</v>
      </c>
      <c r="M15" s="13">
        <f t="array" ref="M15">INDEX(L:L,MIN(IF(ISNUMBER(L15:L211),ROW(L15:L211),"")))</f>
        <v>3.8333333333333335</v>
      </c>
      <c r="N15" s="14">
        <f>IF('Données projet'!$A$36&gt;35,N14+M15-V14,IF(A15&lt;'Données projet'!$A$36,$K$205^A15,IF(A15='Données projet'!$A$36,'Données projet'!$B$36,N14+M15-V14)))</f>
        <v>46</v>
      </c>
      <c r="O15" s="14">
        <f>N15*VLOOKUP('Données projet'!$B$9,Paramètres!$A$1:$I$89,3,0)*VLOOKUP('Données projet'!$B$9,Paramètres!$A$1:$I$89,5,0)</f>
        <v>27.508000000000003</v>
      </c>
      <c r="P15" s="14">
        <f t="shared" si="33"/>
        <v>8.619023227845549</v>
      </c>
      <c r="Q15" s="22">
        <f t="shared" si="2"/>
        <v>62.921232121831004</v>
      </c>
      <c r="R15" s="62">
        <f t="shared" si="0"/>
        <v>356.25456545516431</v>
      </c>
      <c r="S15" s="62">
        <f ca="1">AVERAGE(OFFSET($R$3,0,0,'Données projet'!$E$9+1,1))-AVERAGE(OFFSET($H$3,0,0,'Données projet'!$E$9+1,1))</f>
        <v>255.1976414275677</v>
      </c>
      <c r="T15" s="62">
        <f t="shared" si="34"/>
        <v>266.42714758321767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0</v>
      </c>
      <c r="AI15" s="14">
        <f>IF('Données projet'!$A$62&gt;35,AI14+AH15-AQ14,IF(A15&lt;'Données projet'!$A$62,$AF$205^A15,IF(A15='Données projet'!$A$62,'Données projet'!$B$62,AI14+AH15-AQ14)))</f>
        <v>0</v>
      </c>
      <c r="AJ15" s="14" t="e">
        <f>AI15*VLOOKUP('Données projet'!$B$10,Paramètres!$A$1:$I$89,3,0)*VLOOKUP('Données projet'!$B$10,Paramètres!$A$1:$I$89,5,0)</f>
        <v>#N/A</v>
      </c>
      <c r="AK15" s="14" t="e">
        <f t="shared" si="35"/>
        <v>#N/A</v>
      </c>
      <c r="AL15" s="22" t="e">
        <f t="shared" si="4"/>
        <v>#N/A</v>
      </c>
      <c r="AM15" s="62" t="e">
        <f t="shared" si="5"/>
        <v>#N/A</v>
      </c>
      <c r="AN15" s="62" t="e">
        <f ca="1">AVERAGE(OFFSET($AM$3,0,0,'Données projet'!$E$10+1,1))-AVERAGE(OFFSET($H$3,0,0,'Données projet'!$E$10+1,1))</f>
        <v>#N/A</v>
      </c>
      <c r="AO15" s="62" t="e">
        <f t="shared" si="36"/>
        <v>#N/A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 t="e">
        <f>EXP(-LN(2)/35)*AU14+(1-EXP(-LN(2)/35))/(LN(2)/35)*AQ15*AR15*VLOOKUP('Données projet'!$B$10,Paramètres!$A$1:$I$89,3,0)*0.475*44/12</f>
        <v>#N/A</v>
      </c>
      <c r="AV15" s="23" t="e">
        <f>EXP(-LN(2)/25)*AV14+(1-EXP(-LN(2)/25))/(LN(2)/25)*Calculateur!AQ15*Calculateur!AS15*VLOOKUP('Données projet'!$B$10,Paramètres!$A$1:$I$89,3,0)*0.475*44/12</f>
        <v>#N/A</v>
      </c>
      <c r="AW15" s="23" t="e">
        <f>EXP(-LN(2)/2)*AW14+(1-EXP(-LN(2)/2))/(LN(2)/2)*AQ15*AT15*VLOOKUP('Données projet'!$B$10,Paramètres!$A$1:$I$89,3,0)*0.475*44/12</f>
        <v>#N/A</v>
      </c>
      <c r="AX15" s="23" t="e">
        <f t="shared" si="6"/>
        <v>#N/A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0</v>
      </c>
      <c r="BD15" s="13">
        <f>IF('Données projet'!$A$88&gt;35,BD14+BC15-BL14,IF(A15&lt;'Données projet'!$A$88,$BA$205^A15,IF(A15='Données projet'!$A$88,'Données projet'!$B$88,BD14+BC15-BL14)))</f>
        <v>0</v>
      </c>
      <c r="BE15" s="14" t="e">
        <f>BD15*VLOOKUP('Données projet'!$B$11,Paramètres!$A$1:$I$89,3,0)*VLOOKUP('Données projet'!$B$11,Paramètres!$A$1:$I$89,5,0)</f>
        <v>#N/A</v>
      </c>
      <c r="BF15" s="14" t="e">
        <f t="shared" si="37"/>
        <v>#N/A</v>
      </c>
      <c r="BG15" s="22" t="e">
        <f t="shared" si="7"/>
        <v>#N/A</v>
      </c>
      <c r="BH15" s="62" t="e">
        <f t="shared" si="8"/>
        <v>#N/A</v>
      </c>
      <c r="BI15" s="62" t="e">
        <f ca="1">AVERAGE(OFFSET($BH$3,0,0,'Données projet'!$E$11+1,1))-AVERAGE(OFFSET($H$3,0,0,'Données projet'!$E$11+1,1))</f>
        <v>#N/A</v>
      </c>
      <c r="BJ15" s="62" t="e">
        <f t="shared" si="38"/>
        <v>#N/A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 t="e">
        <f>EXP(-LN(2)/35)*BP14+(1-EXP(-LN(2)/35))/(LN(2)/35)*BL15*BM15*VLOOKUP('Données projet'!$B$11,Paramètres!$A$1:$I$89,3,0)*0.475*44/12</f>
        <v>#N/A</v>
      </c>
      <c r="BQ15" s="23" t="e">
        <f>EXP(-LN(2)/25)*BQ14+(1-EXP(-LN(2)/25))/(LN(2)/25)*Calculateur!BL15*Calculateur!BN15*VLOOKUP('Données projet'!$B$11,Paramètres!$A$1:$I$89,3,0)*0.475*44/12</f>
        <v>#N/A</v>
      </c>
      <c r="BR15" s="23" t="e">
        <f>EXP(-LN(2)/2)*BR14+(1-EXP(-LN(2)/2))/(LN(2)/2)*BL15*BO15*VLOOKUP('Données projet'!$B$11,Paramètres!$A$1:$I$89,3,0)*0.475*44/12</f>
        <v>#N/A</v>
      </c>
      <c r="BS15" s="24" t="e">
        <f t="shared" si="9"/>
        <v>#N/A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3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6.4219999999999997</v>
      </c>
      <c r="D16" s="12">
        <f t="shared" si="32"/>
        <v>2.3834691936258148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10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67.97204289816419</v>
      </c>
      <c r="H16" s="70">
        <f t="shared" si="1"/>
        <v>308.66952551223159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15.25</v>
      </c>
      <c r="N16" s="14">
        <f>IF('Données projet'!$A$36&gt;35,N15+M16-V15,IF(A16&lt;'Données projet'!$A$36,$K$205^A16,IF(A16='Données projet'!$A$36,'Données projet'!$B$36,N15+M16-V15)))</f>
        <v>61.25</v>
      </c>
      <c r="O16" s="14">
        <f>N16*VLOOKUP('Données projet'!$B$9,Paramètres!$A$1:$I$89,3,0)*VLOOKUP('Données projet'!$B$9,Paramètres!$A$1:$I$89,5,0)</f>
        <v>36.627500000000005</v>
      </c>
      <c r="P16" s="14">
        <f t="shared" si="33"/>
        <v>11.100235041832279</v>
      </c>
      <c r="Q16" s="22">
        <f t="shared" si="2"/>
        <v>83.125805197857886</v>
      </c>
      <c r="R16" s="62">
        <f t="shared" si="0"/>
        <v>376.45913853119123</v>
      </c>
      <c r="S16" s="62">
        <f ca="1">AVERAGE(OFFSET($R$3,0,0,'Données projet'!$E$9+1,1))-AVERAGE(OFFSET($H$3,0,0,'Données projet'!$E$9+1,1))</f>
        <v>255.1976414275677</v>
      </c>
      <c r="T16" s="62">
        <f t="shared" si="34"/>
        <v>266.42714758321767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0</v>
      </c>
      <c r="AI16" s="14">
        <f>IF('Données projet'!$A$62&gt;35,AI15+AH16-AQ15,IF(A16&lt;'Données projet'!$A$62,$AF$205^A16,IF(A16='Données projet'!$A$62,'Données projet'!$B$62,AI15+AH16-AQ15)))</f>
        <v>0</v>
      </c>
      <c r="AJ16" s="14" t="e">
        <f>AI16*VLOOKUP('Données projet'!$B$10,Paramètres!$A$1:$I$89,3,0)*VLOOKUP('Données projet'!$B$10,Paramètres!$A$1:$I$89,5,0)</f>
        <v>#N/A</v>
      </c>
      <c r="AK16" s="14" t="e">
        <f t="shared" si="35"/>
        <v>#N/A</v>
      </c>
      <c r="AL16" s="22" t="e">
        <f t="shared" si="4"/>
        <v>#N/A</v>
      </c>
      <c r="AM16" s="62" t="e">
        <f t="shared" si="5"/>
        <v>#N/A</v>
      </c>
      <c r="AN16" s="62" t="e">
        <f ca="1">AVERAGE(OFFSET($AM$3,0,0,'Données projet'!$E$10+1,1))-AVERAGE(OFFSET($H$3,0,0,'Données projet'!$E$10+1,1))</f>
        <v>#N/A</v>
      </c>
      <c r="AO16" s="62" t="e">
        <f t="shared" si="36"/>
        <v>#N/A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 t="e">
        <f>EXP(-LN(2)/35)*AU15+(1-EXP(-LN(2)/35))/(LN(2)/35)*AQ16*AR16*VLOOKUP('Données projet'!$B$10,Paramètres!$A$1:$I$89,3,0)*0.475*44/12</f>
        <v>#N/A</v>
      </c>
      <c r="AV16" s="23" t="e">
        <f>EXP(-LN(2)/25)*AV15+(1-EXP(-LN(2)/25))/(LN(2)/25)*Calculateur!AQ16*Calculateur!AS16*VLOOKUP('Données projet'!$B$10,Paramètres!$A$1:$I$89,3,0)*0.475*44/12</f>
        <v>#N/A</v>
      </c>
      <c r="AW16" s="23" t="e">
        <f>EXP(-LN(2)/2)*AW15+(1-EXP(-LN(2)/2))/(LN(2)/2)*AQ16*AT16*VLOOKUP('Données projet'!$B$10,Paramètres!$A$1:$I$89,3,0)*0.475*44/12</f>
        <v>#N/A</v>
      </c>
      <c r="AX16" s="23" t="e">
        <f t="shared" si="6"/>
        <v>#N/A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0</v>
      </c>
      <c r="BD16" s="13">
        <f>IF('Données projet'!$A$88&gt;35,BD15+BC16-BL15,IF(A16&lt;'Données projet'!$A$88,$BA$205^A16,IF(A16='Données projet'!$A$88,'Données projet'!$B$88,BD15+BC16-BL15)))</f>
        <v>0</v>
      </c>
      <c r="BE16" s="14" t="e">
        <f>BD16*VLOOKUP('Données projet'!$B$11,Paramètres!$A$1:$I$89,3,0)*VLOOKUP('Données projet'!$B$11,Paramètres!$A$1:$I$89,5,0)</f>
        <v>#N/A</v>
      </c>
      <c r="BF16" s="14" t="e">
        <f t="shared" si="37"/>
        <v>#N/A</v>
      </c>
      <c r="BG16" s="22" t="e">
        <f t="shared" si="7"/>
        <v>#N/A</v>
      </c>
      <c r="BH16" s="62" t="e">
        <f t="shared" si="8"/>
        <v>#N/A</v>
      </c>
      <c r="BI16" s="62" t="e">
        <f ca="1">AVERAGE(OFFSET($BH$3,0,0,'Données projet'!$E$11+1,1))-AVERAGE(OFFSET($H$3,0,0,'Données projet'!$E$11+1,1))</f>
        <v>#N/A</v>
      </c>
      <c r="BJ16" s="62" t="e">
        <f t="shared" si="38"/>
        <v>#N/A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 t="e">
        <f>EXP(-LN(2)/35)*BP15+(1-EXP(-LN(2)/35))/(LN(2)/35)*BL16*BM16*VLOOKUP('Données projet'!$B$11,Paramètres!$A$1:$I$89,3,0)*0.475*44/12</f>
        <v>#N/A</v>
      </c>
      <c r="BQ16" s="23" t="e">
        <f>EXP(-LN(2)/25)*BQ15+(1-EXP(-LN(2)/25))/(LN(2)/25)*Calculateur!BL16*Calculateur!BN16*VLOOKUP('Données projet'!$B$11,Paramètres!$A$1:$I$89,3,0)*0.475*44/12</f>
        <v>#N/A</v>
      </c>
      <c r="BR16" s="23" t="e">
        <f>EXP(-LN(2)/2)*BR15+(1-EXP(-LN(2)/2))/(LN(2)/2)*BL16*BO16*VLOOKUP('Données projet'!$B$11,Paramètres!$A$1:$I$89,3,0)*0.475*44/12</f>
        <v>#N/A</v>
      </c>
      <c r="BS16" s="24" t="e">
        <f t="shared" si="9"/>
        <v>#N/A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3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6.9159999999999995</v>
      </c>
      <c r="D17" s="12">
        <f t="shared" si="32"/>
        <v>2.5447664431495727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10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73.030477806768616</v>
      </c>
      <c r="H17" s="70">
        <f t="shared" si="1"/>
        <v>309.81083488848549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15.25</v>
      </c>
      <c r="N17" s="14">
        <f>IF('Données projet'!$A$36&gt;35,N16+M17-V16,IF(A17&lt;'Données projet'!$A$36,$K$205^A17,IF(A17='Données projet'!$A$36,'Données projet'!$B$36,N16+M17-V16)))</f>
        <v>76.5</v>
      </c>
      <c r="O17" s="14">
        <f>N17*VLOOKUP('Données projet'!$B$9,Paramètres!$A$1:$I$89,3,0)*VLOOKUP('Données projet'!$B$9,Paramètres!$A$1:$I$89,5,0)</f>
        <v>45.747000000000007</v>
      </c>
      <c r="P17" s="14">
        <f t="shared" si="33"/>
        <v>13.509786169595499</v>
      </c>
      <c r="Q17" s="22">
        <f t="shared" si="2"/>
        <v>103.20556924537884</v>
      </c>
      <c r="R17" s="62">
        <f t="shared" si="0"/>
        <v>396.53890257871217</v>
      </c>
      <c r="S17" s="62">
        <f ca="1">AVERAGE(OFFSET($R$3,0,0,'Données projet'!$E$9+1,1))-AVERAGE(OFFSET($H$3,0,0,'Données projet'!$E$9+1,1))</f>
        <v>255.1976414275677</v>
      </c>
      <c r="T17" s="62">
        <f t="shared" si="34"/>
        <v>266.42714758321767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0</v>
      </c>
      <c r="AI17" s="14">
        <f>IF('Données projet'!$A$62&gt;35,AI16+AH17-AQ16,IF(A17&lt;'Données projet'!$A$62,$AF$205^A17,IF(A17='Données projet'!$A$62,'Données projet'!$B$62,AI16+AH17-AQ16)))</f>
        <v>0</v>
      </c>
      <c r="AJ17" s="14" t="e">
        <f>AI17*VLOOKUP('Données projet'!$B$10,Paramètres!$A$1:$I$89,3,0)*VLOOKUP('Données projet'!$B$10,Paramètres!$A$1:$I$89,5,0)</f>
        <v>#N/A</v>
      </c>
      <c r="AK17" s="14" t="e">
        <f t="shared" si="35"/>
        <v>#N/A</v>
      </c>
      <c r="AL17" s="22" t="e">
        <f t="shared" si="4"/>
        <v>#N/A</v>
      </c>
      <c r="AM17" s="62" t="e">
        <f t="shared" si="5"/>
        <v>#N/A</v>
      </c>
      <c r="AN17" s="62" t="e">
        <f ca="1">AVERAGE(OFFSET($AM$3,0,0,'Données projet'!$E$10+1,1))-AVERAGE(OFFSET($H$3,0,0,'Données projet'!$E$10+1,1))</f>
        <v>#N/A</v>
      </c>
      <c r="AO17" s="62" t="e">
        <f t="shared" si="36"/>
        <v>#N/A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 t="e">
        <f>EXP(-LN(2)/35)*AU16+(1-EXP(-LN(2)/35))/(LN(2)/35)*AQ17*AR17*VLOOKUP('Données projet'!$B$10,Paramètres!$A$1:$I$89,3,0)*0.475*44/12</f>
        <v>#N/A</v>
      </c>
      <c r="AV17" s="23" t="e">
        <f>EXP(-LN(2)/25)*AV16+(1-EXP(-LN(2)/25))/(LN(2)/25)*Calculateur!AQ17*Calculateur!AS17*VLOOKUP('Données projet'!$B$10,Paramètres!$A$1:$I$89,3,0)*0.475*44/12</f>
        <v>#N/A</v>
      </c>
      <c r="AW17" s="23" t="e">
        <f>EXP(-LN(2)/2)*AW16+(1-EXP(-LN(2)/2))/(LN(2)/2)*AQ17*AT17*VLOOKUP('Données projet'!$B$10,Paramètres!$A$1:$I$89,3,0)*0.475*44/12</f>
        <v>#N/A</v>
      </c>
      <c r="AX17" s="23" t="e">
        <f t="shared" si="6"/>
        <v>#N/A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0</v>
      </c>
      <c r="BD17" s="13">
        <f>IF('Données projet'!$A$88&gt;35,BD16+BC17-BL16,IF(A17&lt;'Données projet'!$A$88,$BA$205^A17,IF(A17='Données projet'!$A$88,'Données projet'!$B$88,BD16+BC17-BL16)))</f>
        <v>0</v>
      </c>
      <c r="BE17" s="14" t="e">
        <f>BD17*VLOOKUP('Données projet'!$B$11,Paramètres!$A$1:$I$89,3,0)*VLOOKUP('Données projet'!$B$11,Paramètres!$A$1:$I$89,5,0)</f>
        <v>#N/A</v>
      </c>
      <c r="BF17" s="14" t="e">
        <f t="shared" si="37"/>
        <v>#N/A</v>
      </c>
      <c r="BG17" s="22" t="e">
        <f t="shared" si="7"/>
        <v>#N/A</v>
      </c>
      <c r="BH17" s="62" t="e">
        <f t="shared" si="8"/>
        <v>#N/A</v>
      </c>
      <c r="BI17" s="62" t="e">
        <f ca="1">AVERAGE(OFFSET($BH$3,0,0,'Données projet'!$E$11+1,1))-AVERAGE(OFFSET($H$3,0,0,'Données projet'!$E$11+1,1))</f>
        <v>#N/A</v>
      </c>
      <c r="BJ17" s="62" t="e">
        <f t="shared" si="38"/>
        <v>#N/A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 t="e">
        <f>EXP(-LN(2)/35)*BP16+(1-EXP(-LN(2)/35))/(LN(2)/35)*BL17*BM17*VLOOKUP('Données projet'!$B$11,Paramètres!$A$1:$I$89,3,0)*0.475*44/12</f>
        <v>#N/A</v>
      </c>
      <c r="BQ17" s="23" t="e">
        <f>EXP(-LN(2)/25)*BQ16+(1-EXP(-LN(2)/25))/(LN(2)/25)*Calculateur!BL17*Calculateur!BN17*VLOOKUP('Données projet'!$B$11,Paramètres!$A$1:$I$89,3,0)*0.475*44/12</f>
        <v>#N/A</v>
      </c>
      <c r="BR17" s="23" t="e">
        <f>EXP(-LN(2)/2)*BR16+(1-EXP(-LN(2)/2))/(LN(2)/2)*BL17*BO17*VLOOKUP('Données projet'!$B$11,Paramètres!$A$1:$I$89,3,0)*0.475*44/12</f>
        <v>#N/A</v>
      </c>
      <c r="BS17" s="24" t="e">
        <f t="shared" si="9"/>
        <v>#N/A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3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7.4099999999999993</v>
      </c>
      <c r="D18" s="12">
        <f t="shared" si="32"/>
        <v>2.7047269815583839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10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78.078594243608578</v>
      </c>
      <c r="H18" s="70">
        <f t="shared" si="1"/>
        <v>310.94981615954748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15.25</v>
      </c>
      <c r="N18" s="14">
        <f>IF('Données projet'!$A$36&gt;35,N17+M18-V17,IF(A18&lt;'Données projet'!$A$36,$K$205^A18,IF(A18='Données projet'!$A$36,'Données projet'!$B$36,N17+M18-V17)))</f>
        <v>91.75</v>
      </c>
      <c r="O18" s="14">
        <f>N18*VLOOKUP('Données projet'!$B$9,Paramètres!$A$1:$I$89,3,0)*VLOOKUP('Données projet'!$B$9,Paramètres!$A$1:$I$89,5,0)</f>
        <v>54.866500000000002</v>
      </c>
      <c r="P18" s="14">
        <f t="shared" si="33"/>
        <v>15.863680596172721</v>
      </c>
      <c r="Q18" s="22">
        <f t="shared" si="2"/>
        <v>123.18839787166746</v>
      </c>
      <c r="R18" s="62">
        <f t="shared" si="0"/>
        <v>416.52173120500078</v>
      </c>
      <c r="S18" s="62">
        <f ca="1">AVERAGE(OFFSET($R$3,0,0,'Données projet'!$E$9+1,1))-AVERAGE(OFFSET($H$3,0,0,'Données projet'!$E$9+1,1))</f>
        <v>255.1976414275677</v>
      </c>
      <c r="T18" s="62">
        <f t="shared" si="34"/>
        <v>266.42714758321767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0</v>
      </c>
      <c r="AI18" s="14">
        <f>IF('Données projet'!$A$62&gt;35,AI17+AH18-AQ17,IF(A18&lt;'Données projet'!$A$62,$AF$205^A18,IF(A18='Données projet'!$A$62,'Données projet'!$B$62,AI17+AH18-AQ17)))</f>
        <v>0</v>
      </c>
      <c r="AJ18" s="14" t="e">
        <f>AI18*VLOOKUP('Données projet'!$B$10,Paramètres!$A$1:$I$89,3,0)*VLOOKUP('Données projet'!$B$10,Paramètres!$A$1:$I$89,5,0)</f>
        <v>#N/A</v>
      </c>
      <c r="AK18" s="14" t="e">
        <f t="shared" si="35"/>
        <v>#N/A</v>
      </c>
      <c r="AL18" s="22" t="e">
        <f t="shared" si="4"/>
        <v>#N/A</v>
      </c>
      <c r="AM18" s="62" t="e">
        <f t="shared" si="5"/>
        <v>#N/A</v>
      </c>
      <c r="AN18" s="62" t="e">
        <f ca="1">AVERAGE(OFFSET($AM$3,0,0,'Données projet'!$E$10+1,1))-AVERAGE(OFFSET($H$3,0,0,'Données projet'!$E$10+1,1))</f>
        <v>#N/A</v>
      </c>
      <c r="AO18" s="62" t="e">
        <f t="shared" si="36"/>
        <v>#N/A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 t="e">
        <f>EXP(-LN(2)/35)*AU17+(1-EXP(-LN(2)/35))/(LN(2)/35)*AQ18*AR18*VLOOKUP('Données projet'!$B$10,Paramètres!$A$1:$I$89,3,0)*0.475*44/12</f>
        <v>#N/A</v>
      </c>
      <c r="AV18" s="23" t="e">
        <f>EXP(-LN(2)/25)*AV17+(1-EXP(-LN(2)/25))/(LN(2)/25)*Calculateur!AQ18*Calculateur!AS18*VLOOKUP('Données projet'!$B$10,Paramètres!$A$1:$I$89,3,0)*0.475*44/12</f>
        <v>#N/A</v>
      </c>
      <c r="AW18" s="23" t="e">
        <f>EXP(-LN(2)/2)*AW17+(1-EXP(-LN(2)/2))/(LN(2)/2)*AQ18*AT18*VLOOKUP('Données projet'!$B$10,Paramètres!$A$1:$I$89,3,0)*0.475*44/12</f>
        <v>#N/A</v>
      </c>
      <c r="AX18" s="23" t="e">
        <f t="shared" si="6"/>
        <v>#N/A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0</v>
      </c>
      <c r="BD18" s="13">
        <f>IF('Données projet'!$A$88&gt;35,BD17+BC18-BL17,IF(A18&lt;'Données projet'!$A$88,$BA$205^A18,IF(A18='Données projet'!$A$88,'Données projet'!$B$88,BD17+BC18-BL17)))</f>
        <v>0</v>
      </c>
      <c r="BE18" s="14" t="e">
        <f>BD18*VLOOKUP('Données projet'!$B$11,Paramètres!$A$1:$I$89,3,0)*VLOOKUP('Données projet'!$B$11,Paramètres!$A$1:$I$89,5,0)</f>
        <v>#N/A</v>
      </c>
      <c r="BF18" s="14" t="e">
        <f t="shared" si="37"/>
        <v>#N/A</v>
      </c>
      <c r="BG18" s="22" t="e">
        <f t="shared" si="7"/>
        <v>#N/A</v>
      </c>
      <c r="BH18" s="62" t="e">
        <f t="shared" si="8"/>
        <v>#N/A</v>
      </c>
      <c r="BI18" s="62" t="e">
        <f ca="1">AVERAGE(OFFSET($BH$3,0,0,'Données projet'!$E$11+1,1))-AVERAGE(OFFSET($H$3,0,0,'Données projet'!$E$11+1,1))</f>
        <v>#N/A</v>
      </c>
      <c r="BJ18" s="62" t="e">
        <f t="shared" si="38"/>
        <v>#N/A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 t="e">
        <f>EXP(-LN(2)/35)*BP17+(1-EXP(-LN(2)/35))/(LN(2)/35)*BL18*BM18*VLOOKUP('Données projet'!$B$11,Paramètres!$A$1:$I$89,3,0)*0.475*44/12</f>
        <v>#N/A</v>
      </c>
      <c r="BQ18" s="23" t="e">
        <f>EXP(-LN(2)/25)*BQ17+(1-EXP(-LN(2)/25))/(LN(2)/25)*Calculateur!BL18*Calculateur!BN18*VLOOKUP('Données projet'!$B$11,Paramètres!$A$1:$I$89,3,0)*0.475*44/12</f>
        <v>#N/A</v>
      </c>
      <c r="BR18" s="23" t="e">
        <f>EXP(-LN(2)/2)*BR17+(1-EXP(-LN(2)/2))/(LN(2)/2)*BL18*BO18*VLOOKUP('Données projet'!$B$11,Paramètres!$A$1:$I$89,3,0)*0.475*44/12</f>
        <v>#N/A</v>
      </c>
      <c r="BS18" s="24" t="e">
        <f t="shared" si="9"/>
        <v>#N/A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3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7.903999999999999</v>
      </c>
      <c r="D19" s="12">
        <f t="shared" si="32"/>
        <v>2.863450062707606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10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83.117158378795551</v>
      </c>
      <c r="H19" s="70">
        <f t="shared" si="1"/>
        <v>312.08664219254905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3">
        <f>VLOOKUP(A19,'Données projet'!$A$35:$I$55,2,0)</f>
        <v>107</v>
      </c>
      <c r="L19" s="13">
        <f>VLOOKUP(A19,'Données projet'!$A$35:$I$55,9,0)</f>
        <v>15.25</v>
      </c>
      <c r="M19" s="13">
        <f t="array" ref="M19">INDEX(L:L,MIN(IF(ISNUMBER(L19:L215),ROW(L19:L215),"")))</f>
        <v>15.25</v>
      </c>
      <c r="N19" s="14">
        <f>IF('Données projet'!$A$36&gt;35,N18+M19-V18,IF(A19&lt;'Données projet'!$A$36,$K$205^A19,IF(A19='Données projet'!$A$36,'Données projet'!$B$36,N18+M19-V18)))</f>
        <v>107</v>
      </c>
      <c r="O19" s="14">
        <f>N19*VLOOKUP('Données projet'!$B$9,Paramètres!$A$1:$I$89,3,0)*VLOOKUP('Données projet'!$B$9,Paramètres!$A$1:$I$89,5,0)</f>
        <v>63.986000000000004</v>
      </c>
      <c r="P19" s="14">
        <f t="shared" si="33"/>
        <v>18.172251427996663</v>
      </c>
      <c r="Q19" s="22">
        <f t="shared" si="2"/>
        <v>143.09228790376088</v>
      </c>
      <c r="R19" s="62">
        <f t="shared" si="0"/>
        <v>436.42562123709422</v>
      </c>
      <c r="S19" s="62">
        <f ca="1">AVERAGE(OFFSET($R$3,0,0,'Données projet'!$E$9+1,1))-AVERAGE(OFFSET($H$3,0,0,'Données projet'!$E$9+1,1))</f>
        <v>255.1976414275677</v>
      </c>
      <c r="T19" s="62">
        <f t="shared" si="34"/>
        <v>266.42714758321767</v>
      </c>
      <c r="U19" s="16">
        <f>IF(ISNA(VLOOKUP(A19,'Données projet'!$A$35:$I$55,3,0)),0,VLOOKUP(A19,'Données projet'!$A$35:$I$55,3,0))</f>
        <v>1</v>
      </c>
      <c r="V19" s="16">
        <f>IF(ISNA(VLOOKUP(A19,'Données projet'!$A$35:$I$55,4,0)),0,VLOOKUP(A19,'Données projet'!$A$35:$I$55,4,0))</f>
        <v>25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0.18000000000000002</v>
      </c>
      <c r="Y19" s="17">
        <f>IF(ISNA(VLOOKUP(A19,'Données projet'!$A$35:$I$55,7,0)),0%,VLOOKUP(A19,'Données projet'!$A$35:$I$55,7,0))</f>
        <v>0.6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3.5557293460465722</v>
      </c>
      <c r="AB19" s="23">
        <f>EXP(-LN(2)/2)*AB18+(1-EXP(-LN(2)/2))/(LN(2)/2)*V19*Y19*VLOOKUP('Données projet'!$B$9,Paramètres!$A$1:$I$89,3,0)*0.475*44/12</f>
        <v>10.1561237088124</v>
      </c>
      <c r="AC19" s="24">
        <f t="shared" si="3"/>
        <v>13.711853054858972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0</v>
      </c>
      <c r="AI19" s="14">
        <f>IF('Données projet'!$A$62&gt;35,AI18+AH19-AQ18,IF(A19&lt;'Données projet'!$A$62,$AF$205^A19,IF(A19='Données projet'!$A$62,'Données projet'!$B$62,AI18+AH19-AQ18)))</f>
        <v>0</v>
      </c>
      <c r="AJ19" s="14" t="e">
        <f>AI19*VLOOKUP('Données projet'!$B$10,Paramètres!$A$1:$I$89,3,0)*VLOOKUP('Données projet'!$B$10,Paramètres!$A$1:$I$89,5,0)</f>
        <v>#N/A</v>
      </c>
      <c r="AK19" s="14" t="e">
        <f t="shared" si="35"/>
        <v>#N/A</v>
      </c>
      <c r="AL19" s="22" t="e">
        <f t="shared" si="4"/>
        <v>#N/A</v>
      </c>
      <c r="AM19" s="62" t="e">
        <f t="shared" si="5"/>
        <v>#N/A</v>
      </c>
      <c r="AN19" s="62" t="e">
        <f ca="1">AVERAGE(OFFSET($AM$3,0,0,'Données projet'!$E$10+1,1))-AVERAGE(OFFSET($H$3,0,0,'Données projet'!$E$10+1,1))</f>
        <v>#N/A</v>
      </c>
      <c r="AO19" s="62" t="e">
        <f t="shared" si="36"/>
        <v>#N/A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 t="e">
        <f>EXP(-LN(2)/35)*AU18+(1-EXP(-LN(2)/35))/(LN(2)/35)*AQ19*AR19*VLOOKUP('Données projet'!$B$10,Paramètres!$A$1:$I$89,3,0)*0.475*44/12</f>
        <v>#N/A</v>
      </c>
      <c r="AV19" s="23" t="e">
        <f>EXP(-LN(2)/25)*AV18+(1-EXP(-LN(2)/25))/(LN(2)/25)*Calculateur!AQ19*Calculateur!AS19*VLOOKUP('Données projet'!$B$10,Paramètres!$A$1:$I$89,3,0)*0.475*44/12</f>
        <v>#N/A</v>
      </c>
      <c r="AW19" s="23" t="e">
        <f>EXP(-LN(2)/2)*AW18+(1-EXP(-LN(2)/2))/(LN(2)/2)*AQ19*AT19*VLOOKUP('Données projet'!$B$10,Paramètres!$A$1:$I$89,3,0)*0.475*44/12</f>
        <v>#N/A</v>
      </c>
      <c r="AX19" s="23" t="e">
        <f t="shared" si="6"/>
        <v>#N/A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0</v>
      </c>
      <c r="BD19" s="13">
        <f>IF('Données projet'!$A$88&gt;35,BD18+BC19-BL18,IF(A19&lt;'Données projet'!$A$88,$BA$205^A19,IF(A19='Données projet'!$A$88,'Données projet'!$B$88,BD18+BC19-BL18)))</f>
        <v>0</v>
      </c>
      <c r="BE19" s="14" t="e">
        <f>BD19*VLOOKUP('Données projet'!$B$11,Paramètres!$A$1:$I$89,3,0)*VLOOKUP('Données projet'!$B$11,Paramètres!$A$1:$I$89,5,0)</f>
        <v>#N/A</v>
      </c>
      <c r="BF19" s="14" t="e">
        <f t="shared" si="37"/>
        <v>#N/A</v>
      </c>
      <c r="BG19" s="22" t="e">
        <f t="shared" si="7"/>
        <v>#N/A</v>
      </c>
      <c r="BH19" s="62" t="e">
        <f t="shared" si="8"/>
        <v>#N/A</v>
      </c>
      <c r="BI19" s="62" t="e">
        <f ca="1">AVERAGE(OFFSET($BH$3,0,0,'Données projet'!$E$11+1,1))-AVERAGE(OFFSET($H$3,0,0,'Données projet'!$E$11+1,1))</f>
        <v>#N/A</v>
      </c>
      <c r="BJ19" s="62" t="e">
        <f t="shared" si="38"/>
        <v>#N/A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 t="e">
        <f>EXP(-LN(2)/35)*BP18+(1-EXP(-LN(2)/35))/(LN(2)/35)*BL19*BM19*VLOOKUP('Données projet'!$B$11,Paramètres!$A$1:$I$89,3,0)*0.475*44/12</f>
        <v>#N/A</v>
      </c>
      <c r="BQ19" s="23" t="e">
        <f>EXP(-LN(2)/25)*BQ18+(1-EXP(-LN(2)/25))/(LN(2)/25)*Calculateur!BL19*Calculateur!BN19*VLOOKUP('Données projet'!$B$11,Paramètres!$A$1:$I$89,3,0)*0.475*44/12</f>
        <v>#N/A</v>
      </c>
      <c r="BR19" s="23" t="e">
        <f>EXP(-LN(2)/2)*BR18+(1-EXP(-LN(2)/2))/(LN(2)/2)*BL19*BO19*VLOOKUP('Données projet'!$B$11,Paramètres!$A$1:$I$89,3,0)*0.475*44/12</f>
        <v>#N/A</v>
      </c>
      <c r="BS19" s="24" t="e">
        <f t="shared" si="9"/>
        <v>#N/A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3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8.3979999999999997</v>
      </c>
      <c r="D20" s="12">
        <f t="shared" si="32"/>
        <v>3.0210218324899247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10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88.146835198167835</v>
      </c>
      <c r="H20" s="70">
        <f t="shared" si="1"/>
        <v>313.22146302491996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17.25</v>
      </c>
      <c r="N20" s="14">
        <f>IF('Données projet'!$A$36&gt;35,N19+M20-V19,IF(A20&lt;'Données projet'!$A$36,$K$205^A20,IF(A20='Données projet'!$A$36,'Données projet'!$B$36,N19+M20-V19)))</f>
        <v>99.25</v>
      </c>
      <c r="O20" s="14">
        <f>N20*VLOOKUP('Données projet'!$B$9,Paramètres!$A$1:$I$89,3,0)*VLOOKUP('Données projet'!$B$9,Paramètres!$A$1:$I$89,5,0)</f>
        <v>59.351500000000001</v>
      </c>
      <c r="P20" s="14">
        <f t="shared" si="33"/>
        <v>17.004204309648518</v>
      </c>
      <c r="Q20" s="22">
        <f t="shared" si="2"/>
        <v>132.98618500597115</v>
      </c>
      <c r="R20" s="62">
        <f t="shared" si="0"/>
        <v>426.31951833930447</v>
      </c>
      <c r="S20" s="62">
        <f ca="1">AVERAGE(OFFSET($R$3,0,0,'Données projet'!$E$9+1,1))-AVERAGE(OFFSET($H$3,0,0,'Données projet'!$E$9+1,1))</f>
        <v>255.1976414275677</v>
      </c>
      <c r="T20" s="62">
        <f t="shared" si="34"/>
        <v>266.42714758321767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3.4584977400912491</v>
      </c>
      <c r="AB20" s="23">
        <f>EXP(-LN(2)/2)*AB19+(1-EXP(-LN(2)/2))/(LN(2)/2)*V20*Y20*VLOOKUP('Données projet'!$B$9,Paramètres!$A$1:$I$89,3,0)*0.475*44/12</f>
        <v>7.1814639450707176</v>
      </c>
      <c r="AC20" s="24">
        <f t="shared" si="3"/>
        <v>10.639961685161968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0</v>
      </c>
      <c r="AI20" s="14">
        <f>IF('Données projet'!$A$62&gt;35,AI19+AH20-AQ19,IF(A20&lt;'Données projet'!$A$62,$AF$205^A20,IF(A20='Données projet'!$A$62,'Données projet'!$B$62,AI19+AH20-AQ19)))</f>
        <v>0</v>
      </c>
      <c r="AJ20" s="14" t="e">
        <f>AI20*VLOOKUP('Données projet'!$B$10,Paramètres!$A$1:$I$89,3,0)*VLOOKUP('Données projet'!$B$10,Paramètres!$A$1:$I$89,5,0)</f>
        <v>#N/A</v>
      </c>
      <c r="AK20" s="14" t="e">
        <f t="shared" si="35"/>
        <v>#N/A</v>
      </c>
      <c r="AL20" s="22" t="e">
        <f t="shared" si="4"/>
        <v>#N/A</v>
      </c>
      <c r="AM20" s="62" t="e">
        <f t="shared" si="5"/>
        <v>#N/A</v>
      </c>
      <c r="AN20" s="62" t="e">
        <f ca="1">AVERAGE(OFFSET($AM$3,0,0,'Données projet'!$E$10+1,1))-AVERAGE(OFFSET($H$3,0,0,'Données projet'!$E$10+1,1))</f>
        <v>#N/A</v>
      </c>
      <c r="AO20" s="62" t="e">
        <f t="shared" si="36"/>
        <v>#N/A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 t="e">
        <f>EXP(-LN(2)/35)*AU19+(1-EXP(-LN(2)/35))/(LN(2)/35)*AQ20*AR20*VLOOKUP('Données projet'!$B$10,Paramètres!$A$1:$I$89,3,0)*0.475*44/12</f>
        <v>#N/A</v>
      </c>
      <c r="AV20" s="23" t="e">
        <f>EXP(-LN(2)/25)*AV19+(1-EXP(-LN(2)/25))/(LN(2)/25)*Calculateur!AQ20*Calculateur!AS20*VLOOKUP('Données projet'!$B$10,Paramètres!$A$1:$I$89,3,0)*0.475*44/12</f>
        <v>#N/A</v>
      </c>
      <c r="AW20" s="23" t="e">
        <f>EXP(-LN(2)/2)*AW19+(1-EXP(-LN(2)/2))/(LN(2)/2)*AQ20*AT20*VLOOKUP('Données projet'!$B$10,Paramètres!$A$1:$I$89,3,0)*0.475*44/12</f>
        <v>#N/A</v>
      </c>
      <c r="AX20" s="23" t="e">
        <f t="shared" si="6"/>
        <v>#N/A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0</v>
      </c>
      <c r="BD20" s="13">
        <f>IF('Données projet'!$A$88&gt;35,BD19+BC20-BL19,IF(A20&lt;'Données projet'!$A$88,$BA$205^A20,IF(A20='Données projet'!$A$88,'Données projet'!$B$88,BD19+BC20-BL19)))</f>
        <v>0</v>
      </c>
      <c r="BE20" s="14" t="e">
        <f>BD20*VLOOKUP('Données projet'!$B$11,Paramètres!$A$1:$I$89,3,0)*VLOOKUP('Données projet'!$B$11,Paramètres!$A$1:$I$89,5,0)</f>
        <v>#N/A</v>
      </c>
      <c r="BF20" s="14" t="e">
        <f t="shared" si="37"/>
        <v>#N/A</v>
      </c>
      <c r="BG20" s="22" t="e">
        <f t="shared" si="7"/>
        <v>#N/A</v>
      </c>
      <c r="BH20" s="62" t="e">
        <f t="shared" si="8"/>
        <v>#N/A</v>
      </c>
      <c r="BI20" s="62" t="e">
        <f ca="1">AVERAGE(OFFSET($BH$3,0,0,'Données projet'!$E$11+1,1))-AVERAGE(OFFSET($H$3,0,0,'Données projet'!$E$11+1,1))</f>
        <v>#N/A</v>
      </c>
      <c r="BJ20" s="62" t="e">
        <f t="shared" si="38"/>
        <v>#N/A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 t="e">
        <f>EXP(-LN(2)/35)*BP19+(1-EXP(-LN(2)/35))/(LN(2)/35)*BL20*BM20*VLOOKUP('Données projet'!$B$11,Paramètres!$A$1:$I$89,3,0)*0.475*44/12</f>
        <v>#N/A</v>
      </c>
      <c r="BQ20" s="23" t="e">
        <f>EXP(-LN(2)/25)*BQ19+(1-EXP(-LN(2)/25))/(LN(2)/25)*Calculateur!BL20*Calculateur!BN20*VLOOKUP('Données projet'!$B$11,Paramètres!$A$1:$I$89,3,0)*0.475*44/12</f>
        <v>#N/A</v>
      </c>
      <c r="BR20" s="23" t="e">
        <f>EXP(-LN(2)/2)*BR19+(1-EXP(-LN(2)/2))/(LN(2)/2)*BL20*BO20*VLOOKUP('Données projet'!$B$11,Paramètres!$A$1:$I$89,3,0)*0.475*44/12</f>
        <v>#N/A</v>
      </c>
      <c r="BS20" s="24" t="e">
        <f t="shared" si="9"/>
        <v>#N/A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3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8.8919999999999995</v>
      </c>
      <c r="D21" s="12">
        <f t="shared" si="32"/>
        <v>3.177517729464268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10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93.16820703446102</v>
      </c>
      <c r="H21" s="70">
        <f t="shared" si="1"/>
        <v>314.35441004548358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17.25</v>
      </c>
      <c r="N21" s="14">
        <f>IF('Données projet'!$A$36&gt;35,N20+M21-V20,IF(A21&lt;'Données projet'!$A$36,$K$205^A21,IF(A21='Données projet'!$A$36,'Données projet'!$B$36,N20+M21-V20)))</f>
        <v>116.5</v>
      </c>
      <c r="O21" s="14">
        <f>N21*VLOOKUP('Données projet'!$B$9,Paramètres!$A$1:$I$89,3,0)*VLOOKUP('Données projet'!$B$9,Paramètres!$A$1:$I$89,5,0)</f>
        <v>69.667000000000002</v>
      </c>
      <c r="P21" s="14">
        <f t="shared" si="33"/>
        <v>19.590738998763356</v>
      </c>
      <c r="Q21" s="22">
        <f t="shared" si="2"/>
        <v>155.45722875617952</v>
      </c>
      <c r="R21" s="62">
        <f t="shared" si="0"/>
        <v>448.79056208951283</v>
      </c>
      <c r="S21" s="62">
        <f ca="1">AVERAGE(OFFSET($R$3,0,0,'Données projet'!$E$9+1,1))-AVERAGE(OFFSET($H$3,0,0,'Données projet'!$E$9+1,1))</f>
        <v>255.1976414275677</v>
      </c>
      <c r="T21" s="62">
        <f t="shared" si="34"/>
        <v>266.42714758321767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3.3639249375139624</v>
      </c>
      <c r="AB21" s="23">
        <f>EXP(-LN(2)/2)*AB20+(1-EXP(-LN(2)/2))/(LN(2)/2)*V21*Y21*VLOOKUP('Données projet'!$B$9,Paramètres!$A$1:$I$89,3,0)*0.475*44/12</f>
        <v>5.0780618544062008</v>
      </c>
      <c r="AC21" s="24">
        <f t="shared" si="3"/>
        <v>8.4419867919201632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0</v>
      </c>
      <c r="AI21" s="14">
        <f>IF('Données projet'!$A$62&gt;35,AI20+AH21-AQ20,IF(A21&lt;'Données projet'!$A$62,$AF$205^A21,IF(A21='Données projet'!$A$62,'Données projet'!$B$62,AI20+AH21-AQ20)))</f>
        <v>0</v>
      </c>
      <c r="AJ21" s="14" t="e">
        <f>AI21*VLOOKUP('Données projet'!$B$10,Paramètres!$A$1:$I$89,3,0)*VLOOKUP('Données projet'!$B$10,Paramètres!$A$1:$I$89,5,0)</f>
        <v>#N/A</v>
      </c>
      <c r="AK21" s="14" t="e">
        <f t="shared" si="35"/>
        <v>#N/A</v>
      </c>
      <c r="AL21" s="22" t="e">
        <f t="shared" si="4"/>
        <v>#N/A</v>
      </c>
      <c r="AM21" s="62" t="e">
        <f t="shared" si="5"/>
        <v>#N/A</v>
      </c>
      <c r="AN21" s="62" t="e">
        <f ca="1">AVERAGE(OFFSET($AM$3,0,0,'Données projet'!$E$10+1,1))-AVERAGE(OFFSET($H$3,0,0,'Données projet'!$E$10+1,1))</f>
        <v>#N/A</v>
      </c>
      <c r="AO21" s="62" t="e">
        <f t="shared" si="36"/>
        <v>#N/A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 t="e">
        <f>EXP(-LN(2)/35)*AU20+(1-EXP(-LN(2)/35))/(LN(2)/35)*AQ21*AR21*VLOOKUP('Données projet'!$B$10,Paramètres!$A$1:$I$89,3,0)*0.475*44/12</f>
        <v>#N/A</v>
      </c>
      <c r="AV21" s="23" t="e">
        <f>EXP(-LN(2)/25)*AV20+(1-EXP(-LN(2)/25))/(LN(2)/25)*Calculateur!AQ21*Calculateur!AS21*VLOOKUP('Données projet'!$B$10,Paramètres!$A$1:$I$89,3,0)*0.475*44/12</f>
        <v>#N/A</v>
      </c>
      <c r="AW21" s="23" t="e">
        <f>EXP(-LN(2)/2)*AW20+(1-EXP(-LN(2)/2))/(LN(2)/2)*AQ21*AT21*VLOOKUP('Données projet'!$B$10,Paramètres!$A$1:$I$89,3,0)*0.475*44/12</f>
        <v>#N/A</v>
      </c>
      <c r="AX21" s="23" t="e">
        <f t="shared" si="6"/>
        <v>#N/A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0</v>
      </c>
      <c r="BD21" s="13">
        <f>IF('Données projet'!$A$88&gt;35,BD20+BC21-BL20,IF(A21&lt;'Données projet'!$A$88,$BA$205^A21,IF(A21='Données projet'!$A$88,'Données projet'!$B$88,BD20+BC21-BL20)))</f>
        <v>0</v>
      </c>
      <c r="BE21" s="14" t="e">
        <f>BD21*VLOOKUP('Données projet'!$B$11,Paramètres!$A$1:$I$89,3,0)*VLOOKUP('Données projet'!$B$11,Paramètres!$A$1:$I$89,5,0)</f>
        <v>#N/A</v>
      </c>
      <c r="BF21" s="14" t="e">
        <f t="shared" si="37"/>
        <v>#N/A</v>
      </c>
      <c r="BG21" s="22" t="e">
        <f t="shared" si="7"/>
        <v>#N/A</v>
      </c>
      <c r="BH21" s="62" t="e">
        <f t="shared" si="8"/>
        <v>#N/A</v>
      </c>
      <c r="BI21" s="62" t="e">
        <f ca="1">AVERAGE(OFFSET($BH$3,0,0,'Données projet'!$E$11+1,1))-AVERAGE(OFFSET($H$3,0,0,'Données projet'!$E$11+1,1))</f>
        <v>#N/A</v>
      </c>
      <c r="BJ21" s="62" t="e">
        <f t="shared" si="38"/>
        <v>#N/A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 t="e">
        <f>EXP(-LN(2)/35)*BP20+(1-EXP(-LN(2)/35))/(LN(2)/35)*BL21*BM21*VLOOKUP('Données projet'!$B$11,Paramètres!$A$1:$I$89,3,0)*0.475*44/12</f>
        <v>#N/A</v>
      </c>
      <c r="BQ21" s="23" t="e">
        <f>EXP(-LN(2)/25)*BQ20+(1-EXP(-LN(2)/25))/(LN(2)/25)*Calculateur!BL21*Calculateur!BN21*VLOOKUP('Données projet'!$B$11,Paramètres!$A$1:$I$89,3,0)*0.475*44/12</f>
        <v>#N/A</v>
      </c>
      <c r="BR21" s="23" t="e">
        <f>EXP(-LN(2)/2)*BR20+(1-EXP(-LN(2)/2))/(LN(2)/2)*BL21*BO21*VLOOKUP('Données projet'!$B$11,Paramètres!$A$1:$I$89,3,0)*0.475*44/12</f>
        <v>#N/A</v>
      </c>
      <c r="BS21" s="24" t="e">
        <f t="shared" si="9"/>
        <v>#N/A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3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9.3859999999999992</v>
      </c>
      <c r="D22" s="12">
        <f t="shared" si="32"/>
        <v>3.3330043367174276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10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98.181787862380133</v>
      </c>
      <c r="H22" s="70">
        <f t="shared" si="1"/>
        <v>315.48559921978284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17.25</v>
      </c>
      <c r="N22" s="14">
        <f>IF('Données projet'!$A$36&gt;35,N21+M22-V21,IF(A22&lt;'Données projet'!$A$36,$K$205^A22,IF(A22='Données projet'!$A$36,'Données projet'!$B$36,N21+M22-V21)))</f>
        <v>133.75</v>
      </c>
      <c r="O22" s="14">
        <f>N22*VLOOKUP('Données projet'!$B$9,Paramètres!$A$1:$I$89,3,0)*VLOOKUP('Données projet'!$B$9,Paramètres!$A$1:$I$89,5,0)</f>
        <v>79.982500000000016</v>
      </c>
      <c r="P22" s="14">
        <f t="shared" si="33"/>
        <v>22.132905233204649</v>
      </c>
      <c r="Q22" s="22">
        <f t="shared" si="2"/>
        <v>177.85099744783145</v>
      </c>
      <c r="R22" s="62">
        <f t="shared" si="0"/>
        <v>471.18433078116476</v>
      </c>
      <c r="S22" s="62">
        <f ca="1">AVERAGE(OFFSET($R$3,0,0,'Données projet'!$E$9+1,1))-AVERAGE(OFFSET($H$3,0,0,'Données projet'!$E$9+1,1))</f>
        <v>255.1976414275677</v>
      </c>
      <c r="T22" s="62">
        <f t="shared" si="34"/>
        <v>266.42714758321767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3.271938233196519</v>
      </c>
      <c r="AB22" s="23">
        <f>EXP(-LN(2)/2)*AB21+(1-EXP(-LN(2)/2))/(LN(2)/2)*V22*Y22*VLOOKUP('Données projet'!$B$9,Paramètres!$A$1:$I$89,3,0)*0.475*44/12</f>
        <v>3.5907319725353593</v>
      </c>
      <c r="AC22" s="24">
        <f t="shared" si="3"/>
        <v>6.8626702057318782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0</v>
      </c>
      <c r="AI22" s="14">
        <f>IF('Données projet'!$A$62&gt;35,AI21+AH22-AQ21,IF(A22&lt;'Données projet'!$A$62,$AF$205^A22,IF(A22='Données projet'!$A$62,'Données projet'!$B$62,AI21+AH22-AQ21)))</f>
        <v>0</v>
      </c>
      <c r="AJ22" s="14" t="e">
        <f>AI22*VLOOKUP('Données projet'!$B$10,Paramètres!$A$1:$I$89,3,0)*VLOOKUP('Données projet'!$B$10,Paramètres!$A$1:$I$89,5,0)</f>
        <v>#N/A</v>
      </c>
      <c r="AK22" s="14" t="e">
        <f t="shared" si="35"/>
        <v>#N/A</v>
      </c>
      <c r="AL22" s="22" t="e">
        <f t="shared" si="4"/>
        <v>#N/A</v>
      </c>
      <c r="AM22" s="62" t="e">
        <f t="shared" si="5"/>
        <v>#N/A</v>
      </c>
      <c r="AN22" s="62" t="e">
        <f ca="1">AVERAGE(OFFSET($AM$3,0,0,'Données projet'!$E$10+1,1))-AVERAGE(OFFSET($H$3,0,0,'Données projet'!$E$10+1,1))</f>
        <v>#N/A</v>
      </c>
      <c r="AO22" s="62" t="e">
        <f t="shared" si="36"/>
        <v>#N/A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 t="e">
        <f>EXP(-LN(2)/35)*AU21+(1-EXP(-LN(2)/35))/(LN(2)/35)*AQ22*AR22*VLOOKUP('Données projet'!$B$10,Paramètres!$A$1:$I$89,3,0)*0.475*44/12</f>
        <v>#N/A</v>
      </c>
      <c r="AV22" s="23" t="e">
        <f>EXP(-LN(2)/25)*AV21+(1-EXP(-LN(2)/25))/(LN(2)/25)*Calculateur!AQ22*Calculateur!AS22*VLOOKUP('Données projet'!$B$10,Paramètres!$A$1:$I$89,3,0)*0.475*44/12</f>
        <v>#N/A</v>
      </c>
      <c r="AW22" s="23" t="e">
        <f>EXP(-LN(2)/2)*AW21+(1-EXP(-LN(2)/2))/(LN(2)/2)*AQ22*AT22*VLOOKUP('Données projet'!$B$10,Paramètres!$A$1:$I$89,3,0)*0.475*44/12</f>
        <v>#N/A</v>
      </c>
      <c r="AX22" s="23" t="e">
        <f t="shared" si="6"/>
        <v>#N/A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0</v>
      </c>
      <c r="BD22" s="13">
        <f>IF('Données projet'!$A$88&gt;35,BD21+BC22-BL21,IF(A22&lt;'Données projet'!$A$88,$BA$205^A22,IF(A22='Données projet'!$A$88,'Données projet'!$B$88,BD21+BC22-BL21)))</f>
        <v>0</v>
      </c>
      <c r="BE22" s="14" t="e">
        <f>BD22*VLOOKUP('Données projet'!$B$11,Paramètres!$A$1:$I$89,3,0)*VLOOKUP('Données projet'!$B$11,Paramètres!$A$1:$I$89,5,0)</f>
        <v>#N/A</v>
      </c>
      <c r="BF22" s="14" t="e">
        <f t="shared" si="37"/>
        <v>#N/A</v>
      </c>
      <c r="BG22" s="22" t="e">
        <f t="shared" si="7"/>
        <v>#N/A</v>
      </c>
      <c r="BH22" s="62" t="e">
        <f t="shared" si="8"/>
        <v>#N/A</v>
      </c>
      <c r="BI22" s="62" t="e">
        <f ca="1">AVERAGE(OFFSET($BH$3,0,0,'Données projet'!$E$11+1,1))-AVERAGE(OFFSET($H$3,0,0,'Données projet'!$E$11+1,1))</f>
        <v>#N/A</v>
      </c>
      <c r="BJ22" s="62" t="e">
        <f t="shared" si="38"/>
        <v>#N/A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 t="e">
        <f>EXP(-LN(2)/35)*BP21+(1-EXP(-LN(2)/35))/(LN(2)/35)*BL22*BM22*VLOOKUP('Données projet'!$B$11,Paramètres!$A$1:$I$89,3,0)*0.475*44/12</f>
        <v>#N/A</v>
      </c>
      <c r="BQ22" s="23" t="e">
        <f>EXP(-LN(2)/25)*BQ21+(1-EXP(-LN(2)/25))/(LN(2)/25)*Calculateur!BL22*Calculateur!BN22*VLOOKUP('Données projet'!$B$11,Paramètres!$A$1:$I$89,3,0)*0.475*44/12</f>
        <v>#N/A</v>
      </c>
      <c r="BR22" s="23" t="e">
        <f>EXP(-LN(2)/2)*BR21+(1-EXP(-LN(2)/2))/(LN(2)/2)*BL22*BO22*VLOOKUP('Données projet'!$B$11,Paramètres!$A$1:$I$89,3,0)*0.475*44/12</f>
        <v>#N/A</v>
      </c>
      <c r="BS22" s="24" t="e">
        <f t="shared" si="9"/>
        <v>#N/A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3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9.879999999999999</v>
      </c>
      <c r="D23" s="12">
        <f t="shared" si="32"/>
        <v>3.4875408327380875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10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103.1880344983291</v>
      </c>
      <c r="H23" s="70">
        <f t="shared" si="1"/>
        <v>316.61513361701884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3">
        <f>VLOOKUP(A23,'Données projet'!$A$35:$I$55,2,0)</f>
        <v>151</v>
      </c>
      <c r="L23" s="13">
        <f>VLOOKUP(A23,'Données projet'!$A$35:$I$55,9,0)</f>
        <v>17.25</v>
      </c>
      <c r="M23" s="13">
        <f t="array" ref="M23">INDEX(L:L,MIN(IF(ISNUMBER(L23:L219),ROW(L23:L219),"")))</f>
        <v>17.25</v>
      </c>
      <c r="N23" s="14">
        <f>IF('Données projet'!$A$36&gt;35,N22+M23-V22,IF(A23&lt;'Données projet'!$A$36,$K$205^A23,IF(A23='Données projet'!$A$36,'Données projet'!$B$36,N22+M23-V22)))</f>
        <v>151</v>
      </c>
      <c r="O23" s="14">
        <f>N23*VLOOKUP('Données projet'!$B$9,Paramètres!$A$1:$I$89,3,0)*VLOOKUP('Données projet'!$B$9,Paramètres!$A$1:$I$89,5,0)</f>
        <v>90.298000000000016</v>
      </c>
      <c r="P23" s="14">
        <f t="shared" si="33"/>
        <v>24.637081585210524</v>
      </c>
      <c r="Q23" s="22">
        <f t="shared" si="2"/>
        <v>200.17860042757502</v>
      </c>
      <c r="R23" s="62">
        <f t="shared" si="0"/>
        <v>493.51193376090833</v>
      </c>
      <c r="S23" s="62">
        <f ca="1">AVERAGE(OFFSET($R$3,0,0,'Données projet'!$E$9+1,1))-AVERAGE(OFFSET($H$3,0,0,'Données projet'!$E$9+1,1))</f>
        <v>255.1976414275677</v>
      </c>
      <c r="T23" s="62">
        <f t="shared" si="34"/>
        <v>266.42714758321767</v>
      </c>
      <c r="U23" s="16">
        <f>IF(ISNA(VLOOKUP(A23,'Données projet'!$A$35:$I$55,3,0)),0,VLOOKUP(A23,'Données projet'!$A$35:$I$55,3,0))</f>
        <v>2</v>
      </c>
      <c r="V23" s="16">
        <f>IF(ISNA(VLOOKUP(A23,'Données projet'!$A$35:$I$55,4,0)),0,VLOOKUP(A23,'Données projet'!$A$35:$I$55,4,0))</f>
        <v>34</v>
      </c>
      <c r="W23" s="17">
        <f>IF(ISNA(VLOOKUP(A23,'Données projet'!$A$35:$I$55,5,0)),0%,VLOOKUP(A23,'Données projet'!$A$35:$I$55,5,0)*VLOOKUP('Données projet'!$B$9,Paramètres!$A$1:$I$89,7,0))</f>
        <v>9.0000000000000011E-2</v>
      </c>
      <c r="X23" s="78">
        <f>IF(ISNA(VLOOKUP(A23,'Données projet'!$A$35:$I$55,6,0)),0%,VLOOKUP(A23,'Données projet'!$A$35:$I$55,6,0)*VLOOKUP('Données projet'!$B$9,Paramètres!$A$1:$I$89,7,0))</f>
        <v>0.13500000000000001</v>
      </c>
      <c r="Y23" s="17">
        <f>IF(ISNA(VLOOKUP(A23,'Données projet'!$A$35:$I$55,7,0)),0%,VLOOKUP(A23,'Données projet'!$A$35:$I$55,7,0))</f>
        <v>0.5</v>
      </c>
      <c r="Z23" s="23">
        <f>EXP(-LN(2)/35)*Z22+(1-EXP(-LN(2)/35))/(LN(2)/35)*V23*W23*VLOOKUP('Données projet'!$B$9,Paramètres!$A$1:$I$89,3,0)*0.475*44/12</f>
        <v>2.4274537657197062</v>
      </c>
      <c r="AA23" s="23">
        <f>EXP(-LN(2)/25)*AA22+(1-EXP(-LN(2)/25))/(LN(2)/25)*Calculateur!V23*Calculateur!X23*VLOOKUP('Données projet'!$B$9,Paramètres!$A$1:$I$89,3,0)*0.475*44/12</f>
        <v>6.8093108431135114</v>
      </c>
      <c r="AB23" s="23">
        <f>EXP(-LN(2)/2)*AB22+(1-EXP(-LN(2)/2))/(LN(2)/2)*V23*Y23*VLOOKUP('Données projet'!$B$9,Paramètres!$A$1:$I$89,3,0)*0.475*44/12</f>
        <v>14.049304463857153</v>
      </c>
      <c r="AC23" s="24">
        <f t="shared" si="3"/>
        <v>23.286069072690371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0</v>
      </c>
      <c r="AI23" s="14">
        <f>IF('Données projet'!$A$62&gt;35,AI22+AH23-AQ22,IF(A23&lt;'Données projet'!$A$62,$AF$205^A23,IF(A23='Données projet'!$A$62,'Données projet'!$B$62,AI22+AH23-AQ22)))</f>
        <v>0</v>
      </c>
      <c r="AJ23" s="14" t="e">
        <f>AI23*VLOOKUP('Données projet'!$B$10,Paramètres!$A$1:$I$89,3,0)*VLOOKUP('Données projet'!$B$10,Paramètres!$A$1:$I$89,5,0)</f>
        <v>#N/A</v>
      </c>
      <c r="AK23" s="14" t="e">
        <f t="shared" si="35"/>
        <v>#N/A</v>
      </c>
      <c r="AL23" s="22" t="e">
        <f t="shared" si="4"/>
        <v>#N/A</v>
      </c>
      <c r="AM23" s="62" t="e">
        <f t="shared" si="5"/>
        <v>#N/A</v>
      </c>
      <c r="AN23" s="62" t="e">
        <f ca="1">AVERAGE(OFFSET($AM$3,0,0,'Données projet'!$E$10+1,1))-AVERAGE(OFFSET($H$3,0,0,'Données projet'!$E$10+1,1))</f>
        <v>#N/A</v>
      </c>
      <c r="AO23" s="62" t="e">
        <f t="shared" si="36"/>
        <v>#N/A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 t="e">
        <f>EXP(-LN(2)/35)*AU22+(1-EXP(-LN(2)/35))/(LN(2)/35)*AQ23*AR23*VLOOKUP('Données projet'!$B$10,Paramètres!$A$1:$I$89,3,0)*0.475*44/12</f>
        <v>#N/A</v>
      </c>
      <c r="AV23" s="23" t="e">
        <f>EXP(-LN(2)/25)*AV22+(1-EXP(-LN(2)/25))/(LN(2)/25)*Calculateur!AQ23*Calculateur!AS23*VLOOKUP('Données projet'!$B$10,Paramètres!$A$1:$I$89,3,0)*0.475*44/12</f>
        <v>#N/A</v>
      </c>
      <c r="AW23" s="23" t="e">
        <f>EXP(-LN(2)/2)*AW22+(1-EXP(-LN(2)/2))/(LN(2)/2)*AQ23*AT23*VLOOKUP('Données projet'!$B$10,Paramètres!$A$1:$I$89,3,0)*0.475*44/12</f>
        <v>#N/A</v>
      </c>
      <c r="AX23" s="23" t="e">
        <f t="shared" si="6"/>
        <v>#N/A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0</v>
      </c>
      <c r="BD23" s="13">
        <f>IF('Données projet'!$A$88&gt;35,BD22+BC23-BL22,IF(A23&lt;'Données projet'!$A$88,$BA$205^A23,IF(A23='Données projet'!$A$88,'Données projet'!$B$88,BD22+BC23-BL22)))</f>
        <v>0</v>
      </c>
      <c r="BE23" s="14" t="e">
        <f>BD23*VLOOKUP('Données projet'!$B$11,Paramètres!$A$1:$I$89,3,0)*VLOOKUP('Données projet'!$B$11,Paramètres!$A$1:$I$89,5,0)</f>
        <v>#N/A</v>
      </c>
      <c r="BF23" s="14" t="e">
        <f t="shared" si="37"/>
        <v>#N/A</v>
      </c>
      <c r="BG23" s="22" t="e">
        <f t="shared" si="7"/>
        <v>#N/A</v>
      </c>
      <c r="BH23" s="62" t="e">
        <f t="shared" si="8"/>
        <v>#N/A</v>
      </c>
      <c r="BI23" s="62" t="e">
        <f ca="1">AVERAGE(OFFSET($BH$3,0,0,'Données projet'!$E$11+1,1))-AVERAGE(OFFSET($H$3,0,0,'Données projet'!$E$11+1,1))</f>
        <v>#N/A</v>
      </c>
      <c r="BJ23" s="62" t="e">
        <f t="shared" si="38"/>
        <v>#N/A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 t="e">
        <f>EXP(-LN(2)/35)*BP22+(1-EXP(-LN(2)/35))/(LN(2)/35)*BL23*BM23*VLOOKUP('Données projet'!$B$11,Paramètres!$A$1:$I$89,3,0)*0.475*44/12</f>
        <v>#N/A</v>
      </c>
      <c r="BQ23" s="23" t="e">
        <f>EXP(-LN(2)/25)*BQ22+(1-EXP(-LN(2)/25))/(LN(2)/25)*Calculateur!BL23*Calculateur!BN23*VLOOKUP('Données projet'!$B$11,Paramètres!$A$1:$I$89,3,0)*0.475*44/12</f>
        <v>#N/A</v>
      </c>
      <c r="BR23" s="23" t="e">
        <f>EXP(-LN(2)/2)*BR22+(1-EXP(-LN(2)/2))/(LN(2)/2)*BL23*BO23*VLOOKUP('Données projet'!$B$11,Paramètres!$A$1:$I$89,3,0)*0.475*44/12</f>
        <v>#N/A</v>
      </c>
      <c r="BS23" s="24" t="e">
        <f t="shared" si="9"/>
        <v>#N/A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3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10.373999999999999</v>
      </c>
      <c r="D24" s="12">
        <f t="shared" si="32"/>
        <v>3.6411801438697711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10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108.18735549653859</v>
      </c>
      <c r="H24" s="70">
        <f t="shared" si="1"/>
        <v>317.7431054172398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20</v>
      </c>
      <c r="N24" s="14">
        <f>IF('Données projet'!$A$36&gt;35,N23+M24-V23,IF(A24&lt;'Données projet'!$A$36,$K$205^A24,IF(A24='Données projet'!$A$36,'Données projet'!$B$36,N23+M24-V23)))</f>
        <v>137</v>
      </c>
      <c r="O24" s="14">
        <f>N24*VLOOKUP('Données projet'!$B$9,Paramètres!$A$1:$I$89,3,0)*VLOOKUP('Données projet'!$B$9,Paramètres!$A$1:$I$89,5,0)</f>
        <v>81.926000000000002</v>
      </c>
      <c r="P24" s="14">
        <f t="shared" si="33"/>
        <v>22.607447146245146</v>
      </c>
      <c r="Q24" s="22">
        <f t="shared" si="2"/>
        <v>182.06242044637693</v>
      </c>
      <c r="R24" s="62">
        <f t="shared" si="0"/>
        <v>475.39575377971028</v>
      </c>
      <c r="S24" s="62">
        <f ca="1">AVERAGE(OFFSET($R$3,0,0,'Données projet'!$E$9+1,1))-AVERAGE(OFFSET($H$3,0,0,'Données projet'!$E$9+1,1))</f>
        <v>255.1976414275677</v>
      </c>
      <c r="T24" s="62">
        <f t="shared" si="34"/>
        <v>266.42714758321767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2.3798528779745425</v>
      </c>
      <c r="AA24" s="23">
        <f>EXP(-LN(2)/25)*AA23+(1-EXP(-LN(2)/25))/(LN(2)/25)*Calculateur!V24*Calculateur!X24*VLOOKUP('Données projet'!$B$9,Paramètres!$A$1:$I$89,3,0)*0.475*44/12</f>
        <v>6.6231098800224784</v>
      </c>
      <c r="AB24" s="23">
        <f>EXP(-LN(2)/2)*AB23+(1-EXP(-LN(2)/2))/(LN(2)/2)*V24*Y24*VLOOKUP('Données projet'!$B$9,Paramètres!$A$1:$I$89,3,0)*0.475*44/12</f>
        <v>9.9343584573478267</v>
      </c>
      <c r="AC24" s="24">
        <f t="shared" si="3"/>
        <v>18.937321215344848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0</v>
      </c>
      <c r="AI24" s="14">
        <f>IF('Données projet'!$A$62&gt;35,AI23+AH24-AQ23,IF(A24&lt;'Données projet'!$A$62,$AF$205^A24,IF(A24='Données projet'!$A$62,'Données projet'!$B$62,AI23+AH24-AQ23)))</f>
        <v>0</v>
      </c>
      <c r="AJ24" s="14" t="e">
        <f>AI24*VLOOKUP('Données projet'!$B$10,Paramètres!$A$1:$I$89,3,0)*VLOOKUP('Données projet'!$B$10,Paramètres!$A$1:$I$89,5,0)</f>
        <v>#N/A</v>
      </c>
      <c r="AK24" s="14" t="e">
        <f t="shared" si="35"/>
        <v>#N/A</v>
      </c>
      <c r="AL24" s="22" t="e">
        <f t="shared" si="4"/>
        <v>#N/A</v>
      </c>
      <c r="AM24" s="62" t="e">
        <f t="shared" si="5"/>
        <v>#N/A</v>
      </c>
      <c r="AN24" s="62" t="e">
        <f ca="1">AVERAGE(OFFSET($AM$3,0,0,'Données projet'!$E$10+1,1))-AVERAGE(OFFSET($H$3,0,0,'Données projet'!$E$10+1,1))</f>
        <v>#N/A</v>
      </c>
      <c r="AO24" s="62" t="e">
        <f t="shared" si="36"/>
        <v>#N/A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 t="e">
        <f>EXP(-LN(2)/35)*AU23+(1-EXP(-LN(2)/35))/(LN(2)/35)*AQ24*AR24*VLOOKUP('Données projet'!$B$10,Paramètres!$A$1:$I$89,3,0)*0.475*44/12</f>
        <v>#N/A</v>
      </c>
      <c r="AV24" s="23" t="e">
        <f>EXP(-LN(2)/25)*AV23+(1-EXP(-LN(2)/25))/(LN(2)/25)*Calculateur!AQ24*Calculateur!AS24*VLOOKUP('Données projet'!$B$10,Paramètres!$A$1:$I$89,3,0)*0.475*44/12</f>
        <v>#N/A</v>
      </c>
      <c r="AW24" s="23" t="e">
        <f>EXP(-LN(2)/2)*AW23+(1-EXP(-LN(2)/2))/(LN(2)/2)*AQ24*AT24*VLOOKUP('Données projet'!$B$10,Paramètres!$A$1:$I$89,3,0)*0.475*44/12</f>
        <v>#N/A</v>
      </c>
      <c r="AX24" s="23" t="e">
        <f t="shared" si="6"/>
        <v>#N/A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0</v>
      </c>
      <c r="BD24" s="13">
        <f>IF('Données projet'!$A$88&gt;35,BD23+BC24-BL23,IF(A24&lt;'Données projet'!$A$88,$BA$205^A24,IF(A24='Données projet'!$A$88,'Données projet'!$B$88,BD23+BC24-BL23)))</f>
        <v>0</v>
      </c>
      <c r="BE24" s="14" t="e">
        <f>BD24*VLOOKUP('Données projet'!$B$11,Paramètres!$A$1:$I$89,3,0)*VLOOKUP('Données projet'!$B$11,Paramètres!$A$1:$I$89,5,0)</f>
        <v>#N/A</v>
      </c>
      <c r="BF24" s="14" t="e">
        <f t="shared" si="37"/>
        <v>#N/A</v>
      </c>
      <c r="BG24" s="22" t="e">
        <f t="shared" si="7"/>
        <v>#N/A</v>
      </c>
      <c r="BH24" s="62" t="e">
        <f t="shared" si="8"/>
        <v>#N/A</v>
      </c>
      <c r="BI24" s="62" t="e">
        <f ca="1">AVERAGE(OFFSET($BH$3,0,0,'Données projet'!$E$11+1,1))-AVERAGE(OFFSET($H$3,0,0,'Données projet'!$E$11+1,1))</f>
        <v>#N/A</v>
      </c>
      <c r="BJ24" s="62" t="e">
        <f t="shared" si="38"/>
        <v>#N/A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 t="e">
        <f>EXP(-LN(2)/35)*BP23+(1-EXP(-LN(2)/35))/(LN(2)/35)*BL24*BM24*VLOOKUP('Données projet'!$B$11,Paramètres!$A$1:$I$89,3,0)*0.475*44/12</f>
        <v>#N/A</v>
      </c>
      <c r="BQ24" s="23" t="e">
        <f>EXP(-LN(2)/25)*BQ23+(1-EXP(-LN(2)/25))/(LN(2)/25)*Calculateur!BL24*Calculateur!BN24*VLOOKUP('Données projet'!$B$11,Paramètres!$A$1:$I$89,3,0)*0.475*44/12</f>
        <v>#N/A</v>
      </c>
      <c r="BR24" s="23" t="e">
        <f>EXP(-LN(2)/2)*BR23+(1-EXP(-LN(2)/2))/(LN(2)/2)*BL24*BO24*VLOOKUP('Données projet'!$B$11,Paramètres!$A$1:$I$89,3,0)*0.475*44/12</f>
        <v>#N/A</v>
      </c>
      <c r="BS24" s="24" t="e">
        <f t="shared" si="9"/>
        <v>#N/A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3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10.867999999999999</v>
      </c>
      <c r="D25" s="12">
        <f t="shared" si="32"/>
        <v>3.7939698710293386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10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113.18011830268262</v>
      </c>
      <c r="H25" s="70">
        <f t="shared" si="1"/>
        <v>318.86959752537609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20</v>
      </c>
      <c r="N25" s="14">
        <f>IF('Données projet'!$A$36&gt;35,N24+M25-V24,IF(A25&lt;'Données projet'!$A$36,$K$205^A25,IF(A25='Données projet'!$A$36,'Données projet'!$B$36,N24+M25-V24)))</f>
        <v>157</v>
      </c>
      <c r="O25" s="14">
        <f>N25*VLOOKUP('Données projet'!$B$9,Paramètres!$A$1:$I$89,3,0)*VLOOKUP('Données projet'!$B$9,Paramètres!$A$1:$I$89,5,0)</f>
        <v>93.885999999999996</v>
      </c>
      <c r="P25" s="14">
        <f t="shared" si="33"/>
        <v>25.500116461916402</v>
      </c>
      <c r="Q25" s="22">
        <f t="shared" si="2"/>
        <v>207.9308195045044</v>
      </c>
      <c r="R25" s="62">
        <f t="shared" si="0"/>
        <v>501.26415283783774</v>
      </c>
      <c r="S25" s="62">
        <f ca="1">AVERAGE(OFFSET($R$3,0,0,'Données projet'!$E$9+1,1))-AVERAGE(OFFSET($H$3,0,0,'Données projet'!$E$9+1,1))</f>
        <v>255.1976414275677</v>
      </c>
      <c r="T25" s="62">
        <f t="shared" si="34"/>
        <v>266.42714758321767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2.3331854146043871</v>
      </c>
      <c r="AA25" s="23">
        <f>EXP(-LN(2)/25)*AA24+(1-EXP(-LN(2)/25))/(LN(2)/25)*Calculateur!V25*Calculateur!X25*VLOOKUP('Données projet'!$B$9,Paramètres!$A$1:$I$89,3,0)*0.475*44/12</f>
        <v>6.4420005920590526</v>
      </c>
      <c r="AB25" s="23">
        <f>EXP(-LN(2)/2)*AB24+(1-EXP(-LN(2)/2))/(LN(2)/2)*V25*Y25*VLOOKUP('Données projet'!$B$9,Paramètres!$A$1:$I$89,3,0)*0.475*44/12</f>
        <v>7.0246522319285782</v>
      </c>
      <c r="AC25" s="24">
        <f t="shared" si="3"/>
        <v>15.799838238592017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0</v>
      </c>
      <c r="AI25" s="14">
        <f>IF('Données projet'!$A$62&gt;35,AI24+AH25-AQ24,IF(A25&lt;'Données projet'!$A$62,$AF$205^A25,IF(A25='Données projet'!$A$62,'Données projet'!$B$62,AI24+AH25-AQ24)))</f>
        <v>0</v>
      </c>
      <c r="AJ25" s="14" t="e">
        <f>AI25*VLOOKUP('Données projet'!$B$10,Paramètres!$A$1:$I$89,3,0)*VLOOKUP('Données projet'!$B$10,Paramètres!$A$1:$I$89,5,0)</f>
        <v>#N/A</v>
      </c>
      <c r="AK25" s="14" t="e">
        <f t="shared" si="35"/>
        <v>#N/A</v>
      </c>
      <c r="AL25" s="22" t="e">
        <f t="shared" si="4"/>
        <v>#N/A</v>
      </c>
      <c r="AM25" s="62" t="e">
        <f t="shared" si="5"/>
        <v>#N/A</v>
      </c>
      <c r="AN25" s="62" t="e">
        <f ca="1">AVERAGE(OFFSET($AM$3,0,0,'Données projet'!$E$10+1,1))-AVERAGE(OFFSET($H$3,0,0,'Données projet'!$E$10+1,1))</f>
        <v>#N/A</v>
      </c>
      <c r="AO25" s="62" t="e">
        <f t="shared" si="36"/>
        <v>#N/A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 t="e">
        <f>EXP(-LN(2)/35)*AU24+(1-EXP(-LN(2)/35))/(LN(2)/35)*AQ25*AR25*VLOOKUP('Données projet'!$B$10,Paramètres!$A$1:$I$89,3,0)*0.475*44/12</f>
        <v>#N/A</v>
      </c>
      <c r="AV25" s="23" t="e">
        <f>EXP(-LN(2)/25)*AV24+(1-EXP(-LN(2)/25))/(LN(2)/25)*Calculateur!AQ25*Calculateur!AS25*VLOOKUP('Données projet'!$B$10,Paramètres!$A$1:$I$89,3,0)*0.475*44/12</f>
        <v>#N/A</v>
      </c>
      <c r="AW25" s="23" t="e">
        <f>EXP(-LN(2)/2)*AW24+(1-EXP(-LN(2)/2))/(LN(2)/2)*AQ25*AT25*VLOOKUP('Données projet'!$B$10,Paramètres!$A$1:$I$89,3,0)*0.475*44/12</f>
        <v>#N/A</v>
      </c>
      <c r="AX25" s="23" t="e">
        <f t="shared" si="6"/>
        <v>#N/A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0</v>
      </c>
      <c r="BD25" s="13">
        <f>IF('Données projet'!$A$88&gt;35,BD24+BC25-BL24,IF(A25&lt;'Données projet'!$A$88,$BA$205^A25,IF(A25='Données projet'!$A$88,'Données projet'!$B$88,BD24+BC25-BL24)))</f>
        <v>0</v>
      </c>
      <c r="BE25" s="14" t="e">
        <f>BD25*VLOOKUP('Données projet'!$B$11,Paramètres!$A$1:$I$89,3,0)*VLOOKUP('Données projet'!$B$11,Paramètres!$A$1:$I$89,5,0)</f>
        <v>#N/A</v>
      </c>
      <c r="BF25" s="14" t="e">
        <f t="shared" si="37"/>
        <v>#N/A</v>
      </c>
      <c r="BG25" s="22" t="e">
        <f t="shared" si="7"/>
        <v>#N/A</v>
      </c>
      <c r="BH25" s="62" t="e">
        <f t="shared" si="8"/>
        <v>#N/A</v>
      </c>
      <c r="BI25" s="62" t="e">
        <f ca="1">AVERAGE(OFFSET($BH$3,0,0,'Données projet'!$E$11+1,1))-AVERAGE(OFFSET($H$3,0,0,'Données projet'!$E$11+1,1))</f>
        <v>#N/A</v>
      </c>
      <c r="BJ25" s="62" t="e">
        <f t="shared" si="38"/>
        <v>#N/A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 t="e">
        <f>EXP(-LN(2)/35)*BP24+(1-EXP(-LN(2)/35))/(LN(2)/35)*BL25*BM25*VLOOKUP('Données projet'!$B$11,Paramètres!$A$1:$I$89,3,0)*0.475*44/12</f>
        <v>#N/A</v>
      </c>
      <c r="BQ25" s="23" t="e">
        <f>EXP(-LN(2)/25)*BQ24+(1-EXP(-LN(2)/25))/(LN(2)/25)*Calculateur!BL25*Calculateur!BN25*VLOOKUP('Données projet'!$B$11,Paramètres!$A$1:$I$89,3,0)*0.475*44/12</f>
        <v>#N/A</v>
      </c>
      <c r="BR25" s="23" t="e">
        <f>EXP(-LN(2)/2)*BR24+(1-EXP(-LN(2)/2))/(LN(2)/2)*BL25*BO25*VLOOKUP('Données projet'!$B$11,Paramètres!$A$1:$I$89,3,0)*0.475*44/12</f>
        <v>#N/A</v>
      </c>
      <c r="BS25" s="24" t="e">
        <f t="shared" si="9"/>
        <v>#N/A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3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11.361999999999998</v>
      </c>
      <c r="D26" s="12">
        <f t="shared" si="32"/>
        <v>3.945953043168259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10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118.16665507007077</v>
      </c>
      <c r="H26" s="70">
        <f t="shared" si="1"/>
        <v>319.994684883518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20</v>
      </c>
      <c r="N26" s="14">
        <f>IF('Données projet'!$A$36&gt;35,N25+M26-V25,IF(A26&lt;'Données projet'!$A$36,$K$205^A26,IF(A26='Données projet'!$A$36,'Données projet'!$B$36,N25+M26-V25)))</f>
        <v>177</v>
      </c>
      <c r="O26" s="14">
        <f>N26*VLOOKUP('Données projet'!$B$9,Paramètres!$A$1:$I$89,3,0)*VLOOKUP('Données projet'!$B$9,Paramètres!$A$1:$I$89,5,0)</f>
        <v>105.846</v>
      </c>
      <c r="P26" s="14">
        <f t="shared" si="33"/>
        <v>28.350087862757704</v>
      </c>
      <c r="Q26" s="22">
        <f t="shared" si="2"/>
        <v>233.72485302763633</v>
      </c>
      <c r="R26" s="62">
        <f t="shared" si="0"/>
        <v>527.05818636096967</v>
      </c>
      <c r="S26" s="62">
        <f ca="1">AVERAGE(OFFSET($R$3,0,0,'Données projet'!$E$9+1,1))-AVERAGE(OFFSET($H$3,0,0,'Données projet'!$E$9+1,1))</f>
        <v>255.1976414275677</v>
      </c>
      <c r="T26" s="62">
        <f t="shared" si="34"/>
        <v>266.42714758321767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2.2874330717265781</v>
      </c>
      <c r="AA26" s="23">
        <f>EXP(-LN(2)/25)*AA25+(1-EXP(-LN(2)/25))/(LN(2)/25)*Calculateur!V26*Calculateur!X26*VLOOKUP('Données projet'!$B$9,Paramètres!$A$1:$I$89,3,0)*0.475*44/12</f>
        <v>6.26584374709911</v>
      </c>
      <c r="AB26" s="23">
        <f>EXP(-LN(2)/2)*AB25+(1-EXP(-LN(2)/2))/(LN(2)/2)*V26*Y26*VLOOKUP('Données projet'!$B$9,Paramètres!$A$1:$I$89,3,0)*0.475*44/12</f>
        <v>4.9671792286739143</v>
      </c>
      <c r="AC26" s="24">
        <f t="shared" si="3"/>
        <v>13.520456047499604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0</v>
      </c>
      <c r="AI26" s="14">
        <f>IF('Données projet'!$A$62&gt;35,AI25+AH26-AQ25,IF(A26&lt;'Données projet'!$A$62,$AF$205^A26,IF(A26='Données projet'!$A$62,'Données projet'!$B$62,AI25+AH26-AQ25)))</f>
        <v>0</v>
      </c>
      <c r="AJ26" s="14" t="e">
        <f>AI26*VLOOKUP('Données projet'!$B$10,Paramètres!$A$1:$I$89,3,0)*VLOOKUP('Données projet'!$B$10,Paramètres!$A$1:$I$89,5,0)</f>
        <v>#N/A</v>
      </c>
      <c r="AK26" s="14" t="e">
        <f t="shared" si="35"/>
        <v>#N/A</v>
      </c>
      <c r="AL26" s="22" t="e">
        <f t="shared" si="4"/>
        <v>#N/A</v>
      </c>
      <c r="AM26" s="62" t="e">
        <f t="shared" si="5"/>
        <v>#N/A</v>
      </c>
      <c r="AN26" s="62" t="e">
        <f ca="1">AVERAGE(OFFSET($AM$3,0,0,'Données projet'!$E$10+1,1))-AVERAGE(OFFSET($H$3,0,0,'Données projet'!$E$10+1,1))</f>
        <v>#N/A</v>
      </c>
      <c r="AO26" s="62" t="e">
        <f t="shared" si="36"/>
        <v>#N/A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 t="e">
        <f>EXP(-LN(2)/35)*AU25+(1-EXP(-LN(2)/35))/(LN(2)/35)*AQ26*AR26*VLOOKUP('Données projet'!$B$10,Paramètres!$A$1:$I$89,3,0)*0.475*44/12</f>
        <v>#N/A</v>
      </c>
      <c r="AV26" s="23" t="e">
        <f>EXP(-LN(2)/25)*AV25+(1-EXP(-LN(2)/25))/(LN(2)/25)*Calculateur!AQ26*Calculateur!AS26*VLOOKUP('Données projet'!$B$10,Paramètres!$A$1:$I$89,3,0)*0.475*44/12</f>
        <v>#N/A</v>
      </c>
      <c r="AW26" s="23" t="e">
        <f>EXP(-LN(2)/2)*AW25+(1-EXP(-LN(2)/2))/(LN(2)/2)*AQ26*AT26*VLOOKUP('Données projet'!$B$10,Paramètres!$A$1:$I$89,3,0)*0.475*44/12</f>
        <v>#N/A</v>
      </c>
      <c r="AX26" s="23" t="e">
        <f t="shared" si="6"/>
        <v>#N/A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0</v>
      </c>
      <c r="BD26" s="13">
        <f>IF('Données projet'!$A$88&gt;35,BD25+BC26-BL25,IF(A26&lt;'Données projet'!$A$88,$BA$205^A26,IF(A26='Données projet'!$A$88,'Données projet'!$B$88,BD25+BC26-BL25)))</f>
        <v>0</v>
      </c>
      <c r="BE26" s="14" t="e">
        <f>BD26*VLOOKUP('Données projet'!$B$11,Paramètres!$A$1:$I$89,3,0)*VLOOKUP('Données projet'!$B$11,Paramètres!$A$1:$I$89,5,0)</f>
        <v>#N/A</v>
      </c>
      <c r="BF26" s="14" t="e">
        <f t="shared" si="37"/>
        <v>#N/A</v>
      </c>
      <c r="BG26" s="22" t="e">
        <f t="shared" si="7"/>
        <v>#N/A</v>
      </c>
      <c r="BH26" s="62" t="e">
        <f t="shared" si="8"/>
        <v>#N/A</v>
      </c>
      <c r="BI26" s="62" t="e">
        <f ca="1">AVERAGE(OFFSET($BH$3,0,0,'Données projet'!$E$11+1,1))-AVERAGE(OFFSET($H$3,0,0,'Données projet'!$E$11+1,1))</f>
        <v>#N/A</v>
      </c>
      <c r="BJ26" s="62" t="e">
        <f t="shared" si="38"/>
        <v>#N/A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 t="e">
        <f>EXP(-LN(2)/35)*BP25+(1-EXP(-LN(2)/35))/(LN(2)/35)*BL26*BM26*VLOOKUP('Données projet'!$B$11,Paramètres!$A$1:$I$89,3,0)*0.475*44/12</f>
        <v>#N/A</v>
      </c>
      <c r="BQ26" s="23" t="e">
        <f>EXP(-LN(2)/25)*BQ25+(1-EXP(-LN(2)/25))/(LN(2)/25)*Calculateur!BL26*Calculateur!BN26*VLOOKUP('Données projet'!$B$11,Paramètres!$A$1:$I$89,3,0)*0.475*44/12</f>
        <v>#N/A</v>
      </c>
      <c r="BR26" s="23" t="e">
        <f>EXP(-LN(2)/2)*BR25+(1-EXP(-LN(2)/2))/(LN(2)/2)*BL26*BO26*VLOOKUP('Données projet'!$B$11,Paramètres!$A$1:$I$89,3,0)*0.475*44/12</f>
        <v>#N/A</v>
      </c>
      <c r="BS26" s="24" t="e">
        <f t="shared" si="9"/>
        <v>#N/A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3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11.855999999999998</v>
      </c>
      <c r="D27" s="12">
        <f t="shared" si="32"/>
        <v>4.0971687359996993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10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123.14726743578713</v>
      </c>
      <c r="H27" s="70">
        <f t="shared" si="1"/>
        <v>321.11843554853277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3">
        <f>VLOOKUP(A27,'Données projet'!$A$35:$I$55,2,0)</f>
        <v>197</v>
      </c>
      <c r="L27" s="13">
        <f>VLOOKUP(A27,'Données projet'!$A$35:$I$55,9,0)</f>
        <v>20</v>
      </c>
      <c r="M27" s="13">
        <f t="array" ref="M27">INDEX(L:L,MIN(IF(ISNUMBER(L27:L223),ROW(L27:L223),"")))</f>
        <v>20</v>
      </c>
      <c r="N27" s="14">
        <f>IF('Données projet'!$A$36&gt;35,N26+M27-V26,IF(A27&lt;'Données projet'!$A$36,$K$205^A27,IF(A27='Données projet'!$A$36,'Données projet'!$B$36,N26+M27-V26)))</f>
        <v>197</v>
      </c>
      <c r="O27" s="14">
        <f>N27*VLOOKUP('Données projet'!$B$9,Paramètres!$A$1:$I$89,3,0)*VLOOKUP('Données projet'!$B$9,Paramètres!$A$1:$I$89,5,0)</f>
        <v>117.80600000000001</v>
      </c>
      <c r="P27" s="14">
        <f t="shared" si="33"/>
        <v>31.162736572430632</v>
      </c>
      <c r="Q27" s="22">
        <f t="shared" si="2"/>
        <v>259.45388286365005</v>
      </c>
      <c r="R27" s="62">
        <f t="shared" si="0"/>
        <v>552.78721619698331</v>
      </c>
      <c r="S27" s="62">
        <f ca="1">AVERAGE(OFFSET($R$3,0,0,'Données projet'!$E$9+1,1))-AVERAGE(OFFSET($H$3,0,0,'Données projet'!$E$9+1,1))</f>
        <v>255.1976414275677</v>
      </c>
      <c r="T27" s="62">
        <f t="shared" si="34"/>
        <v>266.42714758321767</v>
      </c>
      <c r="U27" s="16">
        <f>IF(ISNA(VLOOKUP(A27,'Données projet'!$A$35:$I$55,3,0)),0,VLOOKUP(A27,'Données projet'!$A$35:$I$55,3,0))</f>
        <v>3</v>
      </c>
      <c r="V27" s="16">
        <f>IF(ISNA(VLOOKUP(A27,'Données projet'!$A$35:$I$55,4,0)),0,VLOOKUP(A27,'Données projet'!$A$35:$I$55,4,0))</f>
        <v>43</v>
      </c>
      <c r="W27" s="17">
        <f>IF(ISNA(VLOOKUP(A27,'Données projet'!$A$35:$I$55,5,0)),0%,VLOOKUP(A27,'Données projet'!$A$35:$I$55,5,0)*VLOOKUP('Données projet'!$B$9,Paramètres!$A$1:$I$89,7,0))</f>
        <v>0.13500000000000001</v>
      </c>
      <c r="X27" s="17">
        <f>IF(ISNA(VLOOKUP(A27,'Données projet'!$A$35:$I$55,6,0)),0%,VLOOKUP(A27,'Données projet'!$A$35:$I$55,6,0)*VLOOKUP('Données projet'!$B$9,Paramètres!$A$1:$I$89,7,0))</f>
        <v>0.13500000000000001</v>
      </c>
      <c r="Y27" s="17">
        <f>IF(ISNA(VLOOKUP(A27,'Données projet'!$A$35:$I$55,7,0)),0%,VLOOKUP(A27,'Données projet'!$A$35:$I$55,7,0))</f>
        <v>0.4</v>
      </c>
      <c r="Z27" s="23">
        <f>EXP(-LN(2)/35)*Z26+(1-EXP(-LN(2)/35))/(LN(2)/35)*V27*W27*VLOOKUP('Données projet'!$B$9,Paramètres!$A$1:$I$89,3,0)*0.475*44/12</f>
        <v>6.8476004893546945</v>
      </c>
      <c r="AA27" s="23">
        <f>EXP(-LN(2)/25)*AA26+(1-EXP(-LN(2)/25))/(LN(2)/25)*Calculateur!V27*Calculateur!X27*VLOOKUP('Données projet'!$B$9,Paramètres!$A$1:$I$89,3,0)*0.475*44/12</f>
        <v>10.681394776728361</v>
      </c>
      <c r="AB27" s="23">
        <f>EXP(-LN(2)/2)*AB26+(1-EXP(-LN(2)/2))/(LN(2)/2)*V27*Y27*VLOOKUP('Données projet'!$B$9,Paramètres!$A$1:$I$89,3,0)*0.475*44/12</f>
        <v>15.158014635402509</v>
      </c>
      <c r="AC27" s="24">
        <f t="shared" si="3"/>
        <v>32.687009901485567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0</v>
      </c>
      <c r="AI27" s="14">
        <f>IF('Données projet'!$A$62&gt;35,AI26+AH27-AQ26,IF(A27&lt;'Données projet'!$A$62,$AF$205^A27,IF(A27='Données projet'!$A$62,'Données projet'!$B$62,AI26+AH27-AQ26)))</f>
        <v>0</v>
      </c>
      <c r="AJ27" s="14" t="e">
        <f>AI27*VLOOKUP('Données projet'!$B$10,Paramètres!$A$1:$I$89,3,0)*VLOOKUP('Données projet'!$B$10,Paramètres!$A$1:$I$89,5,0)</f>
        <v>#N/A</v>
      </c>
      <c r="AK27" s="14" t="e">
        <f t="shared" si="35"/>
        <v>#N/A</v>
      </c>
      <c r="AL27" s="22" t="e">
        <f t="shared" si="4"/>
        <v>#N/A</v>
      </c>
      <c r="AM27" s="62" t="e">
        <f t="shared" si="5"/>
        <v>#N/A</v>
      </c>
      <c r="AN27" s="62" t="e">
        <f ca="1">AVERAGE(OFFSET($AM$3,0,0,'Données projet'!$E$10+1,1))-AVERAGE(OFFSET($H$3,0,0,'Données projet'!$E$10+1,1))</f>
        <v>#N/A</v>
      </c>
      <c r="AO27" s="62" t="e">
        <f t="shared" si="36"/>
        <v>#N/A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 t="e">
        <f>EXP(-LN(2)/35)*AU26+(1-EXP(-LN(2)/35))/(LN(2)/35)*AQ27*AR27*VLOOKUP('Données projet'!$B$10,Paramètres!$A$1:$I$89,3,0)*0.475*44/12</f>
        <v>#N/A</v>
      </c>
      <c r="AV27" s="23" t="e">
        <f>EXP(-LN(2)/25)*AV26+(1-EXP(-LN(2)/25))/(LN(2)/25)*Calculateur!AQ27*Calculateur!AS27*VLOOKUP('Données projet'!$B$10,Paramètres!$A$1:$I$89,3,0)*0.475*44/12</f>
        <v>#N/A</v>
      </c>
      <c r="AW27" s="23" t="e">
        <f>EXP(-LN(2)/2)*AW26+(1-EXP(-LN(2)/2))/(LN(2)/2)*AQ27*AT27*VLOOKUP('Données projet'!$B$10,Paramètres!$A$1:$I$89,3,0)*0.475*44/12</f>
        <v>#N/A</v>
      </c>
      <c r="AX27" s="23" t="e">
        <f t="shared" si="6"/>
        <v>#N/A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0</v>
      </c>
      <c r="BD27" s="13">
        <f>IF('Données projet'!$A$88&gt;35,BD26+BC27-BL26,IF(A27&lt;'Données projet'!$A$88,$BA$205^A27,IF(A27='Données projet'!$A$88,'Données projet'!$B$88,BD26+BC27-BL26)))</f>
        <v>0</v>
      </c>
      <c r="BE27" s="14" t="e">
        <f>BD27*VLOOKUP('Données projet'!$B$11,Paramètres!$A$1:$I$89,3,0)*VLOOKUP('Données projet'!$B$11,Paramètres!$A$1:$I$89,5,0)</f>
        <v>#N/A</v>
      </c>
      <c r="BF27" s="14" t="e">
        <f t="shared" si="37"/>
        <v>#N/A</v>
      </c>
      <c r="BG27" s="22" t="e">
        <f t="shared" si="7"/>
        <v>#N/A</v>
      </c>
      <c r="BH27" s="62" t="e">
        <f t="shared" si="8"/>
        <v>#N/A</v>
      </c>
      <c r="BI27" s="62" t="e">
        <f ca="1">AVERAGE(OFFSET($BH$3,0,0,'Données projet'!$E$11+1,1))-AVERAGE(OFFSET($H$3,0,0,'Données projet'!$E$11+1,1))</f>
        <v>#N/A</v>
      </c>
      <c r="BJ27" s="62" t="e">
        <f t="shared" si="38"/>
        <v>#N/A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 t="e">
        <f>EXP(-LN(2)/35)*BP26+(1-EXP(-LN(2)/35))/(LN(2)/35)*BL27*BM27*VLOOKUP('Données projet'!$B$11,Paramètres!$A$1:$I$89,3,0)*0.475*44/12</f>
        <v>#N/A</v>
      </c>
      <c r="BQ27" s="23" t="e">
        <f>EXP(-LN(2)/25)*BQ26+(1-EXP(-LN(2)/25))/(LN(2)/25)*Calculateur!BL27*Calculateur!BN27*VLOOKUP('Données projet'!$B$11,Paramètres!$A$1:$I$89,3,0)*0.475*44/12</f>
        <v>#N/A</v>
      </c>
      <c r="BR27" s="23" t="e">
        <f>EXP(-LN(2)/2)*BR26+(1-EXP(-LN(2)/2))/(LN(2)/2)*BL27*BO27*VLOOKUP('Données projet'!$B$11,Paramètres!$A$1:$I$89,3,0)*0.475*44/12</f>
        <v>#N/A</v>
      </c>
      <c r="BS27" s="24" t="e">
        <f t="shared" si="9"/>
        <v>#N/A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3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12.349999999999998</v>
      </c>
      <c r="D28" s="12">
        <f t="shared" si="32"/>
        <v>4.2476525846986481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10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128.12223047837551</v>
      </c>
      <c r="H28" s="70">
        <f t="shared" si="1"/>
        <v>322.24091158501676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19.75</v>
      </c>
      <c r="N28" s="14">
        <f>IF('Données projet'!$A$36&gt;35,N27+M28-V27,IF(A28&lt;'Données projet'!$A$36,$K$205^A28,IF(A28='Données projet'!$A$36,'Données projet'!$B$36,N27+M28-V27)))</f>
        <v>173.75</v>
      </c>
      <c r="O28" s="14">
        <f>N28*VLOOKUP('Données projet'!$B$9,Paramètres!$A$1:$I$89,3,0)*VLOOKUP('Données projet'!$B$9,Paramètres!$A$1:$I$89,5,0)</f>
        <v>103.9025</v>
      </c>
      <c r="P28" s="14">
        <f t="shared" si="33"/>
        <v>27.889632783106542</v>
      </c>
      <c r="Q28" s="22">
        <f t="shared" si="2"/>
        <v>229.5379645972439</v>
      </c>
      <c r="R28" s="62">
        <f t="shared" si="0"/>
        <v>522.87129793057716</v>
      </c>
      <c r="S28" s="62">
        <f ca="1">AVERAGE(OFFSET($R$3,0,0,'Données projet'!$E$9+1,1))-AVERAGE(OFFSET($H$3,0,0,'Données projet'!$E$9+1,1))</f>
        <v>255.1976414275677</v>
      </c>
      <c r="T28" s="62">
        <f t="shared" si="34"/>
        <v>266.42714758321767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6.7133232203823399</v>
      </c>
      <c r="AA28" s="23">
        <f>EXP(-LN(2)/25)*AA27+(1-EXP(-LN(2)/25))/(LN(2)/25)*Calculateur!V28*Calculateur!X28*VLOOKUP('Données projet'!$B$9,Paramètres!$A$1:$I$89,3,0)*0.475*44/12</f>
        <v>10.389311474848585</v>
      </c>
      <c r="AB28" s="23">
        <f>EXP(-LN(2)/2)*AB27+(1-EXP(-LN(2)/2))/(LN(2)/2)*V28*Y28*VLOOKUP('Données projet'!$B$9,Paramètres!$A$1:$I$89,3,0)*0.475*44/12</f>
        <v>10.718334938018048</v>
      </c>
      <c r="AC28" s="24">
        <f t="shared" si="3"/>
        <v>27.820969633248971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0</v>
      </c>
      <c r="AI28" s="14">
        <f>IF('Données projet'!$A$62&gt;35,AI27+AH28-AQ27,IF(A28&lt;'Données projet'!$A$62,$AF$205^A28,IF(A28='Données projet'!$A$62,'Données projet'!$B$62,AI27+AH28-AQ27)))</f>
        <v>0</v>
      </c>
      <c r="AJ28" s="14" t="e">
        <f>AI28*VLOOKUP('Données projet'!$B$10,Paramètres!$A$1:$I$89,3,0)*VLOOKUP('Données projet'!$B$10,Paramètres!$A$1:$I$89,5,0)</f>
        <v>#N/A</v>
      </c>
      <c r="AK28" s="14" t="e">
        <f t="shared" si="35"/>
        <v>#N/A</v>
      </c>
      <c r="AL28" s="22" t="e">
        <f t="shared" si="4"/>
        <v>#N/A</v>
      </c>
      <c r="AM28" s="62" t="e">
        <f t="shared" si="5"/>
        <v>#N/A</v>
      </c>
      <c r="AN28" s="62" t="e">
        <f ca="1">AVERAGE(OFFSET($AM$3,0,0,'Données projet'!$E$10+1,1))-AVERAGE(OFFSET($H$3,0,0,'Données projet'!$E$10+1,1))</f>
        <v>#N/A</v>
      </c>
      <c r="AO28" s="62" t="e">
        <f t="shared" si="36"/>
        <v>#N/A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 t="e">
        <f>EXP(-LN(2)/35)*AU27+(1-EXP(-LN(2)/35))/(LN(2)/35)*AQ28*AR28*VLOOKUP('Données projet'!$B$10,Paramètres!$A$1:$I$89,3,0)*0.475*44/12</f>
        <v>#N/A</v>
      </c>
      <c r="AV28" s="23" t="e">
        <f>EXP(-LN(2)/25)*AV27+(1-EXP(-LN(2)/25))/(LN(2)/25)*Calculateur!AQ28*Calculateur!AS28*VLOOKUP('Données projet'!$B$10,Paramètres!$A$1:$I$89,3,0)*0.475*44/12</f>
        <v>#N/A</v>
      </c>
      <c r="AW28" s="23" t="e">
        <f>EXP(-LN(2)/2)*AW27+(1-EXP(-LN(2)/2))/(LN(2)/2)*AQ28*AT28*VLOOKUP('Données projet'!$B$10,Paramètres!$A$1:$I$89,3,0)*0.475*44/12</f>
        <v>#N/A</v>
      </c>
      <c r="AX28" s="23" t="e">
        <f t="shared" si="6"/>
        <v>#N/A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0</v>
      </c>
      <c r="BD28" s="13">
        <f>IF('Données projet'!$A$88&gt;35,BD27+BC28-BL27,IF(A28&lt;'Données projet'!$A$88,$BA$205^A28,IF(A28='Données projet'!$A$88,'Données projet'!$B$88,BD27+BC28-BL27)))</f>
        <v>0</v>
      </c>
      <c r="BE28" s="14" t="e">
        <f>BD28*VLOOKUP('Données projet'!$B$11,Paramètres!$A$1:$I$89,3,0)*VLOOKUP('Données projet'!$B$11,Paramètres!$A$1:$I$89,5,0)</f>
        <v>#N/A</v>
      </c>
      <c r="BF28" s="14" t="e">
        <f t="shared" si="37"/>
        <v>#N/A</v>
      </c>
      <c r="BG28" s="22" t="e">
        <f t="shared" si="7"/>
        <v>#N/A</v>
      </c>
      <c r="BH28" s="62" t="e">
        <f t="shared" si="8"/>
        <v>#N/A</v>
      </c>
      <c r="BI28" s="62" t="e">
        <f ca="1">AVERAGE(OFFSET($BH$3,0,0,'Données projet'!$E$11+1,1))-AVERAGE(OFFSET($H$3,0,0,'Données projet'!$E$11+1,1))</f>
        <v>#N/A</v>
      </c>
      <c r="BJ28" s="62" t="e">
        <f t="shared" si="38"/>
        <v>#N/A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 t="e">
        <f>EXP(-LN(2)/35)*BP27+(1-EXP(-LN(2)/35))/(LN(2)/35)*BL28*BM28*VLOOKUP('Données projet'!$B$11,Paramètres!$A$1:$I$89,3,0)*0.475*44/12</f>
        <v>#N/A</v>
      </c>
      <c r="BQ28" s="23" t="e">
        <f>EXP(-LN(2)/25)*BQ27+(1-EXP(-LN(2)/25))/(LN(2)/25)*Calculateur!BL28*Calculateur!BN28*VLOOKUP('Données projet'!$B$11,Paramètres!$A$1:$I$89,3,0)*0.475*44/12</f>
        <v>#N/A</v>
      </c>
      <c r="BR28" s="23" t="e">
        <f>EXP(-LN(2)/2)*BR27+(1-EXP(-LN(2)/2))/(LN(2)/2)*BL28*BO28*VLOOKUP('Données projet'!$B$11,Paramètres!$A$1:$I$89,3,0)*0.475*44/12</f>
        <v>#N/A</v>
      </c>
      <c r="BS28" s="24" t="e">
        <f t="shared" si="9"/>
        <v>#N/A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3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12.843999999999998</v>
      </c>
      <c r="D29" s="12">
        <f t="shared" si="32"/>
        <v>4.3974372122609191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10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133.09179602447026</v>
      </c>
      <c r="H29" s="70">
        <f t="shared" si="1"/>
        <v>323.36216981135442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19.75</v>
      </c>
      <c r="N29" s="14">
        <f>IF('Données projet'!$A$36&gt;35,N28+M29-V28,IF(A29&lt;'Données projet'!$A$36,$K$205^A29,IF(A29='Données projet'!$A$36,'Données projet'!$B$36,N28+M29-V28)))</f>
        <v>193.5</v>
      </c>
      <c r="O29" s="14">
        <f>N29*VLOOKUP('Données projet'!$B$9,Paramètres!$A$1:$I$89,3,0)*VLOOKUP('Données projet'!$B$9,Paramètres!$A$1:$I$89,5,0)</f>
        <v>115.71300000000001</v>
      </c>
      <c r="P29" s="14">
        <f t="shared" si="33"/>
        <v>30.673019842466044</v>
      </c>
      <c r="Q29" s="22">
        <f t="shared" si="2"/>
        <v>254.95565122562834</v>
      </c>
      <c r="R29" s="62">
        <f t="shared" si="0"/>
        <v>548.2889845589616</v>
      </c>
      <c r="S29" s="62">
        <f ca="1">AVERAGE(OFFSET($R$3,0,0,'Données projet'!$E$9+1,1))-AVERAGE(OFFSET($H$3,0,0,'Données projet'!$E$9+1,1))</f>
        <v>255.1976414275677</v>
      </c>
      <c r="T29" s="62">
        <f t="shared" si="34"/>
        <v>266.42714758321767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6.5816790467534867</v>
      </c>
      <c r="AA29" s="23">
        <f>EXP(-LN(2)/25)*AA28+(1-EXP(-LN(2)/25))/(LN(2)/25)*Calculateur!V29*Calculateur!X29*VLOOKUP('Données projet'!$B$9,Paramètres!$A$1:$I$89,3,0)*0.475*44/12</f>
        <v>10.105215206218706</v>
      </c>
      <c r="AB29" s="23">
        <f>EXP(-LN(2)/2)*AB28+(1-EXP(-LN(2)/2))/(LN(2)/2)*V29*Y29*VLOOKUP('Données projet'!$B$9,Paramètres!$A$1:$I$89,3,0)*0.475*44/12</f>
        <v>7.5790073177012554</v>
      </c>
      <c r="AC29" s="24">
        <f t="shared" si="3"/>
        <v>24.265901570673446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0</v>
      </c>
      <c r="AI29" s="14">
        <f>IF('Données projet'!$A$62&gt;35,AI28+AH29-AQ28,IF(A29&lt;'Données projet'!$A$62,$AF$205^A29,IF(A29='Données projet'!$A$62,'Données projet'!$B$62,AI28+AH29-AQ28)))</f>
        <v>0</v>
      </c>
      <c r="AJ29" s="14" t="e">
        <f>AI29*VLOOKUP('Données projet'!$B$10,Paramètres!$A$1:$I$89,3,0)*VLOOKUP('Données projet'!$B$10,Paramètres!$A$1:$I$89,5,0)</f>
        <v>#N/A</v>
      </c>
      <c r="AK29" s="14" t="e">
        <f t="shared" si="35"/>
        <v>#N/A</v>
      </c>
      <c r="AL29" s="22" t="e">
        <f t="shared" si="4"/>
        <v>#N/A</v>
      </c>
      <c r="AM29" s="62" t="e">
        <f t="shared" si="5"/>
        <v>#N/A</v>
      </c>
      <c r="AN29" s="62" t="e">
        <f ca="1">AVERAGE(OFFSET($AM$3,0,0,'Données projet'!$E$10+1,1))-AVERAGE(OFFSET($H$3,0,0,'Données projet'!$E$10+1,1))</f>
        <v>#N/A</v>
      </c>
      <c r="AO29" s="62" t="e">
        <f t="shared" si="36"/>
        <v>#N/A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 t="e">
        <f>EXP(-LN(2)/35)*AU28+(1-EXP(-LN(2)/35))/(LN(2)/35)*AQ29*AR29*VLOOKUP('Données projet'!$B$10,Paramètres!$A$1:$I$89,3,0)*0.475*44/12</f>
        <v>#N/A</v>
      </c>
      <c r="AV29" s="23" t="e">
        <f>EXP(-LN(2)/25)*AV28+(1-EXP(-LN(2)/25))/(LN(2)/25)*Calculateur!AQ29*Calculateur!AS29*VLOOKUP('Données projet'!$B$10,Paramètres!$A$1:$I$89,3,0)*0.475*44/12</f>
        <v>#N/A</v>
      </c>
      <c r="AW29" s="23" t="e">
        <f>EXP(-LN(2)/2)*AW28+(1-EXP(-LN(2)/2))/(LN(2)/2)*AQ29*AT29*VLOOKUP('Données projet'!$B$10,Paramètres!$A$1:$I$89,3,0)*0.475*44/12</f>
        <v>#N/A</v>
      </c>
      <c r="AX29" s="23" t="e">
        <f t="shared" si="6"/>
        <v>#N/A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0</v>
      </c>
      <c r="BD29" s="13">
        <f>IF('Données projet'!$A$88&gt;35,BD28+BC29-BL28,IF(A29&lt;'Données projet'!$A$88,$BA$205^A29,IF(A29='Données projet'!$A$88,'Données projet'!$B$88,BD28+BC29-BL28)))</f>
        <v>0</v>
      </c>
      <c r="BE29" s="14" t="e">
        <f>BD29*VLOOKUP('Données projet'!$B$11,Paramètres!$A$1:$I$89,3,0)*VLOOKUP('Données projet'!$B$11,Paramètres!$A$1:$I$89,5,0)</f>
        <v>#N/A</v>
      </c>
      <c r="BF29" s="14" t="e">
        <f t="shared" si="37"/>
        <v>#N/A</v>
      </c>
      <c r="BG29" s="22" t="e">
        <f t="shared" si="7"/>
        <v>#N/A</v>
      </c>
      <c r="BH29" s="62" t="e">
        <f t="shared" si="8"/>
        <v>#N/A</v>
      </c>
      <c r="BI29" s="62" t="e">
        <f ca="1">AVERAGE(OFFSET($BH$3,0,0,'Données projet'!$E$11+1,1))-AVERAGE(OFFSET($H$3,0,0,'Données projet'!$E$11+1,1))</f>
        <v>#N/A</v>
      </c>
      <c r="BJ29" s="62" t="e">
        <f t="shared" si="38"/>
        <v>#N/A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 t="e">
        <f>EXP(-LN(2)/35)*BP28+(1-EXP(-LN(2)/35))/(LN(2)/35)*BL29*BM29*VLOOKUP('Données projet'!$B$11,Paramètres!$A$1:$I$89,3,0)*0.475*44/12</f>
        <v>#N/A</v>
      </c>
      <c r="BQ29" s="23" t="e">
        <f>EXP(-LN(2)/25)*BQ28+(1-EXP(-LN(2)/25))/(LN(2)/25)*Calculateur!BL29*Calculateur!BN29*VLOOKUP('Données projet'!$B$11,Paramètres!$A$1:$I$89,3,0)*0.475*44/12</f>
        <v>#N/A</v>
      </c>
      <c r="BR29" s="23" t="e">
        <f>EXP(-LN(2)/2)*BR28+(1-EXP(-LN(2)/2))/(LN(2)/2)*BL29*BO29*VLOOKUP('Données projet'!$B$11,Paramètres!$A$1:$I$89,3,0)*0.475*44/12</f>
        <v>#N/A</v>
      </c>
      <c r="BS29" s="24" t="e">
        <f t="shared" si="9"/>
        <v>#N/A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3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13.337999999999997</v>
      </c>
      <c r="D30" s="12">
        <f t="shared" si="32"/>
        <v>4.5465525901071517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10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138.05619543240607</v>
      </c>
      <c r="H30" s="70">
        <f t="shared" si="1"/>
        <v>324.48226242776991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19.75</v>
      </c>
      <c r="N30" s="14">
        <f>IF('Données projet'!$A$36&gt;35,N29+M30-V29,IF(A30&lt;'Données projet'!$A$36,$K$205^A30,IF(A30='Données projet'!$A$36,'Données projet'!$B$36,N29+M30-V29)))</f>
        <v>213.25</v>
      </c>
      <c r="O30" s="14">
        <f>N30*VLOOKUP('Données projet'!$B$9,Paramètres!$A$1:$I$89,3,0)*VLOOKUP('Données projet'!$B$9,Paramètres!$A$1:$I$89,5,0)</f>
        <v>127.5235</v>
      </c>
      <c r="P30" s="14">
        <f t="shared" si="33"/>
        <v>33.423473895208211</v>
      </c>
      <c r="Q30" s="22">
        <f t="shared" si="2"/>
        <v>280.31597953415428</v>
      </c>
      <c r="R30" s="62">
        <f t="shared" si="0"/>
        <v>573.64931286748765</v>
      </c>
      <c r="S30" s="62">
        <f ca="1">AVERAGE(OFFSET($R$3,0,0,'Données projet'!$E$9+1,1))-AVERAGE(OFFSET($H$3,0,0,'Données projet'!$E$9+1,1))</f>
        <v>255.1976414275677</v>
      </c>
      <c r="T30" s="62">
        <f t="shared" si="34"/>
        <v>266.42714758321767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6.4526163350744774</v>
      </c>
      <c r="AA30" s="23">
        <f>EXP(-LN(2)/25)*AA29+(1-EXP(-LN(2)/25))/(LN(2)/25)*Calculateur!V30*Calculateur!X30*VLOOKUP('Données projet'!$B$9,Paramètres!$A$1:$I$89,3,0)*0.475*44/12</f>
        <v>9.8288875649944831</v>
      </c>
      <c r="AB30" s="23">
        <f>EXP(-LN(2)/2)*AB29+(1-EXP(-LN(2)/2))/(LN(2)/2)*V30*Y30*VLOOKUP('Données projet'!$B$9,Paramètres!$A$1:$I$89,3,0)*0.475*44/12</f>
        <v>5.3591674690090247</v>
      </c>
      <c r="AC30" s="24">
        <f t="shared" si="3"/>
        <v>21.640671369077985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0</v>
      </c>
      <c r="AI30" s="14">
        <f>IF('Données projet'!$A$62&gt;35,AI29+AH30-AQ29,IF(A30&lt;'Données projet'!$A$62,$AF$205^A30,IF(A30='Données projet'!$A$62,'Données projet'!$B$62,AI29+AH30-AQ29)))</f>
        <v>0</v>
      </c>
      <c r="AJ30" s="14" t="e">
        <f>AI30*VLOOKUP('Données projet'!$B$10,Paramètres!$A$1:$I$89,3,0)*VLOOKUP('Données projet'!$B$10,Paramètres!$A$1:$I$89,5,0)</f>
        <v>#N/A</v>
      </c>
      <c r="AK30" s="14" t="e">
        <f t="shared" si="35"/>
        <v>#N/A</v>
      </c>
      <c r="AL30" s="22" t="e">
        <f t="shared" si="4"/>
        <v>#N/A</v>
      </c>
      <c r="AM30" s="62" t="e">
        <f t="shared" si="5"/>
        <v>#N/A</v>
      </c>
      <c r="AN30" s="62" t="e">
        <f ca="1">AVERAGE(OFFSET($AM$3,0,0,'Données projet'!$E$10+1,1))-AVERAGE(OFFSET($H$3,0,0,'Données projet'!$E$10+1,1))</f>
        <v>#N/A</v>
      </c>
      <c r="AO30" s="62" t="e">
        <f t="shared" si="36"/>
        <v>#N/A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 t="e">
        <f>EXP(-LN(2)/35)*AU29+(1-EXP(-LN(2)/35))/(LN(2)/35)*AQ30*AR30*VLOOKUP('Données projet'!$B$10,Paramètres!$A$1:$I$89,3,0)*0.475*44/12</f>
        <v>#N/A</v>
      </c>
      <c r="AV30" s="23" t="e">
        <f>EXP(-LN(2)/25)*AV29+(1-EXP(-LN(2)/25))/(LN(2)/25)*Calculateur!AQ30*Calculateur!AS30*VLOOKUP('Données projet'!$B$10,Paramètres!$A$1:$I$89,3,0)*0.475*44/12</f>
        <v>#N/A</v>
      </c>
      <c r="AW30" s="23" t="e">
        <f>EXP(-LN(2)/2)*AW29+(1-EXP(-LN(2)/2))/(LN(2)/2)*AQ30*AT30*VLOOKUP('Données projet'!$B$10,Paramètres!$A$1:$I$89,3,0)*0.475*44/12</f>
        <v>#N/A</v>
      </c>
      <c r="AX30" s="23" t="e">
        <f t="shared" si="6"/>
        <v>#N/A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0</v>
      </c>
      <c r="BD30" s="13">
        <f>IF('Données projet'!$A$88&gt;35,BD29+BC30-BL29,IF(A30&lt;'Données projet'!$A$88,$BA$205^A30,IF(A30='Données projet'!$A$88,'Données projet'!$B$88,BD29+BC30-BL29)))</f>
        <v>0</v>
      </c>
      <c r="BE30" s="14" t="e">
        <f>BD30*VLOOKUP('Données projet'!$B$11,Paramètres!$A$1:$I$89,3,0)*VLOOKUP('Données projet'!$B$11,Paramètres!$A$1:$I$89,5,0)</f>
        <v>#N/A</v>
      </c>
      <c r="BF30" s="14" t="e">
        <f t="shared" si="37"/>
        <v>#N/A</v>
      </c>
      <c r="BG30" s="22" t="e">
        <f t="shared" si="7"/>
        <v>#N/A</v>
      </c>
      <c r="BH30" s="62" t="e">
        <f t="shared" si="8"/>
        <v>#N/A</v>
      </c>
      <c r="BI30" s="62" t="e">
        <f ca="1">AVERAGE(OFFSET($BH$3,0,0,'Données projet'!$E$11+1,1))-AVERAGE(OFFSET($H$3,0,0,'Données projet'!$E$11+1,1))</f>
        <v>#N/A</v>
      </c>
      <c r="BJ30" s="62" t="e">
        <f t="shared" si="38"/>
        <v>#N/A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 t="e">
        <f>EXP(-LN(2)/35)*BP29+(1-EXP(-LN(2)/35))/(LN(2)/35)*BL30*BM30*VLOOKUP('Données projet'!$B$11,Paramètres!$A$1:$I$89,3,0)*0.475*44/12</f>
        <v>#N/A</v>
      </c>
      <c r="BQ30" s="23" t="e">
        <f>EXP(-LN(2)/25)*BQ29+(1-EXP(-LN(2)/25))/(LN(2)/25)*Calculateur!BL30*Calculateur!BN30*VLOOKUP('Données projet'!$B$11,Paramètres!$A$1:$I$89,3,0)*0.475*44/12</f>
        <v>#N/A</v>
      </c>
      <c r="BR30" s="23" t="e">
        <f>EXP(-LN(2)/2)*BR29+(1-EXP(-LN(2)/2))/(LN(2)/2)*BL30*BO30*VLOOKUP('Données projet'!$B$11,Paramètres!$A$1:$I$89,3,0)*0.475*44/12</f>
        <v>#N/A</v>
      </c>
      <c r="BS30" s="24" t="e">
        <f t="shared" si="9"/>
        <v>#N/A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3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13.831999999999997</v>
      </c>
      <c r="D31" s="12">
        <f t="shared" si="32"/>
        <v>4.6950263437621773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10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143.01564195184838</v>
      </c>
      <c r="H31" s="70">
        <f t="shared" si="1"/>
        <v>325.6012375487191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3">
        <f>VLOOKUP(A31,'Données projet'!$A$35:$I$55,2,0)</f>
        <v>233</v>
      </c>
      <c r="L31" s="13">
        <f>VLOOKUP(A31,'Données projet'!$A$35:$I$55,9,0)</f>
        <v>19.75</v>
      </c>
      <c r="M31" s="13">
        <f t="array" ref="M31">INDEX(L:L,MIN(IF(ISNUMBER(L31:L227),ROW(L31:L227),"")))</f>
        <v>19.75</v>
      </c>
      <c r="N31" s="14">
        <f>IF('Données projet'!$A$36&gt;35,N30+M31-V30,IF(A31&lt;'Données projet'!$A$36,$K$205^A31,IF(A31='Données projet'!$A$36,'Données projet'!$B$36,N30+M31-V30)))</f>
        <v>233</v>
      </c>
      <c r="O31" s="14">
        <f>N31*VLOOKUP('Données projet'!$B$9,Paramètres!$A$1:$I$89,3,0)*VLOOKUP('Données projet'!$B$9,Paramètres!$A$1:$I$89,5,0)</f>
        <v>139.334</v>
      </c>
      <c r="P31" s="14">
        <f t="shared" si="33"/>
        <v>36.144391930570897</v>
      </c>
      <c r="Q31" s="22">
        <f t="shared" si="2"/>
        <v>305.62486594574432</v>
      </c>
      <c r="R31" s="62">
        <f t="shared" si="0"/>
        <v>598.95819927907769</v>
      </c>
      <c r="S31" s="62">
        <f ca="1">AVERAGE(OFFSET($R$3,0,0,'Données projet'!$E$9+1,1))-AVERAGE(OFFSET($H$3,0,0,'Données projet'!$E$9+1,1))</f>
        <v>255.1976414275677</v>
      </c>
      <c r="T31" s="62">
        <f t="shared" si="34"/>
        <v>266.42714758321767</v>
      </c>
      <c r="U31" s="16">
        <f>IF(ISNA(VLOOKUP(A31,'Données projet'!$A$35:$I$55,3,0)),0,VLOOKUP(A31,'Données projet'!$A$35:$I$55,3,0))</f>
        <v>4</v>
      </c>
      <c r="V31" s="16">
        <f>IF(ISNA(VLOOKUP(A31,'Données projet'!$A$35:$I$55,4,0)),0,VLOOKUP(A31,'Données projet'!$A$35:$I$55,4,0))</f>
        <v>41</v>
      </c>
      <c r="W31" s="17">
        <f>IF(ISNA(VLOOKUP(A31,'Données projet'!$A$35:$I$55,5,0)),0%,VLOOKUP(A31,'Données projet'!$A$35:$I$55,5,0)*VLOOKUP('Données projet'!$B$9,Paramètres!$A$1:$I$89,7,0))</f>
        <v>0.18000000000000002</v>
      </c>
      <c r="X31" s="17">
        <f>IF(ISNA(VLOOKUP(A31,'Données projet'!$A$35:$I$55,6,0)),0%,VLOOKUP(A31,'Données projet'!$A$35:$I$55,6,0)*VLOOKUP('Données projet'!$B$9,Paramètres!$A$1:$I$89,7,0))</f>
        <v>0.13500000000000001</v>
      </c>
      <c r="Y31" s="17">
        <f>IF(ISNA(VLOOKUP(A31,'Données projet'!$A$35:$I$55,7,0)),0%,VLOOKUP(A31,'Données projet'!$A$35:$I$55,7,0))</f>
        <v>0.3</v>
      </c>
      <c r="Z31" s="23">
        <f>EXP(-LN(2)/35)*Z30+(1-EXP(-LN(2)/35))/(LN(2)/35)*V31*W31*VLOOKUP('Données projet'!$B$9,Paramètres!$A$1:$I$89,3,0)*0.475*44/12</f>
        <v>12.180531781775009</v>
      </c>
      <c r="AA31" s="23">
        <f>EXP(-LN(2)/25)*AA30+(1-EXP(-LN(2)/25))/(LN(2)/25)*Calculateur!V31*Calculateur!X31*VLOOKUP('Données projet'!$B$9,Paramètres!$A$1:$I$89,3,0)*0.475*44/12</f>
        <v>13.933663213288259</v>
      </c>
      <c r="AB31" s="23">
        <f>EXP(-LN(2)/2)*AB30+(1-EXP(-LN(2)/2))/(LN(2)/2)*V31*Y31*VLOOKUP('Données projet'!$B$9,Paramètres!$A$1:$I$89,3,0)*0.475*44/12</f>
        <v>12.117525100076797</v>
      </c>
      <c r="AC31" s="24">
        <f t="shared" si="3"/>
        <v>38.231720095140062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0</v>
      </c>
      <c r="AI31" s="14">
        <f>IF('Données projet'!$A$62&gt;35,AI30+AH31-AQ30,IF(A31&lt;'Données projet'!$A$62,$AF$205^A31,IF(A31='Données projet'!$A$62,'Données projet'!$B$62,AI30+AH31-AQ30)))</f>
        <v>0</v>
      </c>
      <c r="AJ31" s="14" t="e">
        <f>AI31*VLOOKUP('Données projet'!$B$10,Paramètres!$A$1:$I$89,3,0)*VLOOKUP('Données projet'!$B$10,Paramètres!$A$1:$I$89,5,0)</f>
        <v>#N/A</v>
      </c>
      <c r="AK31" s="14" t="e">
        <f t="shared" si="35"/>
        <v>#N/A</v>
      </c>
      <c r="AL31" s="22" t="e">
        <f t="shared" si="4"/>
        <v>#N/A</v>
      </c>
      <c r="AM31" s="62" t="e">
        <f t="shared" si="5"/>
        <v>#N/A</v>
      </c>
      <c r="AN31" s="62" t="e">
        <f ca="1">AVERAGE(OFFSET($AM$3,0,0,'Données projet'!$E$10+1,1))-AVERAGE(OFFSET($H$3,0,0,'Données projet'!$E$10+1,1))</f>
        <v>#N/A</v>
      </c>
      <c r="AO31" s="62" t="e">
        <f t="shared" si="36"/>
        <v>#N/A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 t="e">
        <f>EXP(-LN(2)/35)*AU30+(1-EXP(-LN(2)/35))/(LN(2)/35)*AQ31*AR31*VLOOKUP('Données projet'!$B$10,Paramètres!$A$1:$I$89,3,0)*0.475*44/12</f>
        <v>#N/A</v>
      </c>
      <c r="AV31" s="23" t="e">
        <f>EXP(-LN(2)/25)*AV30+(1-EXP(-LN(2)/25))/(LN(2)/25)*Calculateur!AQ31*Calculateur!AS31*VLOOKUP('Données projet'!$B$10,Paramètres!$A$1:$I$89,3,0)*0.475*44/12</f>
        <v>#N/A</v>
      </c>
      <c r="AW31" s="23" t="e">
        <f>EXP(-LN(2)/2)*AW30+(1-EXP(-LN(2)/2))/(LN(2)/2)*AQ31*AT31*VLOOKUP('Données projet'!$B$10,Paramètres!$A$1:$I$89,3,0)*0.475*44/12</f>
        <v>#N/A</v>
      </c>
      <c r="AX31" s="23" t="e">
        <f t="shared" si="6"/>
        <v>#N/A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0</v>
      </c>
      <c r="BD31" s="13">
        <f>IF('Données projet'!$A$88&gt;35,BD30+BC31-BL30,IF(A31&lt;'Données projet'!$A$88,$BA$205^A31,IF(A31='Données projet'!$A$88,'Données projet'!$B$88,BD30+BC31-BL30)))</f>
        <v>0</v>
      </c>
      <c r="BE31" s="14" t="e">
        <f>BD31*VLOOKUP('Données projet'!$B$11,Paramètres!$A$1:$I$89,3,0)*VLOOKUP('Données projet'!$B$11,Paramètres!$A$1:$I$89,5,0)</f>
        <v>#N/A</v>
      </c>
      <c r="BF31" s="14" t="e">
        <f t="shared" si="37"/>
        <v>#N/A</v>
      </c>
      <c r="BG31" s="22" t="e">
        <f t="shared" si="7"/>
        <v>#N/A</v>
      </c>
      <c r="BH31" s="62" t="e">
        <f t="shared" si="8"/>
        <v>#N/A</v>
      </c>
      <c r="BI31" s="62" t="e">
        <f ca="1">AVERAGE(OFFSET($BH$3,0,0,'Données projet'!$E$11+1,1))-AVERAGE(OFFSET($H$3,0,0,'Données projet'!$E$11+1,1))</f>
        <v>#N/A</v>
      </c>
      <c r="BJ31" s="62" t="e">
        <f t="shared" si="38"/>
        <v>#N/A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 t="e">
        <f>EXP(-LN(2)/35)*BP30+(1-EXP(-LN(2)/35))/(LN(2)/35)*BL31*BM31*VLOOKUP('Données projet'!$B$11,Paramètres!$A$1:$I$89,3,0)*0.475*44/12</f>
        <v>#N/A</v>
      </c>
      <c r="BQ31" s="23" t="e">
        <f>EXP(-LN(2)/25)*BQ30+(1-EXP(-LN(2)/25))/(LN(2)/25)*Calculateur!BL31*Calculateur!BN31*VLOOKUP('Données projet'!$B$11,Paramètres!$A$1:$I$89,3,0)*0.475*44/12</f>
        <v>#N/A</v>
      </c>
      <c r="BR31" s="23" t="e">
        <f>EXP(-LN(2)/2)*BR30+(1-EXP(-LN(2)/2))/(LN(2)/2)*BL31*BO31*VLOOKUP('Données projet'!$B$11,Paramètres!$A$1:$I$89,3,0)*0.475*44/12</f>
        <v>#N/A</v>
      </c>
      <c r="BS31" s="24" t="e">
        <f t="shared" si="9"/>
        <v>#N/A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3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14.325999999999997</v>
      </c>
      <c r="D32" s="12">
        <f t="shared" si="32"/>
        <v>4.8428840136387867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10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147.9703327368608</v>
      </c>
      <c r="H32" s="70">
        <f t="shared" si="1"/>
        <v>326.71913965708751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18.666666666666668</v>
      </c>
      <c r="N32" s="14">
        <f>IF('Données projet'!$A$36&gt;35,N31+M32-V31,IF(A32&lt;'Données projet'!$A$36,$K$205^A32,IF(A32='Données projet'!$A$36,'Données projet'!$B$36,N31+M32-V31)))</f>
        <v>210.66666666666666</v>
      </c>
      <c r="O32" s="14">
        <f>N32*VLOOKUP('Données projet'!$B$9,Paramètres!$A$1:$I$89,3,0)*VLOOKUP('Données projet'!$B$9,Paramètres!$A$1:$I$89,5,0)</f>
        <v>125.97866666666667</v>
      </c>
      <c r="P32" s="14">
        <f t="shared" si="33"/>
        <v>33.065454810766525</v>
      </c>
      <c r="Q32" s="22">
        <f t="shared" si="2"/>
        <v>277.00184490652941</v>
      </c>
      <c r="R32" s="62">
        <f t="shared" si="0"/>
        <v>570.33517823986267</v>
      </c>
      <c r="S32" s="62">
        <f ca="1">AVERAGE(OFFSET($R$3,0,0,'Données projet'!$E$9+1,1))-AVERAGE(OFFSET($H$3,0,0,'Données projet'!$E$9+1,1))</f>
        <v>255.1976414275677</v>
      </c>
      <c r="T32" s="62">
        <f t="shared" si="34"/>
        <v>266.42714758321767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11.941678982925197</v>
      </c>
      <c r="AA32" s="23">
        <f>EXP(-LN(2)/25)*AA31+(1-EXP(-LN(2)/25))/(LN(2)/25)*Calculateur!V32*Calculateur!X32*VLOOKUP('Données projet'!$B$9,Paramètres!$A$1:$I$89,3,0)*0.475*44/12</f>
        <v>13.552646459981389</v>
      </c>
      <c r="AB32" s="23">
        <f>EXP(-LN(2)/2)*AB31+(1-EXP(-LN(2)/2))/(LN(2)/2)*V32*Y32*VLOOKUP('Données projet'!$B$9,Paramètres!$A$1:$I$89,3,0)*0.475*44/12</f>
        <v>8.5683841694625009</v>
      </c>
      <c r="AC32" s="24">
        <f t="shared" si="3"/>
        <v>34.06270961236909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0</v>
      </c>
      <c r="AI32" s="14">
        <f>IF('Données projet'!$A$62&gt;35,AI31+AH32-AQ31,IF(A32&lt;'Données projet'!$A$62,$AF$205^A32,IF(A32='Données projet'!$A$62,'Données projet'!$B$62,AI31+AH32-AQ31)))</f>
        <v>0</v>
      </c>
      <c r="AJ32" s="14" t="e">
        <f>AI32*VLOOKUP('Données projet'!$B$10,Paramètres!$A$1:$I$89,3,0)*VLOOKUP('Données projet'!$B$10,Paramètres!$A$1:$I$89,5,0)</f>
        <v>#N/A</v>
      </c>
      <c r="AK32" s="14" t="e">
        <f t="shared" si="35"/>
        <v>#N/A</v>
      </c>
      <c r="AL32" s="22" t="e">
        <f t="shared" si="4"/>
        <v>#N/A</v>
      </c>
      <c r="AM32" s="62" t="e">
        <f t="shared" si="5"/>
        <v>#N/A</v>
      </c>
      <c r="AN32" s="62" t="e">
        <f ca="1">AVERAGE(OFFSET($AM$3,0,0,'Données projet'!$E$10+1,1))-AVERAGE(OFFSET($H$3,0,0,'Données projet'!$E$10+1,1))</f>
        <v>#N/A</v>
      </c>
      <c r="AO32" s="62" t="e">
        <f t="shared" si="36"/>
        <v>#N/A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 t="e">
        <f>EXP(-LN(2)/35)*AU31+(1-EXP(-LN(2)/35))/(LN(2)/35)*AQ32*AR32*VLOOKUP('Données projet'!$B$10,Paramètres!$A$1:$I$89,3,0)*0.475*44/12</f>
        <v>#N/A</v>
      </c>
      <c r="AV32" s="23" t="e">
        <f>EXP(-LN(2)/25)*AV31+(1-EXP(-LN(2)/25))/(LN(2)/25)*Calculateur!AQ32*Calculateur!AS32*VLOOKUP('Données projet'!$B$10,Paramètres!$A$1:$I$89,3,0)*0.475*44/12</f>
        <v>#N/A</v>
      </c>
      <c r="AW32" s="23" t="e">
        <f>EXP(-LN(2)/2)*AW31+(1-EXP(-LN(2)/2))/(LN(2)/2)*AQ32*AT32*VLOOKUP('Données projet'!$B$10,Paramètres!$A$1:$I$89,3,0)*0.475*44/12</f>
        <v>#N/A</v>
      </c>
      <c r="AX32" s="23" t="e">
        <f t="shared" si="6"/>
        <v>#N/A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0</v>
      </c>
      <c r="BD32" s="13">
        <f>IF('Données projet'!$A$88&gt;35,BD31+BC32-BL31,IF(A32&lt;'Données projet'!$A$88,$BA$205^A32,IF(A32='Données projet'!$A$88,'Données projet'!$B$88,BD31+BC32-BL31)))</f>
        <v>0</v>
      </c>
      <c r="BE32" s="14" t="e">
        <f>BD32*VLOOKUP('Données projet'!$B$11,Paramètres!$A$1:$I$89,3,0)*VLOOKUP('Données projet'!$B$11,Paramètres!$A$1:$I$89,5,0)</f>
        <v>#N/A</v>
      </c>
      <c r="BF32" s="14" t="e">
        <f t="shared" si="37"/>
        <v>#N/A</v>
      </c>
      <c r="BG32" s="22" t="e">
        <f t="shared" si="7"/>
        <v>#N/A</v>
      </c>
      <c r="BH32" s="62" t="e">
        <f t="shared" si="8"/>
        <v>#N/A</v>
      </c>
      <c r="BI32" s="62" t="e">
        <f ca="1">AVERAGE(OFFSET($BH$3,0,0,'Données projet'!$E$11+1,1))-AVERAGE(OFFSET($H$3,0,0,'Données projet'!$E$11+1,1))</f>
        <v>#N/A</v>
      </c>
      <c r="BJ32" s="62" t="e">
        <f t="shared" si="38"/>
        <v>#N/A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 t="e">
        <f>EXP(-LN(2)/35)*BP31+(1-EXP(-LN(2)/35))/(LN(2)/35)*BL32*BM32*VLOOKUP('Données projet'!$B$11,Paramètres!$A$1:$I$89,3,0)*0.475*44/12</f>
        <v>#N/A</v>
      </c>
      <c r="BQ32" s="23" t="e">
        <f>EXP(-LN(2)/25)*BQ31+(1-EXP(-LN(2)/25))/(LN(2)/25)*Calculateur!BL32*Calculateur!BN32*VLOOKUP('Données projet'!$B$11,Paramètres!$A$1:$I$89,3,0)*0.475*44/12</f>
        <v>#N/A</v>
      </c>
      <c r="BR32" s="23" t="e">
        <f>EXP(-LN(2)/2)*BR31+(1-EXP(-LN(2)/2))/(LN(2)/2)*BL32*BO32*VLOOKUP('Données projet'!$B$11,Paramètres!$A$1:$I$89,3,0)*0.475*44/12</f>
        <v>#N/A</v>
      </c>
      <c r="BS32" s="24" t="e">
        <f t="shared" si="9"/>
        <v>#N/A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3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14.819999999999997</v>
      </c>
      <c r="D33" s="12">
        <f t="shared" si="32"/>
        <v>4.9901492788407467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10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152.92045057350751</v>
      </c>
      <c r="H33" s="70">
        <f t="shared" si="1"/>
        <v>327.83600999398095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 t="e">
        <f>VLOOKUP(A33,'Données projet'!$A$35:$I$55,2,0)</f>
        <v>#N/A</v>
      </c>
      <c r="L33" s="13" t="e">
        <f>VLOOKUP(A33,'Données projet'!$A$35:$I$55,9,0)</f>
        <v>#N/A</v>
      </c>
      <c r="M33" s="13">
        <f t="array" ref="M33">INDEX(L:L,MIN(IF(ISNUMBER(L33:L229),ROW(L33:L229),"")))</f>
        <v>18.666666666666668</v>
      </c>
      <c r="N33" s="14">
        <f>IF('Données projet'!$A$36&gt;35,N32+M33-V32,IF(A33&lt;'Données projet'!$A$36,$K$205^A33,IF(A33='Données projet'!$A$36,'Données projet'!$B$36,N32+M33-V32)))</f>
        <v>229.33333333333331</v>
      </c>
      <c r="O33" s="14">
        <f>N33*VLOOKUP('Données projet'!$B$9,Paramètres!$A$1:$I$89,3,0)*VLOOKUP('Données projet'!$B$9,Paramètres!$A$1:$I$89,5,0)</f>
        <v>137.14133333333334</v>
      </c>
      <c r="P33" s="14">
        <f t="shared" si="33"/>
        <v>35.641340873670629</v>
      </c>
      <c r="Q33" s="22">
        <f t="shared" si="2"/>
        <v>300.92982424386526</v>
      </c>
      <c r="R33" s="62">
        <f t="shared" si="0"/>
        <v>594.26315757719863</v>
      </c>
      <c r="S33" s="62">
        <f ca="1">AVERAGE(OFFSET($R$3,0,0,'Données projet'!$E$9+1,1))-AVERAGE(OFFSET($H$3,0,0,'Données projet'!$E$9+1,1))</f>
        <v>255.1976414275677</v>
      </c>
      <c r="T33" s="62">
        <f t="shared" si="34"/>
        <v>266.42714758321767</v>
      </c>
      <c r="U33" s="16">
        <f>IF(ISNA(VLOOKUP(A33,'Données projet'!$A$35:$I$55,3,0)),0,VLOOKUP(A33,'Données projet'!$A$35:$I$55,3,0))</f>
        <v>0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11.707509941775006</v>
      </c>
      <c r="AA33" s="23">
        <f>EXP(-LN(2)/25)*AA32+(1-EXP(-LN(2)/25))/(LN(2)/25)*Calculateur!V33*Calculateur!X33*VLOOKUP('Données projet'!$B$9,Paramètres!$A$1:$I$89,3,0)*0.475*44/12</f>
        <v>13.182048629830495</v>
      </c>
      <c r="AB33" s="23">
        <f>EXP(-LN(2)/2)*AB32+(1-EXP(-LN(2)/2))/(LN(2)/2)*V33*Y33*VLOOKUP('Données projet'!$B$9,Paramètres!$A$1:$I$89,3,0)*0.475*44/12</f>
        <v>6.0587625500383986</v>
      </c>
      <c r="AC33" s="24">
        <f t="shared" si="3"/>
        <v>30.9483211216439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 t="e">
        <f>VLOOKUP(A33,'Données projet'!$A$61:$I$81,2,0)</f>
        <v>#N/A</v>
      </c>
      <c r="AG33" s="13" t="e">
        <f>VLOOKUP(A33,'Données projet'!$A$61:$I$81,9,0)</f>
        <v>#N/A</v>
      </c>
      <c r="AH33" s="13">
        <f t="array" ref="AH33">INDEX(AG:AG,MIN(IF(ISNUMBER(AG33:AG229),ROW(AG33:AG229),"")))</f>
        <v>0</v>
      </c>
      <c r="AI33" s="14">
        <f>IF('Données projet'!$A$62&gt;35,AI32+AH33-AQ32,IF(A33&lt;'Données projet'!$A$62,$AF$205^A33,IF(A33='Données projet'!$A$62,'Données projet'!$B$62,AI32+AH33-AQ32)))</f>
        <v>0</v>
      </c>
      <c r="AJ33" s="14" t="e">
        <f>AI33*VLOOKUP('Données projet'!$B$10,Paramètres!$A$1:$I$89,3,0)*VLOOKUP('Données projet'!$B$10,Paramètres!$A$1:$I$89,5,0)</f>
        <v>#N/A</v>
      </c>
      <c r="AK33" s="14" t="e">
        <f t="shared" si="35"/>
        <v>#N/A</v>
      </c>
      <c r="AL33" s="22" t="e">
        <f t="shared" si="4"/>
        <v>#N/A</v>
      </c>
      <c r="AM33" s="62" t="e">
        <f t="shared" si="5"/>
        <v>#N/A</v>
      </c>
      <c r="AN33" s="62" t="e">
        <f ca="1">AVERAGE(OFFSET($AM$3,0,0,'Données projet'!$E$10+1,1))-AVERAGE(OFFSET($H$3,0,0,'Données projet'!$E$10+1,1))</f>
        <v>#N/A</v>
      </c>
      <c r="AO33" s="62" t="e">
        <f t="shared" si="36"/>
        <v>#N/A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 t="e">
        <f>EXP(-LN(2)/35)*AU32+(1-EXP(-LN(2)/35))/(LN(2)/35)*AQ33*AR33*VLOOKUP('Données projet'!$B$10,Paramètres!$A$1:$I$89,3,0)*0.475*44/12</f>
        <v>#N/A</v>
      </c>
      <c r="AV33" s="23" t="e">
        <f>EXP(-LN(2)/25)*AV32+(1-EXP(-LN(2)/25))/(LN(2)/25)*Calculateur!AQ33*Calculateur!AS33*VLOOKUP('Données projet'!$B$10,Paramètres!$A$1:$I$89,3,0)*0.475*44/12</f>
        <v>#N/A</v>
      </c>
      <c r="AW33" s="23" t="e">
        <f>EXP(-LN(2)/2)*AW32+(1-EXP(-LN(2)/2))/(LN(2)/2)*AQ33*AT33*VLOOKUP('Données projet'!$B$10,Paramètres!$A$1:$I$89,3,0)*0.475*44/12</f>
        <v>#N/A</v>
      </c>
      <c r="AX33" s="23" t="e">
        <f t="shared" si="6"/>
        <v>#N/A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0</v>
      </c>
      <c r="BD33" s="13">
        <f>IF('Données projet'!$A$88&gt;35,BD32+BC33-BL32,IF(A33&lt;'Données projet'!$A$88,$BA$205^A33,IF(A33='Données projet'!$A$88,'Données projet'!$B$88,BD32+BC33-BL32)))</f>
        <v>0</v>
      </c>
      <c r="BE33" s="14" t="e">
        <f>BD33*VLOOKUP('Données projet'!$B$11,Paramètres!$A$1:$I$89,3,0)*VLOOKUP('Données projet'!$B$11,Paramètres!$A$1:$I$89,5,0)</f>
        <v>#N/A</v>
      </c>
      <c r="BF33" s="14" t="e">
        <f t="shared" si="37"/>
        <v>#N/A</v>
      </c>
      <c r="BG33" s="22" t="e">
        <f t="shared" si="7"/>
        <v>#N/A</v>
      </c>
      <c r="BH33" s="62" t="e">
        <f t="shared" si="8"/>
        <v>#N/A</v>
      </c>
      <c r="BI33" s="62" t="e">
        <f ca="1">AVERAGE(OFFSET($BH$3,0,0,'Données projet'!$E$11+1,1))-AVERAGE(OFFSET($H$3,0,0,'Données projet'!$E$11+1,1))</f>
        <v>#N/A</v>
      </c>
      <c r="BJ33" s="62" t="e">
        <f t="shared" si="38"/>
        <v>#N/A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 t="e">
        <f>EXP(-LN(2)/35)*BP32+(1-EXP(-LN(2)/35))/(LN(2)/35)*BL33*BM33*VLOOKUP('Données projet'!$B$11,Paramètres!$A$1:$I$89,3,0)*0.475*44/12</f>
        <v>#N/A</v>
      </c>
      <c r="BQ33" s="23" t="e">
        <f>EXP(-LN(2)/25)*BQ32+(1-EXP(-LN(2)/25))/(LN(2)/25)*Calculateur!BL33*Calculateur!BN33*VLOOKUP('Données projet'!$B$11,Paramètres!$A$1:$I$89,3,0)*0.475*44/12</f>
        <v>#N/A</v>
      </c>
      <c r="BR33" s="23" t="e">
        <f>EXP(-LN(2)/2)*BR32+(1-EXP(-LN(2)/2))/(LN(2)/2)*BL33*BO33*VLOOKUP('Données projet'!$B$11,Paramètres!$A$1:$I$89,3,0)*0.475*44/12</f>
        <v>#N/A</v>
      </c>
      <c r="BS33" s="24" t="e">
        <f t="shared" si="9"/>
        <v>#N/A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3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15.313999999999997</v>
      </c>
      <c r="D34" s="12">
        <f t="shared" si="32"/>
        <v>5.1368441502871578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10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157.86616537063767</v>
      </c>
      <c r="H34" s="70">
        <f t="shared" si="1"/>
        <v>328.95188689508342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18.666666666666668</v>
      </c>
      <c r="N34" s="14">
        <f>IF('Données projet'!$A$36&gt;35,N33+M34-V33,IF(A34&lt;'Données projet'!$A$36,$K$205^A34,IF(A34='Données projet'!$A$36,'Données projet'!$B$36,N33+M34-V33)))</f>
        <v>247.99999999999997</v>
      </c>
      <c r="O34" s="14">
        <f>N34*VLOOKUP('Données projet'!$B$9,Paramètres!$A$1:$I$89,3,0)*VLOOKUP('Données projet'!$B$9,Paramètres!$A$1:$I$89,5,0)</f>
        <v>148.304</v>
      </c>
      <c r="P34" s="14">
        <f t="shared" si="33"/>
        <v>38.192908835171721</v>
      </c>
      <c r="Q34" s="22">
        <f t="shared" si="2"/>
        <v>324.81544955459077</v>
      </c>
      <c r="R34" s="62">
        <f t="shared" si="0"/>
        <v>618.14878288792409</v>
      </c>
      <c r="S34" s="62">
        <f ca="1">AVERAGE(OFFSET($R$3,0,0,'Données projet'!$E$9+1,1))-AVERAGE(OFFSET($H$3,0,0,'Données projet'!$E$9+1,1))</f>
        <v>255.1976414275677</v>
      </c>
      <c r="T34" s="62">
        <f t="shared" si="34"/>
        <v>266.42714758321767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11.47793281269276</v>
      </c>
      <c r="AA34" s="23">
        <f>EXP(-LN(2)/25)*AA33+(1-EXP(-LN(2)/25))/(LN(2)/25)*Calculateur!V34*Calculateur!X34*VLOOKUP('Données projet'!$B$9,Paramètres!$A$1:$I$89,3,0)*0.475*44/12</f>
        <v>12.821584816833971</v>
      </c>
      <c r="AB34" s="23">
        <f>EXP(-LN(2)/2)*AB33+(1-EXP(-LN(2)/2))/(LN(2)/2)*V34*Y34*VLOOKUP('Données projet'!$B$9,Paramètres!$A$1:$I$89,3,0)*0.475*44/12</f>
        <v>4.2841920847312505</v>
      </c>
      <c r="AC34" s="24">
        <f t="shared" si="3"/>
        <v>28.583709714257985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0</v>
      </c>
      <c r="AI34" s="14">
        <f>IF('Données projet'!$A$62&gt;35,AI33+AH34-AQ33,IF(A34&lt;'Données projet'!$A$62,$AF$205^A34,IF(A34='Données projet'!$A$62,'Données projet'!$B$62,AI33+AH34-AQ33)))</f>
        <v>0</v>
      </c>
      <c r="AJ34" s="14" t="e">
        <f>AI34*VLOOKUP('Données projet'!$B$10,Paramètres!$A$1:$I$89,3,0)*VLOOKUP('Données projet'!$B$10,Paramètres!$A$1:$I$89,5,0)</f>
        <v>#N/A</v>
      </c>
      <c r="AK34" s="14" t="e">
        <f t="shared" si="35"/>
        <v>#N/A</v>
      </c>
      <c r="AL34" s="22" t="e">
        <f t="shared" si="4"/>
        <v>#N/A</v>
      </c>
      <c r="AM34" s="62" t="e">
        <f t="shared" si="5"/>
        <v>#N/A</v>
      </c>
      <c r="AN34" s="62" t="e">
        <f ca="1">AVERAGE(OFFSET($AM$3,0,0,'Données projet'!$E$10+1,1))-AVERAGE(OFFSET($H$3,0,0,'Données projet'!$E$10+1,1))</f>
        <v>#N/A</v>
      </c>
      <c r="AO34" s="62" t="e">
        <f t="shared" si="36"/>
        <v>#N/A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 t="e">
        <f>EXP(-LN(2)/35)*AU33+(1-EXP(-LN(2)/35))/(LN(2)/35)*AQ34*AR34*VLOOKUP('Données projet'!$B$10,Paramètres!$A$1:$I$89,3,0)*0.475*44/12</f>
        <v>#N/A</v>
      </c>
      <c r="AV34" s="23" t="e">
        <f>EXP(-LN(2)/25)*AV33+(1-EXP(-LN(2)/25))/(LN(2)/25)*Calculateur!AQ34*Calculateur!AS34*VLOOKUP('Données projet'!$B$10,Paramètres!$A$1:$I$89,3,0)*0.475*44/12</f>
        <v>#N/A</v>
      </c>
      <c r="AW34" s="23" t="e">
        <f>EXP(-LN(2)/2)*AW33+(1-EXP(-LN(2)/2))/(LN(2)/2)*AQ34*AT34*VLOOKUP('Données projet'!$B$10,Paramètres!$A$1:$I$89,3,0)*0.475*44/12</f>
        <v>#N/A</v>
      </c>
      <c r="AX34" s="23" t="e">
        <f t="shared" si="6"/>
        <v>#N/A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IF('Données projet'!$A$88&gt;35,BD33+BC34-BL33,IF(A34&lt;'Données projet'!$A$88,$BA$205^A34,IF(A34='Données projet'!$A$88,'Données projet'!$B$88,BD33+BC34-BL33)))</f>
        <v>0</v>
      </c>
      <c r="BE34" s="14" t="e">
        <f>BD34*VLOOKUP('Données projet'!$B$11,Paramètres!$A$1:$I$89,3,0)*VLOOKUP('Données projet'!$B$11,Paramètres!$A$1:$I$89,5,0)</f>
        <v>#N/A</v>
      </c>
      <c r="BF34" s="14" t="e">
        <f t="shared" si="37"/>
        <v>#N/A</v>
      </c>
      <c r="BG34" s="22" t="e">
        <f t="shared" si="7"/>
        <v>#N/A</v>
      </c>
      <c r="BH34" s="62" t="e">
        <f t="shared" si="8"/>
        <v>#N/A</v>
      </c>
      <c r="BI34" s="62" t="e">
        <f ca="1">AVERAGE(OFFSET($BH$3,0,0,'Données projet'!$E$11+1,1))-AVERAGE(OFFSET($H$3,0,0,'Données projet'!$E$11+1,1))</f>
        <v>#N/A</v>
      </c>
      <c r="BJ34" s="62" t="e">
        <f t="shared" si="38"/>
        <v>#N/A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 t="e">
        <f>EXP(-LN(2)/35)*BP33+(1-EXP(-LN(2)/35))/(LN(2)/35)*BL34*BM34*VLOOKUP('Données projet'!$B$11,Paramètres!$A$1:$I$89,3,0)*0.475*44/12</f>
        <v>#N/A</v>
      </c>
      <c r="BQ34" s="23" t="e">
        <f>EXP(-LN(2)/25)*BQ33+(1-EXP(-LN(2)/25))/(LN(2)/25)*Calculateur!BL34*Calculateur!BN34*VLOOKUP('Données projet'!$B$11,Paramètres!$A$1:$I$89,3,0)*0.475*44/12</f>
        <v>#N/A</v>
      </c>
      <c r="BR34" s="23" t="e">
        <f>EXP(-LN(2)/2)*BR33+(1-EXP(-LN(2)/2))/(LN(2)/2)*BL34*BO34*VLOOKUP('Données projet'!$B$11,Paramètres!$A$1:$I$89,3,0)*0.475*44/12</f>
        <v>#N/A</v>
      </c>
      <c r="BS34" s="24" t="e">
        <f t="shared" si="9"/>
        <v>#N/A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3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15.807999999999996</v>
      </c>
      <c r="D35" s="12">
        <f t="shared" si="32"/>
        <v>5.2829891382175349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10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162.80763545290725</v>
      </c>
      <c r="H35" s="70">
        <f t="shared" si="1"/>
        <v>330.06680608239549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18.666666666666668</v>
      </c>
      <c r="N35" s="14">
        <f>IF('Données projet'!$A$36&gt;35,N34+M35-V34,IF(A35&lt;'Données projet'!$A$36,$K$205^A35,IF(A35='Données projet'!$A$36,'Données projet'!$B$36,N34+M35-V34)))</f>
        <v>266.66666666666663</v>
      </c>
      <c r="O35" s="14">
        <f>N35*VLOOKUP('Données projet'!$B$9,Paramètres!$A$1:$I$89,3,0)*VLOOKUP('Données projet'!$B$9,Paramètres!$A$1:$I$89,5,0)</f>
        <v>159.46666666666667</v>
      </c>
      <c r="P35" s="14">
        <f t="shared" si="33"/>
        <v>40.722197218456202</v>
      </c>
      <c r="Q35" s="22">
        <f t="shared" ref="Q35:Q66" si="53">(O35+P35)*0.475*44/12</f>
        <v>348.66227126658896</v>
      </c>
      <c r="R35" s="62">
        <f t="shared" si="0"/>
        <v>641.99560459992222</v>
      </c>
      <c r="S35" s="62">
        <f ca="1">AVERAGE(OFFSET($R$3,0,0,'Données projet'!$E$9+1,1))-AVERAGE(OFFSET($H$3,0,0,'Données projet'!$E$9+1,1))</f>
        <v>255.1976414275677</v>
      </c>
      <c r="T35" s="62">
        <f t="shared" si="34"/>
        <v>266.42714758321767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11.252857551083595</v>
      </c>
      <c r="AA35" s="23">
        <f>EXP(-LN(2)/25)*AA34+(1-EXP(-LN(2)/25))/(LN(2)/25)*Calculateur!V35*Calculateur!X35*VLOOKUP('Données projet'!$B$9,Paramètres!$A$1:$I$89,3,0)*0.475*44/12</f>
        <v>12.470977905759804</v>
      </c>
      <c r="AB35" s="23">
        <f>EXP(-LN(2)/2)*AB34+(1-EXP(-LN(2)/2))/(LN(2)/2)*V35*Y35*VLOOKUP('Données projet'!$B$9,Paramètres!$A$1:$I$89,3,0)*0.475*44/12</f>
        <v>3.0293812750191993</v>
      </c>
      <c r="AC35" s="24">
        <f t="shared" si="3"/>
        <v>26.753216731862601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0</v>
      </c>
      <c r="AI35" s="14">
        <f>IF('Données projet'!$A$62&gt;35,AI34+AH35-AQ34,IF(A35&lt;'Données projet'!$A$62,$AF$205^A35,IF(A35='Données projet'!$A$62,'Données projet'!$B$62,AI34+AH35-AQ34)))</f>
        <v>0</v>
      </c>
      <c r="AJ35" s="14" t="e">
        <f>AI35*VLOOKUP('Données projet'!$B$10,Paramètres!$A$1:$I$89,3,0)*VLOOKUP('Données projet'!$B$10,Paramètres!$A$1:$I$89,5,0)</f>
        <v>#N/A</v>
      </c>
      <c r="AK35" s="14" t="e">
        <f t="shared" si="35"/>
        <v>#N/A</v>
      </c>
      <c r="AL35" s="22" t="e">
        <f t="shared" si="4"/>
        <v>#N/A</v>
      </c>
      <c r="AM35" s="62" t="e">
        <f t="shared" si="5"/>
        <v>#N/A</v>
      </c>
      <c r="AN35" s="62" t="e">
        <f ca="1">AVERAGE(OFFSET($AM$3,0,0,'Données projet'!$E$10+1,1))-AVERAGE(OFFSET($H$3,0,0,'Données projet'!$E$10+1,1))</f>
        <v>#N/A</v>
      </c>
      <c r="AO35" s="62" t="e">
        <f t="shared" si="36"/>
        <v>#N/A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 t="e">
        <f>EXP(-LN(2)/35)*AU34+(1-EXP(-LN(2)/35))/(LN(2)/35)*AQ35*AR35*VLOOKUP('Données projet'!$B$10,Paramètres!$A$1:$I$89,3,0)*0.475*44/12</f>
        <v>#N/A</v>
      </c>
      <c r="AV35" s="23" t="e">
        <f>EXP(-LN(2)/25)*AV34+(1-EXP(-LN(2)/25))/(LN(2)/25)*Calculateur!AQ35*Calculateur!AS35*VLOOKUP('Données projet'!$B$10,Paramètres!$A$1:$I$89,3,0)*0.475*44/12</f>
        <v>#N/A</v>
      </c>
      <c r="AW35" s="23" t="e">
        <f>EXP(-LN(2)/2)*AW34+(1-EXP(-LN(2)/2))/(LN(2)/2)*AQ35*AT35*VLOOKUP('Données projet'!$B$10,Paramètres!$A$1:$I$89,3,0)*0.475*44/12</f>
        <v>#N/A</v>
      </c>
      <c r="AX35" s="23" t="e">
        <f t="shared" si="6"/>
        <v>#N/A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IF('Données projet'!$A$88&gt;35,BD34+BC35-BL34,IF(A35&lt;'Données projet'!$A$88,$BA$205^A35,IF(A35='Données projet'!$A$88,'Données projet'!$B$88,BD34+BC35-BL34)))</f>
        <v>0</v>
      </c>
      <c r="BE35" s="14" t="e">
        <f>BD35*VLOOKUP('Données projet'!$B$11,Paramètres!$A$1:$I$89,3,0)*VLOOKUP('Données projet'!$B$11,Paramètres!$A$1:$I$89,5,0)</f>
        <v>#N/A</v>
      </c>
      <c r="BF35" s="14" t="e">
        <f t="shared" si="37"/>
        <v>#N/A</v>
      </c>
      <c r="BG35" s="22" t="e">
        <f t="shared" si="7"/>
        <v>#N/A</v>
      </c>
      <c r="BH35" s="62" t="e">
        <f t="shared" si="8"/>
        <v>#N/A</v>
      </c>
      <c r="BI35" s="62" t="e">
        <f ca="1">AVERAGE(OFFSET($BH$3,0,0,'Données projet'!$E$11+1,1))-AVERAGE(OFFSET($H$3,0,0,'Données projet'!$E$11+1,1))</f>
        <v>#N/A</v>
      </c>
      <c r="BJ35" s="62" t="e">
        <f t="shared" si="38"/>
        <v>#N/A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 t="e">
        <f>EXP(-LN(2)/35)*BP34+(1-EXP(-LN(2)/35))/(LN(2)/35)*BL35*BM35*VLOOKUP('Données projet'!$B$11,Paramètres!$A$1:$I$89,3,0)*0.475*44/12</f>
        <v>#N/A</v>
      </c>
      <c r="BQ35" s="23" t="e">
        <f>EXP(-LN(2)/25)*BQ34+(1-EXP(-LN(2)/25))/(LN(2)/25)*Calculateur!BL35*Calculateur!BN35*VLOOKUP('Données projet'!$B$11,Paramètres!$A$1:$I$89,3,0)*0.475*44/12</f>
        <v>#N/A</v>
      </c>
      <c r="BR35" s="23" t="e">
        <f>EXP(-LN(2)/2)*BR34+(1-EXP(-LN(2)/2))/(LN(2)/2)*BL35*BO35*VLOOKUP('Données projet'!$B$11,Paramètres!$A$1:$I$89,3,0)*0.475*44/12</f>
        <v>#N/A</v>
      </c>
      <c r="BS35" s="24" t="e">
        <f t="shared" si="9"/>
        <v>#N/A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3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16.301999999999996</v>
      </c>
      <c r="D36" s="12">
        <f t="shared" si="32"/>
        <v>5.4286033981705613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10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167.74500868763238</v>
      </c>
      <c r="H36" s="70">
        <f t="shared" si="1"/>
        <v>331.18080091848037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18.666666666666668</v>
      </c>
      <c r="N36" s="14">
        <f>IF('Données projet'!$A$36&gt;35,N35+M36-V35,IF(A36&lt;'Données projet'!$A$36,$K$205^A36,IF(A36='Données projet'!$A$36,'Données projet'!$B$36,N35+M36-V35)))</f>
        <v>285.33333333333331</v>
      </c>
      <c r="O36" s="14">
        <f>N36*VLOOKUP('Données projet'!$B$9,Paramètres!$A$1:$I$89,3,0)*VLOOKUP('Données projet'!$B$9,Paramètres!$A$1:$I$89,5,0)</f>
        <v>170.62933333333334</v>
      </c>
      <c r="P36" s="14">
        <f t="shared" si="33"/>
        <v>43.230942990352332</v>
      </c>
      <c r="Q36" s="22">
        <f t="shared" si="53"/>
        <v>372.47331459708585</v>
      </c>
      <c r="R36" s="62">
        <f t="shared" si="0"/>
        <v>665.8066479304191</v>
      </c>
      <c r="S36" s="62">
        <f ca="1">AVERAGE(OFFSET($R$3,0,0,'Données projet'!$E$9+1,1))-AVERAGE(OFFSET($H$3,0,0,'Données projet'!$E$9+1,1))</f>
        <v>255.1976414275677</v>
      </c>
      <c r="T36" s="62">
        <f t="shared" si="34"/>
        <v>266.42714758321767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11.032195878072232</v>
      </c>
      <c r="AA36" s="23">
        <f>EXP(-LN(2)/25)*AA35+(1-EXP(-LN(2)/25))/(LN(2)/25)*Calculateur!V36*Calculateur!X36*VLOOKUP('Données projet'!$B$9,Paramètres!$A$1:$I$89,3,0)*0.475*44/12</f>
        <v>12.129958359106578</v>
      </c>
      <c r="AB36" s="23">
        <f>EXP(-LN(2)/2)*AB35+(1-EXP(-LN(2)/2))/(LN(2)/2)*V36*Y36*VLOOKUP('Données projet'!$B$9,Paramètres!$A$1:$I$89,3,0)*0.475*44/12</f>
        <v>2.1420960423656252</v>
      </c>
      <c r="AC36" s="24">
        <f t="shared" si="3"/>
        <v>25.304250279544437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0</v>
      </c>
      <c r="AI36" s="14">
        <f>IF('Données projet'!$A$62&gt;35,AI35+AH36-AQ35,IF(A36&lt;'Données projet'!$A$62,$AF$205^A36,IF(A36='Données projet'!$A$62,'Données projet'!$B$62,AI35+AH36-AQ35)))</f>
        <v>0</v>
      </c>
      <c r="AJ36" s="14" t="e">
        <f>AI36*VLOOKUP('Données projet'!$B$10,Paramètres!$A$1:$I$89,3,0)*VLOOKUP('Données projet'!$B$10,Paramètres!$A$1:$I$89,5,0)</f>
        <v>#N/A</v>
      </c>
      <c r="AK36" s="14" t="e">
        <f t="shared" si="35"/>
        <v>#N/A</v>
      </c>
      <c r="AL36" s="22" t="e">
        <f t="shared" si="4"/>
        <v>#N/A</v>
      </c>
      <c r="AM36" s="62" t="e">
        <f t="shared" si="5"/>
        <v>#N/A</v>
      </c>
      <c r="AN36" s="62" t="e">
        <f ca="1">AVERAGE(OFFSET($AM$3,0,0,'Données projet'!$E$10+1,1))-AVERAGE(OFFSET($H$3,0,0,'Données projet'!$E$10+1,1))</f>
        <v>#N/A</v>
      </c>
      <c r="AO36" s="62" t="e">
        <f t="shared" si="36"/>
        <v>#N/A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 t="e">
        <f>EXP(-LN(2)/35)*AU35+(1-EXP(-LN(2)/35))/(LN(2)/35)*AQ36*AR36*VLOOKUP('Données projet'!$B$10,Paramètres!$A$1:$I$89,3,0)*0.475*44/12</f>
        <v>#N/A</v>
      </c>
      <c r="AV36" s="23" t="e">
        <f>EXP(-LN(2)/25)*AV35+(1-EXP(-LN(2)/25))/(LN(2)/25)*Calculateur!AQ36*Calculateur!AS36*VLOOKUP('Données projet'!$B$10,Paramètres!$A$1:$I$89,3,0)*0.475*44/12</f>
        <v>#N/A</v>
      </c>
      <c r="AW36" s="23" t="e">
        <f>EXP(-LN(2)/2)*AW35+(1-EXP(-LN(2)/2))/(LN(2)/2)*AQ36*AT36*VLOOKUP('Données projet'!$B$10,Paramètres!$A$1:$I$89,3,0)*0.475*44/12</f>
        <v>#N/A</v>
      </c>
      <c r="AX36" s="23" t="e">
        <f t="shared" si="6"/>
        <v>#N/A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IF('Données projet'!$A$88&gt;35,BD35+BC36-BL35,IF(A36&lt;'Données projet'!$A$88,$BA$205^A36,IF(A36='Données projet'!$A$88,'Données projet'!$B$88,BD35+BC36-BL35)))</f>
        <v>0</v>
      </c>
      <c r="BE36" s="14" t="e">
        <f>BD36*VLOOKUP('Données projet'!$B$11,Paramètres!$A$1:$I$89,3,0)*VLOOKUP('Données projet'!$B$11,Paramètres!$A$1:$I$89,5,0)</f>
        <v>#N/A</v>
      </c>
      <c r="BF36" s="14" t="e">
        <f t="shared" si="37"/>
        <v>#N/A</v>
      </c>
      <c r="BG36" s="22" t="e">
        <f t="shared" si="7"/>
        <v>#N/A</v>
      </c>
      <c r="BH36" s="62" t="e">
        <f t="shared" si="8"/>
        <v>#N/A</v>
      </c>
      <c r="BI36" s="62" t="e">
        <f ca="1">AVERAGE(OFFSET($BH$3,0,0,'Données projet'!$E$11+1,1))-AVERAGE(OFFSET($H$3,0,0,'Données projet'!$E$11+1,1))</f>
        <v>#N/A</v>
      </c>
      <c r="BJ36" s="62" t="e">
        <f t="shared" si="38"/>
        <v>#N/A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 t="e">
        <f>EXP(-LN(2)/35)*BP35+(1-EXP(-LN(2)/35))/(LN(2)/35)*BL36*BM36*VLOOKUP('Données projet'!$B$11,Paramètres!$A$1:$I$89,3,0)*0.475*44/12</f>
        <v>#N/A</v>
      </c>
      <c r="BQ36" s="23" t="e">
        <f>EXP(-LN(2)/25)*BQ35+(1-EXP(-LN(2)/25))/(LN(2)/25)*Calculateur!BL36*Calculateur!BN36*VLOOKUP('Données projet'!$B$11,Paramètres!$A$1:$I$89,3,0)*0.475*44/12</f>
        <v>#N/A</v>
      </c>
      <c r="BR36" s="23" t="e">
        <f>EXP(-LN(2)/2)*BR35+(1-EXP(-LN(2)/2))/(LN(2)/2)*BL36*BO36*VLOOKUP('Données projet'!$B$11,Paramètres!$A$1:$I$89,3,0)*0.475*44/12</f>
        <v>#N/A</v>
      </c>
      <c r="BS36" s="24" t="e">
        <f t="shared" si="9"/>
        <v>#N/A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3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16.795999999999996</v>
      </c>
      <c r="D37" s="12">
        <f t="shared" si="32"/>
        <v>5.5737048587712827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10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172.67842347121689</v>
      </c>
      <c r="H37" s="70">
        <f t="shared" si="1"/>
        <v>332.2939026290266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>
        <f>VLOOKUP(A37,'Données projet'!$A$35:$I$55,2,0)</f>
        <v>304</v>
      </c>
      <c r="L37" s="13">
        <f>VLOOKUP(A37,'Données projet'!$A$35:$I$55,9,0)</f>
        <v>18.666666666666668</v>
      </c>
      <c r="M37" s="13">
        <f t="array" ref="M37">INDEX(L:L,MIN(IF(ISNUMBER(L37:L233),ROW(L37:L233),"")))</f>
        <v>18.666666666666668</v>
      </c>
      <c r="N37" s="14">
        <f>IF('Données projet'!$A$36&gt;35,N36+M37-V36,IF(A37&lt;'Données projet'!$A$36,$K$205^A37,IF(A37='Données projet'!$A$36,'Données projet'!$B$36,N36+M37-V36)))</f>
        <v>304</v>
      </c>
      <c r="O37" s="14">
        <f>N37*VLOOKUP('Données projet'!$B$9,Paramètres!$A$1:$I$89,3,0)*VLOOKUP('Données projet'!$B$9,Paramètres!$A$1:$I$89,5,0)</f>
        <v>181.792</v>
      </c>
      <c r="P37" s="14">
        <f t="shared" si="33"/>
        <v>45.720642997712531</v>
      </c>
      <c r="Q37" s="22">
        <f t="shared" si="53"/>
        <v>396.25118655434932</v>
      </c>
      <c r="R37" s="62">
        <f t="shared" si="0"/>
        <v>689.58451988768263</v>
      </c>
      <c r="S37" s="62">
        <f ca="1">AVERAGE(OFFSET($R$3,0,0,'Données projet'!$E$9+1,1))-AVERAGE(OFFSET($H$3,0,0,'Données projet'!$E$9+1,1))</f>
        <v>255.1976414275677</v>
      </c>
      <c r="T37" s="62">
        <f t="shared" si="34"/>
        <v>266.42714758321767</v>
      </c>
      <c r="U37" s="16">
        <f>IF(ISNA(VLOOKUP(A37,'Données projet'!$A$35:$I$55,3,0)),0,VLOOKUP(A37,'Données projet'!$A$35:$I$55,3,0))</f>
        <v>5</v>
      </c>
      <c r="V37" s="16">
        <f>IF(ISNA(VLOOKUP(A37,'Données projet'!$A$35:$I$55,4,0)),0,VLOOKUP(A37,'Données projet'!$A$35:$I$55,4,0))</f>
        <v>60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10.81586124587829</v>
      </c>
      <c r="AA37" s="23">
        <f>EXP(-LN(2)/25)*AA36+(1-EXP(-LN(2)/25))/(LN(2)/25)*Calculateur!V37*Calculateur!X37*VLOOKUP('Données projet'!$B$9,Paramètres!$A$1:$I$89,3,0)*0.475*44/12</f>
        <v>11.798264009890021</v>
      </c>
      <c r="AB37" s="23">
        <f>EXP(-LN(2)/2)*AB36+(1-EXP(-LN(2)/2))/(LN(2)/2)*V37*Y37*VLOOKUP('Données projet'!$B$9,Paramètres!$A$1:$I$89,3,0)*0.475*44/12</f>
        <v>1.5146906375095996</v>
      </c>
      <c r="AC37" s="24">
        <f t="shared" si="3"/>
        <v>24.12881589327791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0</v>
      </c>
      <c r="AI37" s="14">
        <f>IF('Données projet'!$A$62&gt;35,AI36+AH37-AQ36,IF(A37&lt;'Données projet'!$A$62,$AF$205^A37,IF(A37='Données projet'!$A$62,'Données projet'!$B$62,AI36+AH37-AQ36)))</f>
        <v>0</v>
      </c>
      <c r="AJ37" s="14" t="e">
        <f>AI37*VLOOKUP('Données projet'!$B$10,Paramètres!$A$1:$I$89,3,0)*VLOOKUP('Données projet'!$B$10,Paramètres!$A$1:$I$89,5,0)</f>
        <v>#N/A</v>
      </c>
      <c r="AK37" s="14" t="e">
        <f t="shared" si="35"/>
        <v>#N/A</v>
      </c>
      <c r="AL37" s="22" t="e">
        <f t="shared" si="4"/>
        <v>#N/A</v>
      </c>
      <c r="AM37" s="62" t="e">
        <f t="shared" si="5"/>
        <v>#N/A</v>
      </c>
      <c r="AN37" s="62" t="e">
        <f ca="1">AVERAGE(OFFSET($AM$3,0,0,'Données projet'!$E$10+1,1))-AVERAGE(OFFSET($H$3,0,0,'Données projet'!$E$10+1,1))</f>
        <v>#N/A</v>
      </c>
      <c r="AO37" s="62" t="e">
        <f t="shared" si="36"/>
        <v>#N/A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 t="e">
        <f>EXP(-LN(2)/35)*AU36+(1-EXP(-LN(2)/35))/(LN(2)/35)*AQ37*AR37*VLOOKUP('Données projet'!$B$10,Paramètres!$A$1:$I$89,3,0)*0.475*44/12</f>
        <v>#N/A</v>
      </c>
      <c r="AV37" s="23" t="e">
        <f>EXP(-LN(2)/25)*AV36+(1-EXP(-LN(2)/25))/(LN(2)/25)*Calculateur!AQ37*Calculateur!AS37*VLOOKUP('Données projet'!$B$10,Paramètres!$A$1:$I$89,3,0)*0.475*44/12</f>
        <v>#N/A</v>
      </c>
      <c r="AW37" s="23" t="e">
        <f>EXP(-LN(2)/2)*AW36+(1-EXP(-LN(2)/2))/(LN(2)/2)*AQ37*AT37*VLOOKUP('Données projet'!$B$10,Paramètres!$A$1:$I$89,3,0)*0.475*44/12</f>
        <v>#N/A</v>
      </c>
      <c r="AX37" s="23" t="e">
        <f t="shared" si="6"/>
        <v>#N/A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IF('Données projet'!$A$88&gt;35,BD36+BC37-BL36,IF(A37&lt;'Données projet'!$A$88,$BA$205^A37,IF(A37='Données projet'!$A$88,'Données projet'!$B$88,BD36+BC37-BL36)))</f>
        <v>0</v>
      </c>
      <c r="BE37" s="14" t="e">
        <f>BD37*VLOOKUP('Données projet'!$B$11,Paramètres!$A$1:$I$89,3,0)*VLOOKUP('Données projet'!$B$11,Paramètres!$A$1:$I$89,5,0)</f>
        <v>#N/A</v>
      </c>
      <c r="BF37" s="14" t="e">
        <f t="shared" si="37"/>
        <v>#N/A</v>
      </c>
      <c r="BG37" s="22" t="e">
        <f t="shared" si="7"/>
        <v>#N/A</v>
      </c>
      <c r="BH37" s="62" t="e">
        <f t="shared" si="8"/>
        <v>#N/A</v>
      </c>
      <c r="BI37" s="62" t="e">
        <f ca="1">AVERAGE(OFFSET($BH$3,0,0,'Données projet'!$E$11+1,1))-AVERAGE(OFFSET($H$3,0,0,'Données projet'!$E$11+1,1))</f>
        <v>#N/A</v>
      </c>
      <c r="BJ37" s="62" t="e">
        <f t="shared" si="38"/>
        <v>#N/A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 t="e">
        <f>EXP(-LN(2)/35)*BP36+(1-EXP(-LN(2)/35))/(LN(2)/35)*BL37*BM37*VLOOKUP('Données projet'!$B$11,Paramètres!$A$1:$I$89,3,0)*0.475*44/12</f>
        <v>#N/A</v>
      </c>
      <c r="BQ37" s="23" t="e">
        <f>EXP(-LN(2)/25)*BQ36+(1-EXP(-LN(2)/25))/(LN(2)/25)*Calculateur!BL37*Calculateur!BN37*VLOOKUP('Données projet'!$B$11,Paramètres!$A$1:$I$89,3,0)*0.475*44/12</f>
        <v>#N/A</v>
      </c>
      <c r="BR37" s="23" t="e">
        <f>EXP(-LN(2)/2)*BR36+(1-EXP(-LN(2)/2))/(LN(2)/2)*BL37*BO37*VLOOKUP('Données projet'!$B$11,Paramètres!$A$1:$I$89,3,0)*0.475*44/12</f>
        <v>#N/A</v>
      </c>
      <c r="BS37" s="24" t="e">
        <f t="shared" si="9"/>
        <v>#N/A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3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17.289999999999996</v>
      </c>
      <c r="D38" s="12">
        <f t="shared" si="32"/>
        <v>5.7183103340620756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10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177.60800959626863</v>
      </c>
      <c r="H38" s="70">
        <f t="shared" si="1"/>
        <v>333.40614049849142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14.833333333333334</v>
      </c>
      <c r="N38" s="14">
        <f>IF('Données projet'!$A$36&gt;35,N37+M38-V37,IF(A38&lt;'Données projet'!$A$36,$K$205^A38,IF(A38='Données projet'!$A$36,'Données projet'!$B$36,N37+M38-V37)))</f>
        <v>258.83333333333331</v>
      </c>
      <c r="O38" s="14">
        <f>N38*VLOOKUP('Données projet'!$B$9,Paramètres!$A$1:$I$89,3,0)*VLOOKUP('Données projet'!$B$9,Paramètres!$A$1:$I$89,5,0)</f>
        <v>154.78233333333333</v>
      </c>
      <c r="P38" s="14">
        <f t="shared" si="33"/>
        <v>39.663394950666209</v>
      </c>
      <c r="Q38" s="22">
        <f t="shared" si="53"/>
        <v>338.65964342796582</v>
      </c>
      <c r="R38" s="62">
        <f t="shared" si="0"/>
        <v>631.99297676129913</v>
      </c>
      <c r="S38" s="62">
        <f ca="1">AVERAGE(OFFSET($R$3,0,0,'Données projet'!$E$9+1,1))-AVERAGE(OFFSET($H$3,0,0,'Données projet'!$E$9+1,1))</f>
        <v>255.1976414275677</v>
      </c>
      <c r="T38" s="62">
        <f t="shared" si="34"/>
        <v>266.42714758321767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10.603768803870574</v>
      </c>
      <c r="AA38" s="23">
        <f>EXP(-LN(2)/25)*AA37+(1-EXP(-LN(2)/25))/(LN(2)/25)*Calculateur!V38*Calculateur!X38*VLOOKUP('Données projet'!$B$9,Paramètres!$A$1:$I$89,3,0)*0.475*44/12</f>
        <v>11.475639860095839</v>
      </c>
      <c r="AB38" s="23">
        <f>EXP(-LN(2)/2)*AB37+(1-EXP(-LN(2)/2))/(LN(2)/2)*V38*Y38*VLOOKUP('Données projet'!$B$9,Paramètres!$A$1:$I$89,3,0)*0.475*44/12</f>
        <v>1.0710480211828126</v>
      </c>
      <c r="AC38" s="24">
        <f t="shared" si="3"/>
        <v>23.150456685149223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0</v>
      </c>
      <c r="AI38" s="14">
        <f>IF('Données projet'!$A$62&gt;35,AI37+AH38-AQ37,IF(A38&lt;'Données projet'!$A$62,$AF$205^A38,IF(A38='Données projet'!$A$62,'Données projet'!$B$62,AI37+AH38-AQ37)))</f>
        <v>0</v>
      </c>
      <c r="AJ38" s="14" t="e">
        <f>AI38*VLOOKUP('Données projet'!$B$10,Paramètres!$A$1:$I$89,3,0)*VLOOKUP('Données projet'!$B$10,Paramètres!$A$1:$I$89,5,0)</f>
        <v>#N/A</v>
      </c>
      <c r="AK38" s="14" t="e">
        <f t="shared" si="35"/>
        <v>#N/A</v>
      </c>
      <c r="AL38" s="22" t="e">
        <f t="shared" si="4"/>
        <v>#N/A</v>
      </c>
      <c r="AM38" s="62" t="e">
        <f t="shared" si="5"/>
        <v>#N/A</v>
      </c>
      <c r="AN38" s="62" t="e">
        <f ca="1">AVERAGE(OFFSET($AM$3,0,0,'Données projet'!$E$10+1,1))-AVERAGE(OFFSET($H$3,0,0,'Données projet'!$E$10+1,1))</f>
        <v>#N/A</v>
      </c>
      <c r="AO38" s="62" t="e">
        <f t="shared" si="36"/>
        <v>#N/A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 t="e">
        <f>EXP(-LN(2)/35)*AU37+(1-EXP(-LN(2)/35))/(LN(2)/35)*AQ38*AR38*VLOOKUP('Données projet'!$B$10,Paramètres!$A$1:$I$89,3,0)*0.475*44/12</f>
        <v>#N/A</v>
      </c>
      <c r="AV38" s="23" t="e">
        <f>EXP(-LN(2)/25)*AV37+(1-EXP(-LN(2)/25))/(LN(2)/25)*Calculateur!AQ38*Calculateur!AS38*VLOOKUP('Données projet'!$B$10,Paramètres!$A$1:$I$89,3,0)*0.475*44/12</f>
        <v>#N/A</v>
      </c>
      <c r="AW38" s="23" t="e">
        <f>EXP(-LN(2)/2)*AW37+(1-EXP(-LN(2)/2))/(LN(2)/2)*AQ38*AT38*VLOOKUP('Données projet'!$B$10,Paramètres!$A$1:$I$89,3,0)*0.475*44/12</f>
        <v>#N/A</v>
      </c>
      <c r="AX38" s="23" t="e">
        <f t="shared" si="6"/>
        <v>#N/A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0</v>
      </c>
      <c r="BE38" s="14" t="e">
        <f>BD38*VLOOKUP('Données projet'!$B$11,Paramètres!$A$1:$I$89,3,0)*VLOOKUP('Données projet'!$B$11,Paramètres!$A$1:$I$89,5,0)</f>
        <v>#N/A</v>
      </c>
      <c r="BF38" s="14" t="e">
        <f t="shared" si="37"/>
        <v>#N/A</v>
      </c>
      <c r="BG38" s="22" t="e">
        <f t="shared" si="7"/>
        <v>#N/A</v>
      </c>
      <c r="BH38" s="62" t="e">
        <f t="shared" si="8"/>
        <v>#N/A</v>
      </c>
      <c r="BI38" s="62" t="e">
        <f ca="1">AVERAGE(OFFSET($BH$3,0,0,'Données projet'!$E$11+1,1))-AVERAGE(OFFSET($H$3,0,0,'Données projet'!$E$11+1,1))</f>
        <v>#N/A</v>
      </c>
      <c r="BJ38" s="62" t="e">
        <f t="shared" si="38"/>
        <v>#N/A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 t="e">
        <f>EXP(-LN(2)/35)*BP37+(1-EXP(-LN(2)/35))/(LN(2)/35)*BL38*BM38*VLOOKUP('Données projet'!$B$11,Paramètres!$A$1:$I$89,3,0)*0.475*44/12</f>
        <v>#N/A</v>
      </c>
      <c r="BQ38" s="23" t="e">
        <f>EXP(-LN(2)/25)*BQ37+(1-EXP(-LN(2)/25))/(LN(2)/25)*Calculateur!BL38*Calculateur!BN38*VLOOKUP('Données projet'!$B$11,Paramètres!$A$1:$I$89,3,0)*0.475*44/12</f>
        <v>#N/A</v>
      </c>
      <c r="BR38" s="23" t="e">
        <f>EXP(-LN(2)/2)*BR37+(1-EXP(-LN(2)/2))/(LN(2)/2)*BL38*BO38*VLOOKUP('Données projet'!$B$11,Paramètres!$A$1:$I$89,3,0)*0.475*44/12</f>
        <v>#N/A</v>
      </c>
      <c r="BS38" s="24" t="e">
        <f t="shared" si="9"/>
        <v>#N/A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3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17.783999999999995</v>
      </c>
      <c r="D39" s="12">
        <f t="shared" si="32"/>
        <v>5.8624356226349592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10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182.53388901683124</v>
      </c>
      <c r="H39" s="70">
        <f t="shared" si="1"/>
        <v>334.51754204275585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14.833333333333334</v>
      </c>
      <c r="N39" s="14">
        <f>IF('Données projet'!$A$36&gt;35,N38+M39-V38,IF(A39&lt;'Données projet'!$A$36,$K$205^A39,IF(A39='Données projet'!$A$36,'Données projet'!$B$36,N38+M39-V38)))</f>
        <v>273.66666666666663</v>
      </c>
      <c r="O39" s="14">
        <f>N39*VLOOKUP('Données projet'!$B$9,Paramètres!$A$1:$I$89,3,0)*VLOOKUP('Données projet'!$B$9,Paramètres!$A$1:$I$89,5,0)</f>
        <v>163.65266666666665</v>
      </c>
      <c r="P39" s="14">
        <f t="shared" si="33"/>
        <v>41.665299117984198</v>
      </c>
      <c r="Q39" s="22">
        <f t="shared" si="53"/>
        <v>357.59545707493356</v>
      </c>
      <c r="R39" s="62">
        <f t="shared" si="0"/>
        <v>650.92879040826688</v>
      </c>
      <c r="S39" s="62">
        <f ca="1">AVERAGE(OFFSET($R$3,0,0,'Données projet'!$E$9+1,1))-AVERAGE(OFFSET($H$3,0,0,'Données projet'!$E$9+1,1))</f>
        <v>255.1976414275677</v>
      </c>
      <c r="T39" s="62">
        <f t="shared" si="34"/>
        <v>266.42714758321767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10.395835365287015</v>
      </c>
      <c r="AA39" s="23">
        <f>EXP(-LN(2)/25)*AA38+(1-EXP(-LN(2)/25))/(LN(2)/25)*Calculateur!V39*Calculateur!X39*VLOOKUP('Données projet'!$B$9,Paramètres!$A$1:$I$89,3,0)*0.475*44/12</f>
        <v>11.161837884643846</v>
      </c>
      <c r="AB39" s="23">
        <f>EXP(-LN(2)/2)*AB38+(1-EXP(-LN(2)/2))/(LN(2)/2)*V39*Y39*VLOOKUP('Données projet'!$B$9,Paramètres!$A$1:$I$89,3,0)*0.475*44/12</f>
        <v>0.75734531875479982</v>
      </c>
      <c r="AC39" s="24">
        <f t="shared" si="3"/>
        <v>22.315018568685662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0</v>
      </c>
      <c r="AI39" s="14">
        <f>IF('Données projet'!$A$62&gt;35,AI38+AH39-AQ38,IF(A39&lt;'Données projet'!$A$62,$AF$205^A39,IF(A39='Données projet'!$A$62,'Données projet'!$B$62,AI38+AH39-AQ38)))</f>
        <v>0</v>
      </c>
      <c r="AJ39" s="14" t="e">
        <f>AI39*VLOOKUP('Données projet'!$B$10,Paramètres!$A$1:$I$89,3,0)*VLOOKUP('Données projet'!$B$10,Paramètres!$A$1:$I$89,5,0)</f>
        <v>#N/A</v>
      </c>
      <c r="AK39" s="14" t="e">
        <f t="shared" si="35"/>
        <v>#N/A</v>
      </c>
      <c r="AL39" s="22" t="e">
        <f t="shared" si="4"/>
        <v>#N/A</v>
      </c>
      <c r="AM39" s="62" t="e">
        <f t="shared" si="5"/>
        <v>#N/A</v>
      </c>
      <c r="AN39" s="62" t="e">
        <f ca="1">AVERAGE(OFFSET($AM$3,0,0,'Données projet'!$E$10+1,1))-AVERAGE(OFFSET($H$3,0,0,'Données projet'!$E$10+1,1))</f>
        <v>#N/A</v>
      </c>
      <c r="AO39" s="62" t="e">
        <f t="shared" si="36"/>
        <v>#N/A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 t="e">
        <f>EXP(-LN(2)/35)*AU38+(1-EXP(-LN(2)/35))/(LN(2)/35)*AQ39*AR39*VLOOKUP('Données projet'!$B$10,Paramètres!$A$1:$I$89,3,0)*0.475*44/12</f>
        <v>#N/A</v>
      </c>
      <c r="AV39" s="23" t="e">
        <f>EXP(-LN(2)/25)*AV38+(1-EXP(-LN(2)/25))/(LN(2)/25)*Calculateur!AQ39*Calculateur!AS39*VLOOKUP('Données projet'!$B$10,Paramètres!$A$1:$I$89,3,0)*0.475*44/12</f>
        <v>#N/A</v>
      </c>
      <c r="AW39" s="23" t="e">
        <f>EXP(-LN(2)/2)*AW38+(1-EXP(-LN(2)/2))/(LN(2)/2)*AQ39*AT39*VLOOKUP('Données projet'!$B$10,Paramètres!$A$1:$I$89,3,0)*0.475*44/12</f>
        <v>#N/A</v>
      </c>
      <c r="AX39" s="23" t="e">
        <f t="shared" si="6"/>
        <v>#N/A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0</v>
      </c>
      <c r="BE39" s="14" t="e">
        <f>BD39*VLOOKUP('Données projet'!$B$11,Paramètres!$A$1:$I$89,3,0)*VLOOKUP('Données projet'!$B$11,Paramètres!$A$1:$I$89,5,0)</f>
        <v>#N/A</v>
      </c>
      <c r="BF39" s="14" t="e">
        <f t="shared" si="37"/>
        <v>#N/A</v>
      </c>
      <c r="BG39" s="22" t="e">
        <f t="shared" si="7"/>
        <v>#N/A</v>
      </c>
      <c r="BH39" s="62" t="e">
        <f t="shared" si="8"/>
        <v>#N/A</v>
      </c>
      <c r="BI39" s="62" t="e">
        <f ca="1">AVERAGE(OFFSET($BH$3,0,0,'Données projet'!$E$11+1,1))-AVERAGE(OFFSET($H$3,0,0,'Données projet'!$E$11+1,1))</f>
        <v>#N/A</v>
      </c>
      <c r="BJ39" s="62" t="e">
        <f t="shared" si="38"/>
        <v>#N/A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 t="e">
        <f>EXP(-LN(2)/35)*BP38+(1-EXP(-LN(2)/35))/(LN(2)/35)*BL39*BM39*VLOOKUP('Données projet'!$B$11,Paramètres!$A$1:$I$89,3,0)*0.475*44/12</f>
        <v>#N/A</v>
      </c>
      <c r="BQ39" s="23" t="e">
        <f>EXP(-LN(2)/25)*BQ38+(1-EXP(-LN(2)/25))/(LN(2)/25)*Calculateur!BL39*Calculateur!BN39*VLOOKUP('Données projet'!$B$11,Paramètres!$A$1:$I$89,3,0)*0.475*44/12</f>
        <v>#N/A</v>
      </c>
      <c r="BR39" s="23" t="e">
        <f>EXP(-LN(2)/2)*BR38+(1-EXP(-LN(2)/2))/(LN(2)/2)*BL39*BO39*VLOOKUP('Données projet'!$B$11,Paramètres!$A$1:$I$89,3,0)*0.475*44/12</f>
        <v>#N/A</v>
      </c>
      <c r="BS39" s="24" t="e">
        <f t="shared" si="9"/>
        <v>#N/A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3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18.277999999999995</v>
      </c>
      <c r="D40" s="12">
        <f t="shared" si="32"/>
        <v>6.0060955954395308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10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187.45617652619987</v>
      </c>
      <c r="H40" s="70">
        <f t="shared" si="1"/>
        <v>335.62813316205717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14.833333333333334</v>
      </c>
      <c r="N40" s="14">
        <f>IF('Données projet'!$A$36&gt;35,N39+M40-V39,IF(A40&lt;'Données projet'!$A$36,$K$205^A40,IF(A40='Données projet'!$A$36,'Données projet'!$B$36,N39+M40-V39)))</f>
        <v>288.49999999999994</v>
      </c>
      <c r="O40" s="14">
        <f>N40*VLOOKUP('Données projet'!$B$9,Paramètres!$A$1:$I$89,3,0)*VLOOKUP('Données projet'!$B$9,Paramètres!$A$1:$I$89,5,0)</f>
        <v>172.52299999999997</v>
      </c>
      <c r="P40" s="14">
        <f t="shared" si="33"/>
        <v>43.654606249530367</v>
      </c>
      <c r="Q40" s="22">
        <f t="shared" si="53"/>
        <v>376.50933088459868</v>
      </c>
      <c r="R40" s="62">
        <f t="shared" si="0"/>
        <v>669.842664217932</v>
      </c>
      <c r="S40" s="62">
        <f ca="1">AVERAGE(OFFSET($R$3,0,0,'Données projet'!$E$9+1,1))-AVERAGE(OFFSET($H$3,0,0,'Données projet'!$E$9+1,1))</f>
        <v>255.1976414275677</v>
      </c>
      <c r="T40" s="62">
        <f t="shared" si="34"/>
        <v>266.42714758321767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10.191979374607204</v>
      </c>
      <c r="AA40" s="23">
        <f>EXP(-LN(2)/25)*AA39+(1-EXP(-LN(2)/25))/(LN(2)/25)*Calculateur!V40*Calculateur!X40*VLOOKUP('Données projet'!$B$9,Paramètres!$A$1:$I$89,3,0)*0.475*44/12</f>
        <v>10.856616840712716</v>
      </c>
      <c r="AB40" s="23">
        <f>EXP(-LN(2)/2)*AB39+(1-EXP(-LN(2)/2))/(LN(2)/2)*V40*Y40*VLOOKUP('Données projet'!$B$9,Paramètres!$A$1:$I$89,3,0)*0.475*44/12</f>
        <v>0.53552401059140631</v>
      </c>
      <c r="AC40" s="24">
        <f t="shared" si="3"/>
        <v>21.584120225911324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0</v>
      </c>
      <c r="AI40" s="14">
        <f>IF('Données projet'!$A$62&gt;35,AI39+AH40-AQ39,IF(A40&lt;'Données projet'!$A$62,$AF$205^A40,IF(A40='Données projet'!$A$62,'Données projet'!$B$62,AI39+AH40-AQ39)))</f>
        <v>0</v>
      </c>
      <c r="AJ40" s="14" t="e">
        <f>AI40*VLOOKUP('Données projet'!$B$10,Paramètres!$A$1:$I$89,3,0)*VLOOKUP('Données projet'!$B$10,Paramètres!$A$1:$I$89,5,0)</f>
        <v>#N/A</v>
      </c>
      <c r="AK40" s="14" t="e">
        <f t="shared" si="35"/>
        <v>#N/A</v>
      </c>
      <c r="AL40" s="22" t="e">
        <f t="shared" si="4"/>
        <v>#N/A</v>
      </c>
      <c r="AM40" s="62" t="e">
        <f t="shared" si="5"/>
        <v>#N/A</v>
      </c>
      <c r="AN40" s="62" t="e">
        <f ca="1">AVERAGE(OFFSET($AM$3,0,0,'Données projet'!$E$10+1,1))-AVERAGE(OFFSET($H$3,0,0,'Données projet'!$E$10+1,1))</f>
        <v>#N/A</v>
      </c>
      <c r="AO40" s="62" t="e">
        <f t="shared" si="36"/>
        <v>#N/A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 t="e">
        <f>EXP(-LN(2)/35)*AU39+(1-EXP(-LN(2)/35))/(LN(2)/35)*AQ40*AR40*VLOOKUP('Données projet'!$B$10,Paramètres!$A$1:$I$89,3,0)*0.475*44/12</f>
        <v>#N/A</v>
      </c>
      <c r="AV40" s="23" t="e">
        <f>EXP(-LN(2)/25)*AV39+(1-EXP(-LN(2)/25))/(LN(2)/25)*Calculateur!AQ40*Calculateur!AS40*VLOOKUP('Données projet'!$B$10,Paramètres!$A$1:$I$89,3,0)*0.475*44/12</f>
        <v>#N/A</v>
      </c>
      <c r="AW40" s="23" t="e">
        <f>EXP(-LN(2)/2)*AW39+(1-EXP(-LN(2)/2))/(LN(2)/2)*AQ40*AT40*VLOOKUP('Données projet'!$B$10,Paramètres!$A$1:$I$89,3,0)*0.475*44/12</f>
        <v>#N/A</v>
      </c>
      <c r="AX40" s="23" t="e">
        <f t="shared" si="6"/>
        <v>#N/A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0</v>
      </c>
      <c r="BE40" s="14" t="e">
        <f>BD40*VLOOKUP('Données projet'!$B$11,Paramètres!$A$1:$I$89,3,0)*VLOOKUP('Données projet'!$B$11,Paramètres!$A$1:$I$89,5,0)</f>
        <v>#N/A</v>
      </c>
      <c r="BF40" s="14" t="e">
        <f t="shared" si="37"/>
        <v>#N/A</v>
      </c>
      <c r="BG40" s="22" t="e">
        <f t="shared" si="7"/>
        <v>#N/A</v>
      </c>
      <c r="BH40" s="62" t="e">
        <f t="shared" si="8"/>
        <v>#N/A</v>
      </c>
      <c r="BI40" s="62" t="e">
        <f ca="1">AVERAGE(OFFSET($BH$3,0,0,'Données projet'!$E$11+1,1))-AVERAGE(OFFSET($H$3,0,0,'Données projet'!$E$11+1,1))</f>
        <v>#N/A</v>
      </c>
      <c r="BJ40" s="62" t="e">
        <f t="shared" si="38"/>
        <v>#N/A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 t="e">
        <f>EXP(-LN(2)/35)*BP39+(1-EXP(-LN(2)/35))/(LN(2)/35)*BL40*BM40*VLOOKUP('Données projet'!$B$11,Paramètres!$A$1:$I$89,3,0)*0.475*44/12</f>
        <v>#N/A</v>
      </c>
      <c r="BQ40" s="23" t="e">
        <f>EXP(-LN(2)/25)*BQ39+(1-EXP(-LN(2)/25))/(LN(2)/25)*Calculateur!BL40*Calculateur!BN40*VLOOKUP('Données projet'!$B$11,Paramètres!$A$1:$I$89,3,0)*0.475*44/12</f>
        <v>#N/A</v>
      </c>
      <c r="BR40" s="23" t="e">
        <f>EXP(-LN(2)/2)*BR39+(1-EXP(-LN(2)/2))/(LN(2)/2)*BL40*BO40*VLOOKUP('Données projet'!$B$11,Paramètres!$A$1:$I$89,3,0)*0.475*44/12</f>
        <v>#N/A</v>
      </c>
      <c r="BS40" s="24" t="e">
        <f t="shared" si="9"/>
        <v>#N/A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3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18.771999999999995</v>
      </c>
      <c r="D41" s="12">
        <f t="shared" si="32"/>
        <v>6.1493042738312038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10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192.37498035939871</v>
      </c>
      <c r="H41" s="70">
        <f t="shared" si="1"/>
        <v>336.73793827692265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14.833333333333334</v>
      </c>
      <c r="N41" s="14">
        <f>IF('Données projet'!$A$36&gt;35,N40+M41-V40,IF(A41&lt;'Données projet'!$A$36,$K$205^A41,IF(A41='Données projet'!$A$36,'Données projet'!$B$36,N40+M41-V40)))</f>
        <v>303.33333333333326</v>
      </c>
      <c r="O41" s="14">
        <f>N41*VLOOKUP('Données projet'!$B$9,Paramètres!$A$1:$I$89,3,0)*VLOOKUP('Données projet'!$B$9,Paramètres!$A$1:$I$89,5,0)</f>
        <v>181.39333333333329</v>
      </c>
      <c r="P41" s="14">
        <f t="shared" si="33"/>
        <v>45.632037908846122</v>
      </c>
      <c r="Q41" s="22">
        <f t="shared" si="53"/>
        <v>395.40252158012913</v>
      </c>
      <c r="R41" s="62">
        <f t="shared" si="0"/>
        <v>688.73585491346239</v>
      </c>
      <c r="S41" s="62">
        <f ca="1">AVERAGE(OFFSET($R$3,0,0,'Données projet'!$E$9+1,1))-AVERAGE(OFFSET($H$3,0,0,'Données projet'!$E$9+1,1))</f>
        <v>255.1976414275677</v>
      </c>
      <c r="T41" s="62">
        <f t="shared" si="34"/>
        <v>266.42714758321767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9.9921208755647477</v>
      </c>
      <c r="AA41" s="23">
        <f>EXP(-LN(2)/25)*AA40+(1-EXP(-LN(2)/25))/(LN(2)/25)*Calculateur!V41*Calculateur!X41*VLOOKUP('Données projet'!$B$9,Paramètres!$A$1:$I$89,3,0)*0.475*44/12</f>
        <v>10.55974208227876</v>
      </c>
      <c r="AB41" s="23">
        <f>EXP(-LN(2)/2)*AB40+(1-EXP(-LN(2)/2))/(LN(2)/2)*V41*Y41*VLOOKUP('Données projet'!$B$9,Paramètres!$A$1:$I$89,3,0)*0.475*44/12</f>
        <v>0.37867265937739991</v>
      </c>
      <c r="AC41" s="24">
        <f t="shared" si="3"/>
        <v>20.930535617220908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0</v>
      </c>
      <c r="AI41" s="14">
        <f>IF('Données projet'!$A$62&gt;35,AI40+AH41-AQ40,IF(A41&lt;'Données projet'!$A$62,$AF$205^A41,IF(A41='Données projet'!$A$62,'Données projet'!$B$62,AI40+AH41-AQ40)))</f>
        <v>0</v>
      </c>
      <c r="AJ41" s="14" t="e">
        <f>AI41*VLOOKUP('Données projet'!$B$10,Paramètres!$A$1:$I$89,3,0)*VLOOKUP('Données projet'!$B$10,Paramètres!$A$1:$I$89,5,0)</f>
        <v>#N/A</v>
      </c>
      <c r="AK41" s="14" t="e">
        <f t="shared" si="35"/>
        <v>#N/A</v>
      </c>
      <c r="AL41" s="22" t="e">
        <f t="shared" si="4"/>
        <v>#N/A</v>
      </c>
      <c r="AM41" s="62" t="e">
        <f t="shared" si="5"/>
        <v>#N/A</v>
      </c>
      <c r="AN41" s="62" t="e">
        <f ca="1">AVERAGE(OFFSET($AM$3,0,0,'Données projet'!$E$10+1,1))-AVERAGE(OFFSET($H$3,0,0,'Données projet'!$E$10+1,1))</f>
        <v>#N/A</v>
      </c>
      <c r="AO41" s="62" t="e">
        <f t="shared" si="36"/>
        <v>#N/A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 t="e">
        <f>EXP(-LN(2)/35)*AU40+(1-EXP(-LN(2)/35))/(LN(2)/35)*AQ41*AR41*VLOOKUP('Données projet'!$B$10,Paramètres!$A$1:$I$89,3,0)*0.475*44/12</f>
        <v>#N/A</v>
      </c>
      <c r="AV41" s="23" t="e">
        <f>EXP(-LN(2)/25)*AV40+(1-EXP(-LN(2)/25))/(LN(2)/25)*Calculateur!AQ41*Calculateur!AS41*VLOOKUP('Données projet'!$B$10,Paramètres!$A$1:$I$89,3,0)*0.475*44/12</f>
        <v>#N/A</v>
      </c>
      <c r="AW41" s="23" t="e">
        <f>EXP(-LN(2)/2)*AW40+(1-EXP(-LN(2)/2))/(LN(2)/2)*AQ41*AT41*VLOOKUP('Données projet'!$B$10,Paramètres!$A$1:$I$89,3,0)*0.475*44/12</f>
        <v>#N/A</v>
      </c>
      <c r="AX41" s="23" t="e">
        <f t="shared" si="6"/>
        <v>#N/A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0</v>
      </c>
      <c r="BE41" s="14" t="e">
        <f>BD41*VLOOKUP('Données projet'!$B$11,Paramètres!$A$1:$I$89,3,0)*VLOOKUP('Données projet'!$B$11,Paramètres!$A$1:$I$89,5,0)</f>
        <v>#N/A</v>
      </c>
      <c r="BF41" s="14" t="e">
        <f t="shared" si="37"/>
        <v>#N/A</v>
      </c>
      <c r="BG41" s="22" t="e">
        <f t="shared" si="7"/>
        <v>#N/A</v>
      </c>
      <c r="BH41" s="62" t="e">
        <f t="shared" si="8"/>
        <v>#N/A</v>
      </c>
      <c r="BI41" s="62" t="e">
        <f ca="1">AVERAGE(OFFSET($BH$3,0,0,'Données projet'!$E$11+1,1))-AVERAGE(OFFSET($H$3,0,0,'Données projet'!$E$11+1,1))</f>
        <v>#N/A</v>
      </c>
      <c r="BJ41" s="62" t="e">
        <f t="shared" si="38"/>
        <v>#N/A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 t="e">
        <f>EXP(-LN(2)/35)*BP40+(1-EXP(-LN(2)/35))/(LN(2)/35)*BL41*BM41*VLOOKUP('Données projet'!$B$11,Paramètres!$A$1:$I$89,3,0)*0.475*44/12</f>
        <v>#N/A</v>
      </c>
      <c r="BQ41" s="23" t="e">
        <f>EXP(-LN(2)/25)*BQ40+(1-EXP(-LN(2)/25))/(LN(2)/25)*Calculateur!BL41*Calculateur!BN41*VLOOKUP('Données projet'!$B$11,Paramètres!$A$1:$I$89,3,0)*0.475*44/12</f>
        <v>#N/A</v>
      </c>
      <c r="BR41" s="23" t="e">
        <f>EXP(-LN(2)/2)*BR40+(1-EXP(-LN(2)/2))/(LN(2)/2)*BL41*BO41*VLOOKUP('Données projet'!$B$11,Paramètres!$A$1:$I$89,3,0)*0.475*44/12</f>
        <v>#N/A</v>
      </c>
      <c r="BS41" s="24" t="e">
        <f t="shared" si="9"/>
        <v>#N/A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3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19.265999999999995</v>
      </c>
      <c r="D42" s="12">
        <f t="shared" si="32"/>
        <v>6.2920748991727322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10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197.29040273045618</v>
      </c>
      <c r="H42" s="70">
        <f t="shared" si="1"/>
        <v>337.8469804493925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14.833333333333334</v>
      </c>
      <c r="N42" s="14">
        <f>IF('Données projet'!$A$36&gt;35,N41+M42-V41,IF(A42&lt;'Données projet'!$A$36,$K$205^A42,IF(A42='Données projet'!$A$36,'Données projet'!$B$36,N41+M42-V41)))</f>
        <v>318.16666666666657</v>
      </c>
      <c r="O42" s="14">
        <f>N42*VLOOKUP('Données projet'!$B$9,Paramètres!$A$1:$I$89,3,0)*VLOOKUP('Données projet'!$B$9,Paramètres!$A$1:$I$89,5,0)</f>
        <v>190.26366666666661</v>
      </c>
      <c r="P42" s="14">
        <f t="shared" si="33"/>
        <v>47.598241102015862</v>
      </c>
      <c r="Q42" s="22">
        <f t="shared" si="53"/>
        <v>414.27615603045524</v>
      </c>
      <c r="R42" s="62">
        <f t="shared" si="0"/>
        <v>707.6094893637885</v>
      </c>
      <c r="S42" s="62">
        <f ca="1">AVERAGE(OFFSET($R$3,0,0,'Données projet'!$E$9+1,1))-AVERAGE(OFFSET($H$3,0,0,'Données projet'!$E$9+1,1))</f>
        <v>255.1976414275677</v>
      </c>
      <c r="T42" s="62">
        <f t="shared" si="34"/>
        <v>266.42714758321767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9.7961814797868669</v>
      </c>
      <c r="AA42" s="23">
        <f>EXP(-LN(2)/25)*AA41+(1-EXP(-LN(2)/25))/(LN(2)/25)*Calculateur!V42*Calculateur!X42*VLOOKUP('Données projet'!$B$9,Paramètres!$A$1:$I$89,3,0)*0.475*44/12</f>
        <v>10.270985379726145</v>
      </c>
      <c r="AB42" s="23">
        <f>EXP(-LN(2)/2)*AB41+(1-EXP(-LN(2)/2))/(LN(2)/2)*V42*Y42*VLOOKUP('Données projet'!$B$9,Paramètres!$A$1:$I$89,3,0)*0.475*44/12</f>
        <v>0.26776200529570315</v>
      </c>
      <c r="AC42" s="24">
        <f t="shared" si="3"/>
        <v>20.334928864808717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0</v>
      </c>
      <c r="AI42" s="14">
        <f>IF('Données projet'!$A$62&gt;35,AI41+AH42-AQ41,IF(A42&lt;'Données projet'!$A$62,$AF$205^A42,IF(A42='Données projet'!$A$62,'Données projet'!$B$62,AI41+AH42-AQ41)))</f>
        <v>0</v>
      </c>
      <c r="AJ42" s="14" t="e">
        <f>AI42*VLOOKUP('Données projet'!$B$10,Paramètres!$A$1:$I$89,3,0)*VLOOKUP('Données projet'!$B$10,Paramètres!$A$1:$I$89,5,0)</f>
        <v>#N/A</v>
      </c>
      <c r="AK42" s="14" t="e">
        <f t="shared" si="35"/>
        <v>#N/A</v>
      </c>
      <c r="AL42" s="22" t="e">
        <f t="shared" si="4"/>
        <v>#N/A</v>
      </c>
      <c r="AM42" s="62" t="e">
        <f t="shared" si="5"/>
        <v>#N/A</v>
      </c>
      <c r="AN42" s="62" t="e">
        <f ca="1">AVERAGE(OFFSET($AM$3,0,0,'Données projet'!$E$10+1,1))-AVERAGE(OFFSET($H$3,0,0,'Données projet'!$E$10+1,1))</f>
        <v>#N/A</v>
      </c>
      <c r="AO42" s="62" t="e">
        <f t="shared" si="36"/>
        <v>#N/A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 t="e">
        <f>EXP(-LN(2)/35)*AU41+(1-EXP(-LN(2)/35))/(LN(2)/35)*AQ42*AR42*VLOOKUP('Données projet'!$B$10,Paramètres!$A$1:$I$89,3,0)*0.475*44/12</f>
        <v>#N/A</v>
      </c>
      <c r="AV42" s="23" t="e">
        <f>EXP(-LN(2)/25)*AV41+(1-EXP(-LN(2)/25))/(LN(2)/25)*Calculateur!AQ42*Calculateur!AS42*VLOOKUP('Données projet'!$B$10,Paramètres!$A$1:$I$89,3,0)*0.475*44/12</f>
        <v>#N/A</v>
      </c>
      <c r="AW42" s="23" t="e">
        <f>EXP(-LN(2)/2)*AW41+(1-EXP(-LN(2)/2))/(LN(2)/2)*AQ42*AT42*VLOOKUP('Données projet'!$B$10,Paramètres!$A$1:$I$89,3,0)*0.475*44/12</f>
        <v>#N/A</v>
      </c>
      <c r="AX42" s="23" t="e">
        <f t="shared" si="6"/>
        <v>#N/A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0</v>
      </c>
      <c r="BE42" s="14" t="e">
        <f>BD42*VLOOKUP('Données projet'!$B$11,Paramètres!$A$1:$I$89,3,0)*VLOOKUP('Données projet'!$B$11,Paramètres!$A$1:$I$89,5,0)</f>
        <v>#N/A</v>
      </c>
      <c r="BF42" s="14" t="e">
        <f t="shared" si="37"/>
        <v>#N/A</v>
      </c>
      <c r="BG42" s="22" t="e">
        <f t="shared" si="7"/>
        <v>#N/A</v>
      </c>
      <c r="BH42" s="62" t="e">
        <f t="shared" si="8"/>
        <v>#N/A</v>
      </c>
      <c r="BI42" s="62" t="e">
        <f ca="1">AVERAGE(OFFSET($BH$3,0,0,'Données projet'!$E$11+1,1))-AVERAGE(OFFSET($H$3,0,0,'Données projet'!$E$11+1,1))</f>
        <v>#N/A</v>
      </c>
      <c r="BJ42" s="62" t="e">
        <f t="shared" si="38"/>
        <v>#N/A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 t="e">
        <f>EXP(-LN(2)/35)*BP41+(1-EXP(-LN(2)/35))/(LN(2)/35)*BL42*BM42*VLOOKUP('Données projet'!$B$11,Paramètres!$A$1:$I$89,3,0)*0.475*44/12</f>
        <v>#N/A</v>
      </c>
      <c r="BQ42" s="23" t="e">
        <f>EXP(-LN(2)/25)*BQ41+(1-EXP(-LN(2)/25))/(LN(2)/25)*Calculateur!BL42*Calculateur!BN42*VLOOKUP('Données projet'!$B$11,Paramètres!$A$1:$I$89,3,0)*0.475*44/12</f>
        <v>#N/A</v>
      </c>
      <c r="BR42" s="23" t="e">
        <f>EXP(-LN(2)/2)*BR41+(1-EXP(-LN(2)/2))/(LN(2)/2)*BL42*BO42*VLOOKUP('Données projet'!$B$11,Paramètres!$A$1:$I$89,3,0)*0.475*44/12</f>
        <v>#N/A</v>
      </c>
      <c r="BS42" s="24" t="e">
        <f t="shared" si="9"/>
        <v>#N/A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3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19.759999999999994</v>
      </c>
      <c r="D43" s="12">
        <f t="shared" si="32"/>
        <v>6.4344199950962579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10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202.20254031302375</v>
      </c>
      <c r="H43" s="70">
        <f t="shared" si="1"/>
        <v>338.95528149145929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>
        <f>VLOOKUP(A43,'Données projet'!$A$35:$I$55,2,0)</f>
        <v>333</v>
      </c>
      <c r="L43" s="13">
        <f>VLOOKUP(A43,'Données projet'!$A$35:$I$55,9,0)</f>
        <v>14.833333333333334</v>
      </c>
      <c r="M43" s="13">
        <f t="array" ref="M43">INDEX(L:L,MIN(IF(ISNUMBER(L43:L239),ROW(L43:L239),"")))</f>
        <v>14.833333333333334</v>
      </c>
      <c r="N43" s="14">
        <f>IF('Données projet'!$A$36&gt;35,N42+M43-V42,IF(A43&lt;'Données projet'!$A$36,$K$205^A43,IF(A43='Données projet'!$A$36,'Données projet'!$B$36,N42+M43-V42)))</f>
        <v>332.99999999999989</v>
      </c>
      <c r="O43" s="14">
        <f>N43*VLOOKUP('Données projet'!$B$9,Paramètres!$A$1:$I$89,3,0)*VLOOKUP('Données projet'!$B$9,Paramètres!$A$1:$I$89,5,0)</f>
        <v>199.13399999999993</v>
      </c>
      <c r="P43" s="14">
        <f t="shared" si="33"/>
        <v>49.553799097205186</v>
      </c>
      <c r="Q43" s="22">
        <f t="shared" si="53"/>
        <v>433.13125009429888</v>
      </c>
      <c r="R43" s="62">
        <f t="shared" si="0"/>
        <v>726.46458342763219</v>
      </c>
      <c r="S43" s="62">
        <f ca="1">AVERAGE(OFFSET($R$3,0,0,'Données projet'!$E$9+1,1))-AVERAGE(OFFSET($H$3,0,0,'Données projet'!$E$9+1,1))</f>
        <v>255.1976414275677</v>
      </c>
      <c r="T43" s="62">
        <f t="shared" si="34"/>
        <v>266.42714758321767</v>
      </c>
      <c r="U43" s="16">
        <f>IF(ISNA(VLOOKUP(A43,'Données projet'!$A$35:$I$55,3,0)),0,VLOOKUP(A43,'Données projet'!$A$35:$I$55,3,0))</f>
        <v>6</v>
      </c>
      <c r="V43" s="16">
        <f>IF(ISNA(VLOOKUP(A43,'Données projet'!$A$35:$I$55,4,0)),0,VLOOKUP(A43,'Données projet'!$A$35:$I$55,4,0))</f>
        <v>34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9.6040843360489596</v>
      </c>
      <c r="AA43" s="23">
        <f>EXP(-LN(2)/25)*AA42+(1-EXP(-LN(2)/25))/(LN(2)/25)*Calculateur!V43*Calculateur!X43*VLOOKUP('Données projet'!$B$9,Paramètres!$A$1:$I$89,3,0)*0.475*44/12</f>
        <v>9.9901247443898882</v>
      </c>
      <c r="AB43" s="23">
        <f>EXP(-LN(2)/2)*AB42+(1-EXP(-LN(2)/2))/(LN(2)/2)*V43*Y43*VLOOKUP('Données projet'!$B$9,Paramètres!$A$1:$I$89,3,0)*0.475*44/12</f>
        <v>0.18933632968869996</v>
      </c>
      <c r="AC43" s="24">
        <f t="shared" si="3"/>
        <v>19.783545410127548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0</v>
      </c>
      <c r="AI43" s="14">
        <f>IF('Données projet'!$A$62&gt;35,AI42+AH43-AQ42,IF(A43&lt;'Données projet'!$A$62,$AF$205^A43,IF(A43='Données projet'!$A$62,'Données projet'!$B$62,AI42+AH43-AQ42)))</f>
        <v>0</v>
      </c>
      <c r="AJ43" s="14" t="e">
        <f>AI43*VLOOKUP('Données projet'!$B$10,Paramètres!$A$1:$I$89,3,0)*VLOOKUP('Données projet'!$B$10,Paramètres!$A$1:$I$89,5,0)</f>
        <v>#N/A</v>
      </c>
      <c r="AK43" s="14" t="e">
        <f t="shared" si="35"/>
        <v>#N/A</v>
      </c>
      <c r="AL43" s="22" t="e">
        <f t="shared" si="4"/>
        <v>#N/A</v>
      </c>
      <c r="AM43" s="62" t="e">
        <f t="shared" si="5"/>
        <v>#N/A</v>
      </c>
      <c r="AN43" s="62" t="e">
        <f ca="1">AVERAGE(OFFSET($AM$3,0,0,'Données projet'!$E$10+1,1))-AVERAGE(OFFSET($H$3,0,0,'Données projet'!$E$10+1,1))</f>
        <v>#N/A</v>
      </c>
      <c r="AO43" s="62" t="e">
        <f t="shared" si="36"/>
        <v>#N/A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 t="e">
        <f>EXP(-LN(2)/35)*AU42+(1-EXP(-LN(2)/35))/(LN(2)/35)*AQ43*AR43*VLOOKUP('Données projet'!$B$10,Paramètres!$A$1:$I$89,3,0)*0.475*44/12</f>
        <v>#N/A</v>
      </c>
      <c r="AV43" s="23" t="e">
        <f>EXP(-LN(2)/25)*AV42+(1-EXP(-LN(2)/25))/(LN(2)/25)*Calculateur!AQ43*Calculateur!AS43*VLOOKUP('Données projet'!$B$10,Paramètres!$A$1:$I$89,3,0)*0.475*44/12</f>
        <v>#N/A</v>
      </c>
      <c r="AW43" s="23" t="e">
        <f>EXP(-LN(2)/2)*AW42+(1-EXP(-LN(2)/2))/(LN(2)/2)*AQ43*AT43*VLOOKUP('Données projet'!$B$10,Paramètres!$A$1:$I$89,3,0)*0.475*44/12</f>
        <v>#N/A</v>
      </c>
      <c r="AX43" s="23" t="e">
        <f t="shared" si="6"/>
        <v>#N/A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0</v>
      </c>
      <c r="BE43" s="14" t="e">
        <f>BD43*VLOOKUP('Données projet'!$B$11,Paramètres!$A$1:$I$89,3,0)*VLOOKUP('Données projet'!$B$11,Paramètres!$A$1:$I$89,5,0)</f>
        <v>#N/A</v>
      </c>
      <c r="BF43" s="14" t="e">
        <f t="shared" si="37"/>
        <v>#N/A</v>
      </c>
      <c r="BG43" s="22" t="e">
        <f t="shared" si="7"/>
        <v>#N/A</v>
      </c>
      <c r="BH43" s="62" t="e">
        <f t="shared" si="8"/>
        <v>#N/A</v>
      </c>
      <c r="BI43" s="62" t="e">
        <f ca="1">AVERAGE(OFFSET($BH$3,0,0,'Données projet'!$E$11+1,1))-AVERAGE(OFFSET($H$3,0,0,'Données projet'!$E$11+1,1))</f>
        <v>#N/A</v>
      </c>
      <c r="BJ43" s="62" t="e">
        <f t="shared" si="38"/>
        <v>#N/A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 t="e">
        <f>EXP(-LN(2)/35)*BP42+(1-EXP(-LN(2)/35))/(LN(2)/35)*BL43*BM43*VLOOKUP('Données projet'!$B$11,Paramètres!$A$1:$I$89,3,0)*0.475*44/12</f>
        <v>#N/A</v>
      </c>
      <c r="BQ43" s="23" t="e">
        <f>EXP(-LN(2)/25)*BQ42+(1-EXP(-LN(2)/25))/(LN(2)/25)*Calculateur!BL43*Calculateur!BN43*VLOOKUP('Données projet'!$B$11,Paramètres!$A$1:$I$89,3,0)*0.475*44/12</f>
        <v>#N/A</v>
      </c>
      <c r="BR43" s="23" t="e">
        <f>EXP(-LN(2)/2)*BR42+(1-EXP(-LN(2)/2))/(LN(2)/2)*BL43*BO43*VLOOKUP('Données projet'!$B$11,Paramètres!$A$1:$I$89,3,0)*0.475*44/12</f>
        <v>#N/A</v>
      </c>
      <c r="BS43" s="24" t="e">
        <f t="shared" si="9"/>
        <v>#N/A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3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20.253999999999994</v>
      </c>
      <c r="D44" s="12">
        <f t="shared" si="32"/>
        <v>6.5763514233638816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10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207.1114846715808</v>
      </c>
      <c r="H44" s="70">
        <f t="shared" si="1"/>
        <v>340.0628620623587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11</v>
      </c>
      <c r="N44" s="14">
        <f>IF('Données projet'!$A$36&gt;35,N43+M44-V43,IF(A44&lt;'Données projet'!$A$36,$K$205^A44,IF(A44='Données projet'!$A$36,'Données projet'!$B$36,N43+M44-V43)))</f>
        <v>309.99999999999989</v>
      </c>
      <c r="O44" s="14">
        <f>N44*VLOOKUP('Données projet'!$B$9,Paramètres!$A$1:$I$89,3,0)*VLOOKUP('Données projet'!$B$9,Paramètres!$A$1:$I$89,5,0)</f>
        <v>185.37999999999997</v>
      </c>
      <c r="P44" s="14">
        <f t="shared" si="33"/>
        <v>46.517077709312211</v>
      </c>
      <c r="Q44" s="22">
        <f t="shared" si="53"/>
        <v>403.88741034371873</v>
      </c>
      <c r="R44" s="62">
        <f t="shared" si="0"/>
        <v>697.22074367705204</v>
      </c>
      <c r="S44" s="62">
        <f ca="1">AVERAGE(OFFSET($R$3,0,0,'Données projet'!$E$9+1,1))-AVERAGE(OFFSET($H$3,0,0,'Données projet'!$E$9+1,1))</f>
        <v>255.1976414275677</v>
      </c>
      <c r="T44" s="62">
        <f t="shared" si="34"/>
        <v>266.42714758321767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9.4157541001320642</v>
      </c>
      <c r="AA44" s="23">
        <f>EXP(-LN(2)/25)*AA43+(1-EXP(-LN(2)/25))/(LN(2)/25)*Calculateur!V44*Calculateur!X44*VLOOKUP('Données projet'!$B$9,Paramètres!$A$1:$I$89,3,0)*0.475*44/12</f>
        <v>9.7169442578967189</v>
      </c>
      <c r="AB44" s="23">
        <f>EXP(-LN(2)/2)*AB43+(1-EXP(-LN(2)/2))/(LN(2)/2)*V44*Y44*VLOOKUP('Données projet'!$B$9,Paramètres!$A$1:$I$89,3,0)*0.475*44/12</f>
        <v>0.13388100264785158</v>
      </c>
      <c r="AC44" s="24">
        <f t="shared" si="3"/>
        <v>19.266579360676634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0</v>
      </c>
      <c r="AI44" s="14">
        <f>IF('Données projet'!$A$62&gt;35,AI43+AH44-AQ43,IF(A44&lt;'Données projet'!$A$62,$AF$205^A44,IF(A44='Données projet'!$A$62,'Données projet'!$B$62,AI43+AH44-AQ43)))</f>
        <v>0</v>
      </c>
      <c r="AJ44" s="14" t="e">
        <f>AI44*VLOOKUP('Données projet'!$B$10,Paramètres!$A$1:$I$89,3,0)*VLOOKUP('Données projet'!$B$10,Paramètres!$A$1:$I$89,5,0)</f>
        <v>#N/A</v>
      </c>
      <c r="AK44" s="14" t="e">
        <f t="shared" si="35"/>
        <v>#N/A</v>
      </c>
      <c r="AL44" s="22" t="e">
        <f t="shared" si="4"/>
        <v>#N/A</v>
      </c>
      <c r="AM44" s="62" t="e">
        <f t="shared" si="5"/>
        <v>#N/A</v>
      </c>
      <c r="AN44" s="62" t="e">
        <f ca="1">AVERAGE(OFFSET($AM$3,0,0,'Données projet'!$E$10+1,1))-AVERAGE(OFFSET($H$3,0,0,'Données projet'!$E$10+1,1))</f>
        <v>#N/A</v>
      </c>
      <c r="AO44" s="62" t="e">
        <f t="shared" si="36"/>
        <v>#N/A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 t="e">
        <f>EXP(-LN(2)/35)*AU43+(1-EXP(-LN(2)/35))/(LN(2)/35)*AQ44*AR44*VLOOKUP('Données projet'!$B$10,Paramètres!$A$1:$I$89,3,0)*0.475*44/12</f>
        <v>#N/A</v>
      </c>
      <c r="AV44" s="23" t="e">
        <f>EXP(-LN(2)/25)*AV43+(1-EXP(-LN(2)/25))/(LN(2)/25)*Calculateur!AQ44*Calculateur!AS44*VLOOKUP('Données projet'!$B$10,Paramètres!$A$1:$I$89,3,0)*0.475*44/12</f>
        <v>#N/A</v>
      </c>
      <c r="AW44" s="23" t="e">
        <f>EXP(-LN(2)/2)*AW43+(1-EXP(-LN(2)/2))/(LN(2)/2)*AQ44*AT44*VLOOKUP('Données projet'!$B$10,Paramètres!$A$1:$I$89,3,0)*0.475*44/12</f>
        <v>#N/A</v>
      </c>
      <c r="AX44" s="23" t="e">
        <f t="shared" si="6"/>
        <v>#N/A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0</v>
      </c>
      <c r="BE44" s="14" t="e">
        <f>BD44*VLOOKUP('Données projet'!$B$11,Paramètres!$A$1:$I$89,3,0)*VLOOKUP('Données projet'!$B$11,Paramètres!$A$1:$I$89,5,0)</f>
        <v>#N/A</v>
      </c>
      <c r="BF44" s="14" t="e">
        <f t="shared" si="37"/>
        <v>#N/A</v>
      </c>
      <c r="BG44" s="22" t="e">
        <f t="shared" si="7"/>
        <v>#N/A</v>
      </c>
      <c r="BH44" s="62" t="e">
        <f t="shared" si="8"/>
        <v>#N/A</v>
      </c>
      <c r="BI44" s="62" t="e">
        <f ca="1">AVERAGE(OFFSET($BH$3,0,0,'Données projet'!$E$11+1,1))-AVERAGE(OFFSET($H$3,0,0,'Données projet'!$E$11+1,1))</f>
        <v>#N/A</v>
      </c>
      <c r="BJ44" s="62" t="e">
        <f t="shared" si="38"/>
        <v>#N/A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 t="e">
        <f>EXP(-LN(2)/35)*BP43+(1-EXP(-LN(2)/35))/(LN(2)/35)*BL44*BM44*VLOOKUP('Données projet'!$B$11,Paramètres!$A$1:$I$89,3,0)*0.475*44/12</f>
        <v>#N/A</v>
      </c>
      <c r="BQ44" s="23" t="e">
        <f>EXP(-LN(2)/25)*BQ43+(1-EXP(-LN(2)/25))/(LN(2)/25)*Calculateur!BL44*Calculateur!BN44*VLOOKUP('Données projet'!$B$11,Paramètres!$A$1:$I$89,3,0)*0.475*44/12</f>
        <v>#N/A</v>
      </c>
      <c r="BR44" s="23" t="e">
        <f>EXP(-LN(2)/2)*BR43+(1-EXP(-LN(2)/2))/(LN(2)/2)*BL44*BO44*VLOOKUP('Données projet'!$B$11,Paramètres!$A$1:$I$89,3,0)*0.475*44/12</f>
        <v>#N/A</v>
      </c>
      <c r="BS44" s="24" t="e">
        <f t="shared" si="9"/>
        <v>#N/A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3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20.747999999999994</v>
      </c>
      <c r="D45" s="12">
        <f t="shared" si="32"/>
        <v>6.7178804341249787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10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212.01732264938576</v>
      </c>
      <c r="H45" s="70">
        <f t="shared" si="1"/>
        <v>341.16974175610096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11</v>
      </c>
      <c r="N45" s="14">
        <f>IF('Données projet'!$A$36&gt;35,N44+M45-V44,IF(A45&lt;'Données projet'!$A$36,$K$205^A45,IF(A45='Données projet'!$A$36,'Données projet'!$B$36,N44+M45-V44)))</f>
        <v>320.99999999999989</v>
      </c>
      <c r="O45" s="14">
        <f>N45*VLOOKUP('Données projet'!$B$9,Paramètres!$A$1:$I$89,3,0)*VLOOKUP('Données projet'!$B$9,Paramètres!$A$1:$I$89,5,0)</f>
        <v>191.95799999999997</v>
      </c>
      <c r="P45" s="14">
        <f t="shared" si="33"/>
        <v>47.972580210954568</v>
      </c>
      <c r="Q45" s="22">
        <f t="shared" si="53"/>
        <v>417.87909386741245</v>
      </c>
      <c r="R45" s="62">
        <f t="shared" si="0"/>
        <v>711.21242720074576</v>
      </c>
      <c r="S45" s="62">
        <f ca="1">AVERAGE(OFFSET($R$3,0,0,'Données projet'!$E$9+1,1))-AVERAGE(OFFSET($H$3,0,0,'Données projet'!$E$9+1,1))</f>
        <v>255.1976414275677</v>
      </c>
      <c r="T45" s="62">
        <f t="shared" si="34"/>
        <v>266.42714758321767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9.2311169052713975</v>
      </c>
      <c r="AA45" s="23">
        <f>EXP(-LN(2)/25)*AA44+(1-EXP(-LN(2)/25))/(LN(2)/25)*Calculateur!V45*Calculateur!X45*VLOOKUP('Données projet'!$B$9,Paramètres!$A$1:$I$89,3,0)*0.475*44/12</f>
        <v>9.4512339061726429</v>
      </c>
      <c r="AB45" s="23">
        <f>EXP(-LN(2)/2)*AB44+(1-EXP(-LN(2)/2))/(LN(2)/2)*V45*Y45*VLOOKUP('Données projet'!$B$9,Paramètres!$A$1:$I$89,3,0)*0.475*44/12</f>
        <v>9.4668164844349978E-2</v>
      </c>
      <c r="AC45" s="24">
        <f t="shared" si="3"/>
        <v>18.777018976288389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0</v>
      </c>
      <c r="AI45" s="14">
        <f>IF('Données projet'!$A$62&gt;35,AI44+AH45-AQ44,IF(A45&lt;'Données projet'!$A$62,$AF$205^A45,IF(A45='Données projet'!$A$62,'Données projet'!$B$62,AI44+AH45-AQ44)))</f>
        <v>0</v>
      </c>
      <c r="AJ45" s="14" t="e">
        <f>AI45*VLOOKUP('Données projet'!$B$10,Paramètres!$A$1:$I$89,3,0)*VLOOKUP('Données projet'!$B$10,Paramètres!$A$1:$I$89,5,0)</f>
        <v>#N/A</v>
      </c>
      <c r="AK45" s="14" t="e">
        <f t="shared" si="35"/>
        <v>#N/A</v>
      </c>
      <c r="AL45" s="22" t="e">
        <f t="shared" si="4"/>
        <v>#N/A</v>
      </c>
      <c r="AM45" s="62" t="e">
        <f t="shared" si="5"/>
        <v>#N/A</v>
      </c>
      <c r="AN45" s="62" t="e">
        <f ca="1">AVERAGE(OFFSET($AM$3,0,0,'Données projet'!$E$10+1,1))-AVERAGE(OFFSET($H$3,0,0,'Données projet'!$E$10+1,1))</f>
        <v>#N/A</v>
      </c>
      <c r="AO45" s="62" t="e">
        <f t="shared" si="36"/>
        <v>#N/A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 t="e">
        <f>EXP(-LN(2)/35)*AU44+(1-EXP(-LN(2)/35))/(LN(2)/35)*AQ45*AR45*VLOOKUP('Données projet'!$B$10,Paramètres!$A$1:$I$89,3,0)*0.475*44/12</f>
        <v>#N/A</v>
      </c>
      <c r="AV45" s="23" t="e">
        <f>EXP(-LN(2)/25)*AV44+(1-EXP(-LN(2)/25))/(LN(2)/25)*Calculateur!AQ45*Calculateur!AS45*VLOOKUP('Données projet'!$B$10,Paramètres!$A$1:$I$89,3,0)*0.475*44/12</f>
        <v>#N/A</v>
      </c>
      <c r="AW45" s="23" t="e">
        <f>EXP(-LN(2)/2)*AW44+(1-EXP(-LN(2)/2))/(LN(2)/2)*AQ45*AT45*VLOOKUP('Données projet'!$B$10,Paramètres!$A$1:$I$89,3,0)*0.475*44/12</f>
        <v>#N/A</v>
      </c>
      <c r="AX45" s="23" t="e">
        <f t="shared" si="6"/>
        <v>#N/A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0</v>
      </c>
      <c r="BE45" s="14" t="e">
        <f>BD45*VLOOKUP('Données projet'!$B$11,Paramètres!$A$1:$I$89,3,0)*VLOOKUP('Données projet'!$B$11,Paramètres!$A$1:$I$89,5,0)</f>
        <v>#N/A</v>
      </c>
      <c r="BF45" s="14" t="e">
        <f t="shared" si="37"/>
        <v>#N/A</v>
      </c>
      <c r="BG45" s="22" t="e">
        <f t="shared" si="7"/>
        <v>#N/A</v>
      </c>
      <c r="BH45" s="62" t="e">
        <f t="shared" si="8"/>
        <v>#N/A</v>
      </c>
      <c r="BI45" s="62" t="e">
        <f ca="1">AVERAGE(OFFSET($BH$3,0,0,'Données projet'!$E$11+1,1))-AVERAGE(OFFSET($H$3,0,0,'Données projet'!$E$11+1,1))</f>
        <v>#N/A</v>
      </c>
      <c r="BJ45" s="62" t="e">
        <f t="shared" si="38"/>
        <v>#N/A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 t="e">
        <f>EXP(-LN(2)/35)*BP44+(1-EXP(-LN(2)/35))/(LN(2)/35)*BL45*BM45*VLOOKUP('Données projet'!$B$11,Paramètres!$A$1:$I$89,3,0)*0.475*44/12</f>
        <v>#N/A</v>
      </c>
      <c r="BQ45" s="23" t="e">
        <f>EXP(-LN(2)/25)*BQ44+(1-EXP(-LN(2)/25))/(LN(2)/25)*Calculateur!BL45*Calculateur!BN45*VLOOKUP('Données projet'!$B$11,Paramètres!$A$1:$I$89,3,0)*0.475*44/12</f>
        <v>#N/A</v>
      </c>
      <c r="BR45" s="23" t="e">
        <f>EXP(-LN(2)/2)*BR44+(1-EXP(-LN(2)/2))/(LN(2)/2)*BL45*BO45*VLOOKUP('Données projet'!$B$11,Paramètres!$A$1:$I$89,3,0)*0.475*44/12</f>
        <v>#N/A</v>
      </c>
      <c r="BS45" s="24" t="e">
        <f t="shared" si="9"/>
        <v>#N/A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3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21.241999999999994</v>
      </c>
      <c r="D46" s="12">
        <f t="shared" si="32"/>
        <v>6.8590177112522763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10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216.92013671843858</v>
      </c>
      <c r="H46" s="70">
        <f t="shared" si="1"/>
        <v>342.27593918043101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11</v>
      </c>
      <c r="N46" s="14">
        <f>IF('Données projet'!$A$36&gt;35,N45+M46-V45,IF(A46&lt;'Données projet'!$A$36,$K$205^A46,IF(A46='Données projet'!$A$36,'Données projet'!$B$36,N45+M46-V45)))</f>
        <v>331.99999999999989</v>
      </c>
      <c r="O46" s="14">
        <f>N46*VLOOKUP('Données projet'!$B$9,Paramètres!$A$1:$I$89,3,0)*VLOOKUP('Données projet'!$B$9,Paramètres!$A$1:$I$89,5,0)</f>
        <v>198.53599999999994</v>
      </c>
      <c r="P46" s="14">
        <f t="shared" si="33"/>
        <v>49.422287391228707</v>
      </c>
      <c r="Q46" s="22">
        <f t="shared" si="53"/>
        <v>431.86068387305653</v>
      </c>
      <c r="R46" s="62">
        <f t="shared" si="0"/>
        <v>725.19401720638984</v>
      </c>
      <c r="S46" s="62">
        <f ca="1">AVERAGE(OFFSET($R$3,0,0,'Données projet'!$E$9+1,1))-AVERAGE(OFFSET($H$3,0,0,'Données projet'!$E$9+1,1))</f>
        <v>255.1976414275677</v>
      </c>
      <c r="T46" s="62">
        <f t="shared" si="34"/>
        <v>266.42714758321767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9.0501003331843801</v>
      </c>
      <c r="AA46" s="23">
        <f>EXP(-LN(2)/25)*AA45+(1-EXP(-LN(2)/25))/(LN(2)/25)*Calculateur!V46*Calculateur!X46*VLOOKUP('Données projet'!$B$9,Paramètres!$A$1:$I$89,3,0)*0.475*44/12</f>
        <v>9.1927894179895624</v>
      </c>
      <c r="AB46" s="23">
        <f>EXP(-LN(2)/2)*AB45+(1-EXP(-LN(2)/2))/(LN(2)/2)*V46*Y46*VLOOKUP('Données projet'!$B$9,Paramètres!$A$1:$I$89,3,0)*0.475*44/12</f>
        <v>6.6940501323925788E-2</v>
      </c>
      <c r="AC46" s="24">
        <f t="shared" si="3"/>
        <v>18.309830252497868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0</v>
      </c>
      <c r="AI46" s="14">
        <f>IF('Données projet'!$A$62&gt;35,AI45+AH46-AQ45,IF(A46&lt;'Données projet'!$A$62,$AF$205^A46,IF(A46='Données projet'!$A$62,'Données projet'!$B$62,AI45+AH46-AQ45)))</f>
        <v>0</v>
      </c>
      <c r="AJ46" s="14" t="e">
        <f>AI46*VLOOKUP('Données projet'!$B$10,Paramètres!$A$1:$I$89,3,0)*VLOOKUP('Données projet'!$B$10,Paramètres!$A$1:$I$89,5,0)</f>
        <v>#N/A</v>
      </c>
      <c r="AK46" s="14" t="e">
        <f t="shared" si="35"/>
        <v>#N/A</v>
      </c>
      <c r="AL46" s="22" t="e">
        <f t="shared" si="4"/>
        <v>#N/A</v>
      </c>
      <c r="AM46" s="62" t="e">
        <f t="shared" si="5"/>
        <v>#N/A</v>
      </c>
      <c r="AN46" s="62" t="e">
        <f ca="1">AVERAGE(OFFSET($AM$3,0,0,'Données projet'!$E$10+1,1))-AVERAGE(OFFSET($H$3,0,0,'Données projet'!$E$10+1,1))</f>
        <v>#N/A</v>
      </c>
      <c r="AO46" s="62" t="e">
        <f t="shared" si="36"/>
        <v>#N/A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 t="e">
        <f>EXP(-LN(2)/35)*AU45+(1-EXP(-LN(2)/35))/(LN(2)/35)*AQ46*AR46*VLOOKUP('Données projet'!$B$10,Paramètres!$A$1:$I$89,3,0)*0.475*44/12</f>
        <v>#N/A</v>
      </c>
      <c r="AV46" s="23" t="e">
        <f>EXP(-LN(2)/25)*AV45+(1-EXP(-LN(2)/25))/(LN(2)/25)*Calculateur!AQ46*Calculateur!AS46*VLOOKUP('Données projet'!$B$10,Paramètres!$A$1:$I$89,3,0)*0.475*44/12</f>
        <v>#N/A</v>
      </c>
      <c r="AW46" s="23" t="e">
        <f>EXP(-LN(2)/2)*AW45+(1-EXP(-LN(2)/2))/(LN(2)/2)*AQ46*AT46*VLOOKUP('Données projet'!$B$10,Paramètres!$A$1:$I$89,3,0)*0.475*44/12</f>
        <v>#N/A</v>
      </c>
      <c r="AX46" s="23" t="e">
        <f t="shared" si="6"/>
        <v>#N/A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0</v>
      </c>
      <c r="BE46" s="14" t="e">
        <f>BD46*VLOOKUP('Données projet'!$B$11,Paramètres!$A$1:$I$89,3,0)*VLOOKUP('Données projet'!$B$11,Paramètres!$A$1:$I$89,5,0)</f>
        <v>#N/A</v>
      </c>
      <c r="BF46" s="14" t="e">
        <f t="shared" si="37"/>
        <v>#N/A</v>
      </c>
      <c r="BG46" s="22" t="e">
        <f t="shared" si="7"/>
        <v>#N/A</v>
      </c>
      <c r="BH46" s="62" t="e">
        <f t="shared" si="8"/>
        <v>#N/A</v>
      </c>
      <c r="BI46" s="62" t="e">
        <f ca="1">AVERAGE(OFFSET($BH$3,0,0,'Données projet'!$E$11+1,1))-AVERAGE(OFFSET($H$3,0,0,'Données projet'!$E$11+1,1))</f>
        <v>#N/A</v>
      </c>
      <c r="BJ46" s="62" t="e">
        <f t="shared" si="38"/>
        <v>#N/A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 t="e">
        <f>EXP(-LN(2)/35)*BP45+(1-EXP(-LN(2)/35))/(LN(2)/35)*BL46*BM46*VLOOKUP('Données projet'!$B$11,Paramètres!$A$1:$I$89,3,0)*0.475*44/12</f>
        <v>#N/A</v>
      </c>
      <c r="BQ46" s="23" t="e">
        <f>EXP(-LN(2)/25)*BQ45+(1-EXP(-LN(2)/25))/(LN(2)/25)*Calculateur!BL46*Calculateur!BN46*VLOOKUP('Données projet'!$B$11,Paramètres!$A$1:$I$89,3,0)*0.475*44/12</f>
        <v>#N/A</v>
      </c>
      <c r="BR46" s="23" t="e">
        <f>EXP(-LN(2)/2)*BR45+(1-EXP(-LN(2)/2))/(LN(2)/2)*BL46*BO46*VLOOKUP('Données projet'!$B$11,Paramètres!$A$1:$I$89,3,0)*0.475*44/12</f>
        <v>#N/A</v>
      </c>
      <c r="BS46" s="24" t="e">
        <f t="shared" si="9"/>
        <v>#N/A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3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21.735999999999994</v>
      </c>
      <c r="D47" s="12">
        <f t="shared" si="32"/>
        <v>6.9997734133417886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10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221.82000529597167</v>
      </c>
      <c r="H47" s="70">
        <f t="shared" si="1"/>
        <v>343.38147202823689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11</v>
      </c>
      <c r="N47" s="14">
        <f>IF('Données projet'!$A$36&gt;35,N46+M47-V46,IF(A47&lt;'Données projet'!$A$36,$K$205^A47,IF(A47='Données projet'!$A$36,'Données projet'!$B$36,N46+M47-V46)))</f>
        <v>342.99999999999989</v>
      </c>
      <c r="O47" s="14">
        <f>N47*VLOOKUP('Données projet'!$B$9,Paramètres!$A$1:$I$89,3,0)*VLOOKUP('Données projet'!$B$9,Paramètres!$A$1:$I$89,5,0)</f>
        <v>205.11399999999995</v>
      </c>
      <c r="P47" s="14">
        <f t="shared" si="33"/>
        <v>50.86641328088502</v>
      </c>
      <c r="Q47" s="22">
        <f t="shared" si="53"/>
        <v>445.8325531308746</v>
      </c>
      <c r="R47" s="62">
        <f t="shared" si="0"/>
        <v>739.16588646420792</v>
      </c>
      <c r="S47" s="62">
        <f ca="1">AVERAGE(OFFSET($R$3,0,0,'Données projet'!$E$9+1,1))-AVERAGE(OFFSET($H$3,0,0,'Données projet'!$E$9+1,1))</f>
        <v>255.1976414275677</v>
      </c>
      <c r="T47" s="62">
        <f t="shared" si="34"/>
        <v>266.42714758321767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8.8726333856667807</v>
      </c>
      <c r="AA47" s="23">
        <f>EXP(-LN(2)/25)*AA46+(1-EXP(-LN(2)/25))/(LN(2)/25)*Calculateur!V47*Calculateur!X47*VLOOKUP('Données projet'!$B$9,Paramètres!$A$1:$I$89,3,0)*0.475*44/12</f>
        <v>8.9414121079268529</v>
      </c>
      <c r="AB47" s="23">
        <f>EXP(-LN(2)/2)*AB46+(1-EXP(-LN(2)/2))/(LN(2)/2)*V47*Y47*VLOOKUP('Données projet'!$B$9,Paramètres!$A$1:$I$89,3,0)*0.475*44/12</f>
        <v>4.7334082422174989E-2</v>
      </c>
      <c r="AC47" s="24">
        <f t="shared" si="3"/>
        <v>17.861379576015807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0</v>
      </c>
      <c r="AI47" s="14">
        <f>IF('Données projet'!$A$62&gt;35,AI46+AH47-AQ46,IF(A47&lt;'Données projet'!$A$62,$AF$205^A47,IF(A47='Données projet'!$A$62,'Données projet'!$B$62,AI46+AH47-AQ46)))</f>
        <v>0</v>
      </c>
      <c r="AJ47" s="14" t="e">
        <f>AI47*VLOOKUP('Données projet'!$B$10,Paramètres!$A$1:$I$89,3,0)*VLOOKUP('Données projet'!$B$10,Paramètres!$A$1:$I$89,5,0)</f>
        <v>#N/A</v>
      </c>
      <c r="AK47" s="14" t="e">
        <f t="shared" si="35"/>
        <v>#N/A</v>
      </c>
      <c r="AL47" s="22" t="e">
        <f t="shared" si="4"/>
        <v>#N/A</v>
      </c>
      <c r="AM47" s="62" t="e">
        <f t="shared" si="5"/>
        <v>#N/A</v>
      </c>
      <c r="AN47" s="62" t="e">
        <f ca="1">AVERAGE(OFFSET($AM$3,0,0,'Données projet'!$E$10+1,1))-AVERAGE(OFFSET($H$3,0,0,'Données projet'!$E$10+1,1))</f>
        <v>#N/A</v>
      </c>
      <c r="AO47" s="62" t="e">
        <f t="shared" si="36"/>
        <v>#N/A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 t="e">
        <f>EXP(-LN(2)/35)*AU46+(1-EXP(-LN(2)/35))/(LN(2)/35)*AQ47*AR47*VLOOKUP('Données projet'!$B$10,Paramètres!$A$1:$I$89,3,0)*0.475*44/12</f>
        <v>#N/A</v>
      </c>
      <c r="AV47" s="23" t="e">
        <f>EXP(-LN(2)/25)*AV46+(1-EXP(-LN(2)/25))/(LN(2)/25)*Calculateur!AQ47*Calculateur!AS47*VLOOKUP('Données projet'!$B$10,Paramètres!$A$1:$I$89,3,0)*0.475*44/12</f>
        <v>#N/A</v>
      </c>
      <c r="AW47" s="23" t="e">
        <f>EXP(-LN(2)/2)*AW46+(1-EXP(-LN(2)/2))/(LN(2)/2)*AQ47*AT47*VLOOKUP('Données projet'!$B$10,Paramètres!$A$1:$I$89,3,0)*0.475*44/12</f>
        <v>#N/A</v>
      </c>
      <c r="AX47" s="23" t="e">
        <f t="shared" si="6"/>
        <v>#N/A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0</v>
      </c>
      <c r="BE47" s="14" t="e">
        <f>BD47*VLOOKUP('Données projet'!$B$11,Paramètres!$A$1:$I$89,3,0)*VLOOKUP('Données projet'!$B$11,Paramètres!$A$1:$I$89,5,0)</f>
        <v>#N/A</v>
      </c>
      <c r="BF47" s="14" t="e">
        <f t="shared" si="37"/>
        <v>#N/A</v>
      </c>
      <c r="BG47" s="22" t="e">
        <f t="shared" si="7"/>
        <v>#N/A</v>
      </c>
      <c r="BH47" s="62" t="e">
        <f t="shared" si="8"/>
        <v>#N/A</v>
      </c>
      <c r="BI47" s="62" t="e">
        <f ca="1">AVERAGE(OFFSET($BH$3,0,0,'Données projet'!$E$11+1,1))-AVERAGE(OFFSET($H$3,0,0,'Données projet'!$E$11+1,1))</f>
        <v>#N/A</v>
      </c>
      <c r="BJ47" s="62" t="e">
        <f t="shared" si="38"/>
        <v>#N/A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 t="e">
        <f>EXP(-LN(2)/35)*BP46+(1-EXP(-LN(2)/35))/(LN(2)/35)*BL47*BM47*VLOOKUP('Données projet'!$B$11,Paramètres!$A$1:$I$89,3,0)*0.475*44/12</f>
        <v>#N/A</v>
      </c>
      <c r="BQ47" s="23" t="e">
        <f>EXP(-LN(2)/25)*BQ46+(1-EXP(-LN(2)/25))/(LN(2)/25)*Calculateur!BL47*Calculateur!BN47*VLOOKUP('Données projet'!$B$11,Paramètres!$A$1:$I$89,3,0)*0.475*44/12</f>
        <v>#N/A</v>
      </c>
      <c r="BR47" s="23" t="e">
        <f>EXP(-LN(2)/2)*BR46+(1-EXP(-LN(2)/2))/(LN(2)/2)*BL47*BO47*VLOOKUP('Données projet'!$B$11,Paramètres!$A$1:$I$89,3,0)*0.475*44/12</f>
        <v>#N/A</v>
      </c>
      <c r="BS47" s="24" t="e">
        <f t="shared" si="9"/>
        <v>#N/A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3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22.229999999999993</v>
      </c>
      <c r="D48" s="12">
        <f t="shared" si="32"/>
        <v>7.140157210880437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10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226.71700303135768</v>
      </c>
      <c r="H48" s="70">
        <f t="shared" si="1"/>
        <v>344.4863571422834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11</v>
      </c>
      <c r="N48" s="14">
        <f>IF('Données projet'!$A$36&gt;35,N47+M48-V47,IF(A48&lt;'Données projet'!$A$36,$K$205^A48,IF(A48='Données projet'!$A$36,'Données projet'!$B$36,N47+M48-V47)))</f>
        <v>353.99999999999989</v>
      </c>
      <c r="O48" s="14">
        <f>N48*VLOOKUP('Données projet'!$B$9,Paramètres!$A$1:$I$89,3,0)*VLOOKUP('Données projet'!$B$9,Paramètres!$A$1:$I$89,5,0)</f>
        <v>211.69199999999995</v>
      </c>
      <c r="P48" s="14">
        <f t="shared" si="33"/>
        <v>52.305157403317835</v>
      </c>
      <c r="Q48" s="22">
        <f t="shared" si="53"/>
        <v>459.79504914411177</v>
      </c>
      <c r="R48" s="62">
        <f t="shared" si="0"/>
        <v>753.12838247744503</v>
      </c>
      <c r="S48" s="62">
        <f ca="1">AVERAGE(OFFSET($R$3,0,0,'Données projet'!$E$9+1,1))-AVERAGE(OFFSET($H$3,0,0,'Données projet'!$E$9+1,1))</f>
        <v>255.1976414275677</v>
      </c>
      <c r="T48" s="62">
        <f t="shared" si="34"/>
        <v>266.42714758321767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8.6986464567458519</v>
      </c>
      <c r="AA48" s="23">
        <f>EXP(-LN(2)/25)*AA47+(1-EXP(-LN(2)/25))/(LN(2)/25)*Calculateur!V48*Calculateur!X48*VLOOKUP('Données projet'!$B$9,Paramètres!$A$1:$I$89,3,0)*0.475*44/12</f>
        <v>8.6969087236271658</v>
      </c>
      <c r="AB48" s="23">
        <f>EXP(-LN(2)/2)*AB47+(1-EXP(-LN(2)/2))/(LN(2)/2)*V48*Y48*VLOOKUP('Données projet'!$B$9,Paramètres!$A$1:$I$89,3,0)*0.475*44/12</f>
        <v>3.3470250661962894E-2</v>
      </c>
      <c r="AC48" s="24">
        <f t="shared" si="3"/>
        <v>17.429025431034979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0</v>
      </c>
      <c r="AI48" s="14">
        <f>IF('Données projet'!$A$62&gt;35,AI47+AH48-AQ47,IF(A48&lt;'Données projet'!$A$62,$AF$205^A48,IF(A48='Données projet'!$A$62,'Données projet'!$B$62,AI47+AH48-AQ47)))</f>
        <v>0</v>
      </c>
      <c r="AJ48" s="14" t="e">
        <f>AI48*VLOOKUP('Données projet'!$B$10,Paramètres!$A$1:$I$89,3,0)*VLOOKUP('Données projet'!$B$10,Paramètres!$A$1:$I$89,5,0)</f>
        <v>#N/A</v>
      </c>
      <c r="AK48" s="14" t="e">
        <f t="shared" si="35"/>
        <v>#N/A</v>
      </c>
      <c r="AL48" s="22" t="e">
        <f t="shared" si="4"/>
        <v>#N/A</v>
      </c>
      <c r="AM48" s="62" t="e">
        <f t="shared" si="5"/>
        <v>#N/A</v>
      </c>
      <c r="AN48" s="62" t="e">
        <f ca="1">AVERAGE(OFFSET($AM$3,0,0,'Données projet'!$E$10+1,1))-AVERAGE(OFFSET($H$3,0,0,'Données projet'!$E$10+1,1))</f>
        <v>#N/A</v>
      </c>
      <c r="AO48" s="62" t="e">
        <f t="shared" si="36"/>
        <v>#N/A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 t="e">
        <f>EXP(-LN(2)/35)*AU47+(1-EXP(-LN(2)/35))/(LN(2)/35)*AQ48*AR48*VLOOKUP('Données projet'!$B$10,Paramètres!$A$1:$I$89,3,0)*0.475*44/12</f>
        <v>#N/A</v>
      </c>
      <c r="AV48" s="23" t="e">
        <f>EXP(-LN(2)/25)*AV47+(1-EXP(-LN(2)/25))/(LN(2)/25)*Calculateur!AQ48*Calculateur!AS48*VLOOKUP('Données projet'!$B$10,Paramètres!$A$1:$I$89,3,0)*0.475*44/12</f>
        <v>#N/A</v>
      </c>
      <c r="AW48" s="23" t="e">
        <f>EXP(-LN(2)/2)*AW47+(1-EXP(-LN(2)/2))/(LN(2)/2)*AQ48*AT48*VLOOKUP('Données projet'!$B$10,Paramètres!$A$1:$I$89,3,0)*0.475*44/12</f>
        <v>#N/A</v>
      </c>
      <c r="AX48" s="23" t="e">
        <f t="shared" si="6"/>
        <v>#N/A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0</v>
      </c>
      <c r="BE48" s="14" t="e">
        <f>BD48*VLOOKUP('Données projet'!$B$11,Paramètres!$A$1:$I$89,3,0)*VLOOKUP('Données projet'!$B$11,Paramètres!$A$1:$I$89,5,0)</f>
        <v>#N/A</v>
      </c>
      <c r="BF48" s="14" t="e">
        <f t="shared" si="37"/>
        <v>#N/A</v>
      </c>
      <c r="BG48" s="22" t="e">
        <f t="shared" si="7"/>
        <v>#N/A</v>
      </c>
      <c r="BH48" s="62" t="e">
        <f t="shared" si="8"/>
        <v>#N/A</v>
      </c>
      <c r="BI48" s="62" t="e">
        <f ca="1">AVERAGE(OFFSET($BH$3,0,0,'Données projet'!$E$11+1,1))-AVERAGE(OFFSET($H$3,0,0,'Données projet'!$E$11+1,1))</f>
        <v>#N/A</v>
      </c>
      <c r="BJ48" s="62" t="e">
        <f t="shared" si="38"/>
        <v>#N/A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 t="e">
        <f>EXP(-LN(2)/35)*BP47+(1-EXP(-LN(2)/35))/(LN(2)/35)*BL48*BM48*VLOOKUP('Données projet'!$B$11,Paramètres!$A$1:$I$89,3,0)*0.475*44/12</f>
        <v>#N/A</v>
      </c>
      <c r="BQ48" s="23" t="e">
        <f>EXP(-LN(2)/25)*BQ47+(1-EXP(-LN(2)/25))/(LN(2)/25)*Calculateur!BL48*Calculateur!BN48*VLOOKUP('Données projet'!$B$11,Paramètres!$A$1:$I$89,3,0)*0.475*44/12</f>
        <v>#N/A</v>
      </c>
      <c r="BR48" s="23" t="e">
        <f>EXP(-LN(2)/2)*BR47+(1-EXP(-LN(2)/2))/(LN(2)/2)*BL48*BO48*VLOOKUP('Données projet'!$B$11,Paramètres!$A$1:$I$89,3,0)*0.475*44/12</f>
        <v>#N/A</v>
      </c>
      <c r="BS48" s="24" t="e">
        <f t="shared" si="9"/>
        <v>#N/A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3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22.723999999999993</v>
      </c>
      <c r="D49" s="12">
        <f t="shared" si="32"/>
        <v>7.2801783200166916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10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231.6112010667955</v>
      </c>
      <c r="H49" s="70">
        <f t="shared" si="1"/>
        <v>345.59061057402903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>
        <f>VLOOKUP(A49,'Données projet'!$A$35:$I$55,2,0)</f>
        <v>365</v>
      </c>
      <c r="L49" s="13">
        <f>VLOOKUP(A49,'Données projet'!$A$35:$I$55,9,0)</f>
        <v>11</v>
      </c>
      <c r="M49" s="13">
        <f t="array" ref="M49">INDEX(L:L,MIN(IF(ISNUMBER(L49:L245),ROW(L49:L245),"")))</f>
        <v>11</v>
      </c>
      <c r="N49" s="14">
        <f>IF('Données projet'!$A$36&gt;35,N48+M49-V48,IF(A49&lt;'Données projet'!$A$36,$K$205^A49,IF(A49='Données projet'!$A$36,'Données projet'!$B$36,N48+M49-V48)))</f>
        <v>364.99999999999989</v>
      </c>
      <c r="O49" s="14">
        <f>N49*VLOOKUP('Données projet'!$B$9,Paramètres!$A$1:$I$89,3,0)*VLOOKUP('Données projet'!$B$9,Paramètres!$A$1:$I$89,5,0)</f>
        <v>218.26999999999995</v>
      </c>
      <c r="P49" s="14">
        <f t="shared" si="33"/>
        <v>53.738706177800289</v>
      </c>
      <c r="Q49" s="22">
        <f t="shared" si="53"/>
        <v>473.74849659300207</v>
      </c>
      <c r="R49" s="62">
        <f t="shared" si="0"/>
        <v>767.08182992633533</v>
      </c>
      <c r="S49" s="62">
        <f ca="1">AVERAGE(OFFSET($R$3,0,0,'Données projet'!$E$9+1,1))-AVERAGE(OFFSET($H$3,0,0,'Données projet'!$E$9+1,1))</f>
        <v>255.1976414275677</v>
      </c>
      <c r="T49" s="62">
        <f t="shared" si="34"/>
        <v>266.42714758321767</v>
      </c>
      <c r="U49" s="16">
        <f>IF(ISNA(VLOOKUP(A49,'Données projet'!$A$35:$I$55,3,0)),0,VLOOKUP(A49,'Données projet'!$A$35:$I$55,3,0))</f>
        <v>7</v>
      </c>
      <c r="V49" s="16">
        <f>IF(ISNA(VLOOKUP(A49,'Données projet'!$A$35:$I$55,4,0)),0,VLOOKUP(A49,'Données projet'!$A$35:$I$55,4,0))</f>
        <v>21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8.5280713053795143</v>
      </c>
      <c r="AA49" s="23">
        <f>EXP(-LN(2)/25)*AA48+(1-EXP(-LN(2)/25))/(LN(2)/25)*Calculateur!V49*Calculateur!X49*VLOOKUP('Données projet'!$B$9,Paramètres!$A$1:$I$89,3,0)*0.475*44/12</f>
        <v>8.459091297229028</v>
      </c>
      <c r="AB49" s="23">
        <f>EXP(-LN(2)/2)*AB48+(1-EXP(-LN(2)/2))/(LN(2)/2)*V49*Y49*VLOOKUP('Données projet'!$B$9,Paramètres!$A$1:$I$89,3,0)*0.475*44/12</f>
        <v>2.3667041211087494E-2</v>
      </c>
      <c r="AC49" s="24">
        <f t="shared" si="3"/>
        <v>17.01082964381963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0</v>
      </c>
      <c r="AI49" s="14">
        <f>IF('Données projet'!$A$62&gt;35,AI48+AH49-AQ48,IF(A49&lt;'Données projet'!$A$62,$AF$205^A49,IF(A49='Données projet'!$A$62,'Données projet'!$B$62,AI48+AH49-AQ48)))</f>
        <v>0</v>
      </c>
      <c r="AJ49" s="14" t="e">
        <f>AI49*VLOOKUP('Données projet'!$B$10,Paramètres!$A$1:$I$89,3,0)*VLOOKUP('Données projet'!$B$10,Paramètres!$A$1:$I$89,5,0)</f>
        <v>#N/A</v>
      </c>
      <c r="AK49" s="14" t="e">
        <f t="shared" si="35"/>
        <v>#N/A</v>
      </c>
      <c r="AL49" s="22" t="e">
        <f t="shared" si="4"/>
        <v>#N/A</v>
      </c>
      <c r="AM49" s="62" t="e">
        <f t="shared" si="5"/>
        <v>#N/A</v>
      </c>
      <c r="AN49" s="62" t="e">
        <f ca="1">AVERAGE(OFFSET($AM$3,0,0,'Données projet'!$E$10+1,1))-AVERAGE(OFFSET($H$3,0,0,'Données projet'!$E$10+1,1))</f>
        <v>#N/A</v>
      </c>
      <c r="AO49" s="62" t="e">
        <f t="shared" si="36"/>
        <v>#N/A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 t="e">
        <f>EXP(-LN(2)/35)*AU48+(1-EXP(-LN(2)/35))/(LN(2)/35)*AQ49*AR49*VLOOKUP('Données projet'!$B$10,Paramètres!$A$1:$I$89,3,0)*0.475*44/12</f>
        <v>#N/A</v>
      </c>
      <c r="AV49" s="23" t="e">
        <f>EXP(-LN(2)/25)*AV48+(1-EXP(-LN(2)/25))/(LN(2)/25)*Calculateur!AQ49*Calculateur!AS49*VLOOKUP('Données projet'!$B$10,Paramètres!$A$1:$I$89,3,0)*0.475*44/12</f>
        <v>#N/A</v>
      </c>
      <c r="AW49" s="23" t="e">
        <f>EXP(-LN(2)/2)*AW48+(1-EXP(-LN(2)/2))/(LN(2)/2)*AQ49*AT49*VLOOKUP('Données projet'!$B$10,Paramètres!$A$1:$I$89,3,0)*0.475*44/12</f>
        <v>#N/A</v>
      </c>
      <c r="AX49" s="23" t="e">
        <f t="shared" si="6"/>
        <v>#N/A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0</v>
      </c>
      <c r="BE49" s="14" t="e">
        <f>BD49*VLOOKUP('Données projet'!$B$11,Paramètres!$A$1:$I$89,3,0)*VLOOKUP('Données projet'!$B$11,Paramètres!$A$1:$I$89,5,0)</f>
        <v>#N/A</v>
      </c>
      <c r="BF49" s="14" t="e">
        <f t="shared" si="37"/>
        <v>#N/A</v>
      </c>
      <c r="BG49" s="22" t="e">
        <f t="shared" si="7"/>
        <v>#N/A</v>
      </c>
      <c r="BH49" s="62" t="e">
        <f t="shared" si="8"/>
        <v>#N/A</v>
      </c>
      <c r="BI49" s="62" t="e">
        <f ca="1">AVERAGE(OFFSET($BH$3,0,0,'Données projet'!$E$11+1,1))-AVERAGE(OFFSET($H$3,0,0,'Données projet'!$E$11+1,1))</f>
        <v>#N/A</v>
      </c>
      <c r="BJ49" s="62" t="e">
        <f t="shared" si="38"/>
        <v>#N/A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 t="e">
        <f>EXP(-LN(2)/35)*BP48+(1-EXP(-LN(2)/35))/(LN(2)/35)*BL49*BM49*VLOOKUP('Données projet'!$B$11,Paramètres!$A$1:$I$89,3,0)*0.475*44/12</f>
        <v>#N/A</v>
      </c>
      <c r="BQ49" s="23" t="e">
        <f>EXP(-LN(2)/25)*BQ48+(1-EXP(-LN(2)/25))/(LN(2)/25)*Calculateur!BL49*Calculateur!BN49*VLOOKUP('Données projet'!$B$11,Paramètres!$A$1:$I$89,3,0)*0.475*44/12</f>
        <v>#N/A</v>
      </c>
      <c r="BR49" s="23" t="e">
        <f>EXP(-LN(2)/2)*BR48+(1-EXP(-LN(2)/2))/(LN(2)/2)*BL49*BO49*VLOOKUP('Données projet'!$B$11,Paramètres!$A$1:$I$89,3,0)*0.475*44/12</f>
        <v>#N/A</v>
      </c>
      <c r="BS49" s="24" t="e">
        <f t="shared" si="9"/>
        <v>#N/A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3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23.217999999999993</v>
      </c>
      <c r="D50" s="12">
        <f t="shared" si="32"/>
        <v>7.4198455333118369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10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236.50266727468784</v>
      </c>
      <c r="H50" s="70">
        <f t="shared" si="1"/>
        <v>346.69424763718473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7.25</v>
      </c>
      <c r="N50" s="14">
        <f>IF('Données projet'!$A$36&gt;35,N49+M50-V49,IF(A50&lt;'Données projet'!$A$36,$K$205^A50,IF(A50='Données projet'!$A$36,'Données projet'!$B$36,N49+M50-V49)))</f>
        <v>351.24999999999989</v>
      </c>
      <c r="O50" s="14">
        <f>N50*VLOOKUP('Données projet'!$B$9,Paramètres!$A$1:$I$89,3,0)*VLOOKUP('Données projet'!$B$9,Paramètres!$A$1:$I$89,5,0)</f>
        <v>210.04749999999996</v>
      </c>
      <c r="P50" s="14">
        <f t="shared" si="33"/>
        <v>51.945965506750461</v>
      </c>
      <c r="Q50" s="22">
        <f t="shared" si="53"/>
        <v>456.3052857575903</v>
      </c>
      <c r="R50" s="62">
        <f t="shared" si="0"/>
        <v>749.63861909092361</v>
      </c>
      <c r="S50" s="62">
        <f ca="1">AVERAGE(OFFSET($R$3,0,0,'Données projet'!$E$9+1,1))-AVERAGE(OFFSET($H$3,0,0,'Données projet'!$E$9+1,1))</f>
        <v>255.1976414275677</v>
      </c>
      <c r="T50" s="62">
        <f t="shared" si="34"/>
        <v>266.42714758321767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8.3608410286909027</v>
      </c>
      <c r="AA50" s="23">
        <f>EXP(-LN(2)/25)*AA49+(1-EXP(-LN(2)/25))/(LN(2)/25)*Calculateur!V50*Calculateur!X50*VLOOKUP('Données projet'!$B$9,Paramètres!$A$1:$I$89,3,0)*0.475*44/12</f>
        <v>8.227777000862023</v>
      </c>
      <c r="AB50" s="23">
        <f>EXP(-LN(2)/2)*AB49+(1-EXP(-LN(2)/2))/(LN(2)/2)*V50*Y50*VLOOKUP('Données projet'!$B$9,Paramètres!$A$1:$I$89,3,0)*0.475*44/12</f>
        <v>1.6735125330981447E-2</v>
      </c>
      <c r="AC50" s="24">
        <f t="shared" si="3"/>
        <v>16.605353154883908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0</v>
      </c>
      <c r="AI50" s="14">
        <f>IF('Données projet'!$A$62&gt;35,AI49+AH50-AQ49,IF(A50&lt;'Données projet'!$A$62,$AF$205^A50,IF(A50='Données projet'!$A$62,'Données projet'!$B$62,AI49+AH50-AQ49)))</f>
        <v>0</v>
      </c>
      <c r="AJ50" s="14" t="e">
        <f>AI50*VLOOKUP('Données projet'!$B$10,Paramètres!$A$1:$I$89,3,0)*VLOOKUP('Données projet'!$B$10,Paramètres!$A$1:$I$89,5,0)</f>
        <v>#N/A</v>
      </c>
      <c r="AK50" s="14" t="e">
        <f t="shared" si="35"/>
        <v>#N/A</v>
      </c>
      <c r="AL50" s="22" t="e">
        <f t="shared" si="4"/>
        <v>#N/A</v>
      </c>
      <c r="AM50" s="62" t="e">
        <f t="shared" si="5"/>
        <v>#N/A</v>
      </c>
      <c r="AN50" s="62" t="e">
        <f ca="1">AVERAGE(OFFSET($AM$3,0,0,'Données projet'!$E$10+1,1))-AVERAGE(OFFSET($H$3,0,0,'Données projet'!$E$10+1,1))</f>
        <v>#N/A</v>
      </c>
      <c r="AO50" s="62" t="e">
        <f t="shared" si="36"/>
        <v>#N/A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 t="e">
        <f>EXP(-LN(2)/35)*AU49+(1-EXP(-LN(2)/35))/(LN(2)/35)*AQ50*AR50*VLOOKUP('Données projet'!$B$10,Paramètres!$A$1:$I$89,3,0)*0.475*44/12</f>
        <v>#N/A</v>
      </c>
      <c r="AV50" s="23" t="e">
        <f>EXP(-LN(2)/25)*AV49+(1-EXP(-LN(2)/25))/(LN(2)/25)*Calculateur!AQ50*Calculateur!AS50*VLOOKUP('Données projet'!$B$10,Paramètres!$A$1:$I$89,3,0)*0.475*44/12</f>
        <v>#N/A</v>
      </c>
      <c r="AW50" s="23" t="e">
        <f>EXP(-LN(2)/2)*AW49+(1-EXP(-LN(2)/2))/(LN(2)/2)*AQ50*AT50*VLOOKUP('Données projet'!$B$10,Paramètres!$A$1:$I$89,3,0)*0.475*44/12</f>
        <v>#N/A</v>
      </c>
      <c r="AX50" s="23" t="e">
        <f t="shared" si="6"/>
        <v>#N/A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0</v>
      </c>
      <c r="BE50" s="14" t="e">
        <f>BD50*VLOOKUP('Données projet'!$B$11,Paramètres!$A$1:$I$89,3,0)*VLOOKUP('Données projet'!$B$11,Paramètres!$A$1:$I$89,5,0)</f>
        <v>#N/A</v>
      </c>
      <c r="BF50" s="14" t="e">
        <f t="shared" si="37"/>
        <v>#N/A</v>
      </c>
      <c r="BG50" s="22" t="e">
        <f t="shared" si="7"/>
        <v>#N/A</v>
      </c>
      <c r="BH50" s="62" t="e">
        <f t="shared" si="8"/>
        <v>#N/A</v>
      </c>
      <c r="BI50" s="62" t="e">
        <f ca="1">AVERAGE(OFFSET($BH$3,0,0,'Données projet'!$E$11+1,1))-AVERAGE(OFFSET($H$3,0,0,'Données projet'!$E$11+1,1))</f>
        <v>#N/A</v>
      </c>
      <c r="BJ50" s="62" t="e">
        <f t="shared" si="38"/>
        <v>#N/A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 t="e">
        <f>EXP(-LN(2)/35)*BP49+(1-EXP(-LN(2)/35))/(LN(2)/35)*BL50*BM50*VLOOKUP('Données projet'!$B$11,Paramètres!$A$1:$I$89,3,0)*0.475*44/12</f>
        <v>#N/A</v>
      </c>
      <c r="BQ50" s="23" t="e">
        <f>EXP(-LN(2)/25)*BQ49+(1-EXP(-LN(2)/25))/(LN(2)/25)*Calculateur!BL50*Calculateur!BN50*VLOOKUP('Données projet'!$B$11,Paramètres!$A$1:$I$89,3,0)*0.475*44/12</f>
        <v>#N/A</v>
      </c>
      <c r="BR50" s="23" t="e">
        <f>EXP(-LN(2)/2)*BR49+(1-EXP(-LN(2)/2))/(LN(2)/2)*BL50*BO50*VLOOKUP('Données projet'!$B$11,Paramètres!$A$1:$I$89,3,0)*0.475*44/12</f>
        <v>#N/A</v>
      </c>
      <c r="BS50" s="24" t="e">
        <f t="shared" si="9"/>
        <v>#N/A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3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23.711999999999993</v>
      </c>
      <c r="D51" s="12">
        <f t="shared" si="32"/>
        <v>7.5591672478002421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10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241.39146647424749</v>
      </c>
      <c r="H51" s="70">
        <f t="shared" si="1"/>
        <v>347.79728295658538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7.25</v>
      </c>
      <c r="N51" s="14">
        <f>IF('Données projet'!$A$36&gt;35,N50+M51-V50,IF(A51&lt;'Données projet'!$A$36,$K$205^A51,IF(A51='Données projet'!$A$36,'Données projet'!$B$36,N50+M51-V50)))</f>
        <v>358.49999999999989</v>
      </c>
      <c r="O51" s="14">
        <f>N51*VLOOKUP('Données projet'!$B$9,Paramètres!$A$1:$I$89,3,0)*VLOOKUP('Données projet'!$B$9,Paramètres!$A$1:$I$89,5,0)</f>
        <v>214.38299999999995</v>
      </c>
      <c r="P51" s="14">
        <f t="shared" si="33"/>
        <v>52.892226959987113</v>
      </c>
      <c r="Q51" s="22">
        <f t="shared" si="53"/>
        <v>465.50435362197749</v>
      </c>
      <c r="R51" s="62">
        <f t="shared" si="0"/>
        <v>758.8376869553108</v>
      </c>
      <c r="S51" s="62">
        <f ca="1">AVERAGE(OFFSET($R$3,0,0,'Données projet'!$E$9+1,1))-AVERAGE(OFFSET($H$3,0,0,'Données projet'!$E$9+1,1))</f>
        <v>255.1976414275677</v>
      </c>
      <c r="T51" s="62">
        <f t="shared" si="34"/>
        <v>266.42714758321767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8.1968900357277565</v>
      </c>
      <c r="AA51" s="23">
        <f>EXP(-LN(2)/25)*AA50+(1-EXP(-LN(2)/25))/(LN(2)/25)*Calculateur!V51*Calculateur!X51*VLOOKUP('Données projet'!$B$9,Paramètres!$A$1:$I$89,3,0)*0.475*44/12</f>
        <v>8.0027880060934642</v>
      </c>
      <c r="AB51" s="23">
        <f>EXP(-LN(2)/2)*AB50+(1-EXP(-LN(2)/2))/(LN(2)/2)*V51*Y51*VLOOKUP('Données projet'!$B$9,Paramètres!$A$1:$I$89,3,0)*0.475*44/12</f>
        <v>1.1833520605543747E-2</v>
      </c>
      <c r="AC51" s="24">
        <f t="shared" si="3"/>
        <v>16.211511562426764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0</v>
      </c>
      <c r="AI51" s="14">
        <f>IF('Données projet'!$A$62&gt;35,AI50+AH51-AQ50,IF(A51&lt;'Données projet'!$A$62,$AF$205^A51,IF(A51='Données projet'!$A$62,'Données projet'!$B$62,AI50+AH51-AQ50)))</f>
        <v>0</v>
      </c>
      <c r="AJ51" s="14" t="e">
        <f>AI51*VLOOKUP('Données projet'!$B$10,Paramètres!$A$1:$I$89,3,0)*VLOOKUP('Données projet'!$B$10,Paramètres!$A$1:$I$89,5,0)</f>
        <v>#N/A</v>
      </c>
      <c r="AK51" s="14" t="e">
        <f t="shared" si="35"/>
        <v>#N/A</v>
      </c>
      <c r="AL51" s="22" t="e">
        <f t="shared" si="4"/>
        <v>#N/A</v>
      </c>
      <c r="AM51" s="62" t="e">
        <f t="shared" si="5"/>
        <v>#N/A</v>
      </c>
      <c r="AN51" s="62" t="e">
        <f ca="1">AVERAGE(OFFSET($AM$3,0,0,'Données projet'!$E$10+1,1))-AVERAGE(OFFSET($H$3,0,0,'Données projet'!$E$10+1,1))</f>
        <v>#N/A</v>
      </c>
      <c r="AO51" s="62" t="e">
        <f t="shared" si="36"/>
        <v>#N/A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 t="e">
        <f>EXP(-LN(2)/35)*AU50+(1-EXP(-LN(2)/35))/(LN(2)/35)*AQ51*AR51*VLOOKUP('Données projet'!$B$10,Paramètres!$A$1:$I$89,3,0)*0.475*44/12</f>
        <v>#N/A</v>
      </c>
      <c r="AV51" s="23" t="e">
        <f>EXP(-LN(2)/25)*AV50+(1-EXP(-LN(2)/25))/(LN(2)/25)*Calculateur!AQ51*Calculateur!AS51*VLOOKUP('Données projet'!$B$10,Paramètres!$A$1:$I$89,3,0)*0.475*44/12</f>
        <v>#N/A</v>
      </c>
      <c r="AW51" s="23" t="e">
        <f>EXP(-LN(2)/2)*AW50+(1-EXP(-LN(2)/2))/(LN(2)/2)*AQ51*AT51*VLOOKUP('Données projet'!$B$10,Paramètres!$A$1:$I$89,3,0)*0.475*44/12</f>
        <v>#N/A</v>
      </c>
      <c r="AX51" s="23" t="e">
        <f t="shared" si="6"/>
        <v>#N/A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0</v>
      </c>
      <c r="BE51" s="14" t="e">
        <f>BD51*VLOOKUP('Données projet'!$B$11,Paramètres!$A$1:$I$89,3,0)*VLOOKUP('Données projet'!$B$11,Paramètres!$A$1:$I$89,5,0)</f>
        <v>#N/A</v>
      </c>
      <c r="BF51" s="14" t="e">
        <f t="shared" si="37"/>
        <v>#N/A</v>
      </c>
      <c r="BG51" s="22" t="e">
        <f t="shared" si="7"/>
        <v>#N/A</v>
      </c>
      <c r="BH51" s="62" t="e">
        <f t="shared" si="8"/>
        <v>#N/A</v>
      </c>
      <c r="BI51" s="62" t="e">
        <f ca="1">AVERAGE(OFFSET($BH$3,0,0,'Données projet'!$E$11+1,1))-AVERAGE(OFFSET($H$3,0,0,'Données projet'!$E$11+1,1))</f>
        <v>#N/A</v>
      </c>
      <c r="BJ51" s="62" t="e">
        <f t="shared" si="38"/>
        <v>#N/A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 t="e">
        <f>EXP(-LN(2)/35)*BP50+(1-EXP(-LN(2)/35))/(LN(2)/35)*BL51*BM51*VLOOKUP('Données projet'!$B$11,Paramètres!$A$1:$I$89,3,0)*0.475*44/12</f>
        <v>#N/A</v>
      </c>
      <c r="BQ51" s="23" t="e">
        <f>EXP(-LN(2)/25)*BQ50+(1-EXP(-LN(2)/25))/(LN(2)/25)*Calculateur!BL51*Calculateur!BN51*VLOOKUP('Données projet'!$B$11,Paramètres!$A$1:$I$89,3,0)*0.475*44/12</f>
        <v>#N/A</v>
      </c>
      <c r="BR51" s="23" t="e">
        <f>EXP(-LN(2)/2)*BR50+(1-EXP(-LN(2)/2))/(LN(2)/2)*BL51*BO51*VLOOKUP('Données projet'!$B$11,Paramètres!$A$1:$I$89,3,0)*0.475*44/12</f>
        <v>#N/A</v>
      </c>
      <c r="BS51" s="24" t="e">
        <f t="shared" si="9"/>
        <v>#N/A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3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24.205999999999992</v>
      </c>
      <c r="D52" s="12">
        <f t="shared" si="32"/>
        <v>7.6981514906452606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10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246.27766062954234</v>
      </c>
      <c r="H52" s="70">
        <f t="shared" si="1"/>
        <v>348.89973051287382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7.25</v>
      </c>
      <c r="N52" s="14">
        <f>IF('Données projet'!$A$36&gt;35,N51+M52-V51,IF(A52&lt;'Données projet'!$A$36,$K$205^A52,IF(A52='Données projet'!$A$36,'Données projet'!$B$36,N51+M52-V51)))</f>
        <v>365.74999999999989</v>
      </c>
      <c r="O52" s="14">
        <f>N52*VLOOKUP('Données projet'!$B$9,Paramètres!$A$1:$I$89,3,0)*VLOOKUP('Données projet'!$B$9,Paramètres!$A$1:$I$89,5,0)</f>
        <v>218.71849999999995</v>
      </c>
      <c r="P52" s="14">
        <f t="shared" si="33"/>
        <v>53.836263396856545</v>
      </c>
      <c r="Q52" s="22">
        <f t="shared" si="53"/>
        <v>474.69954624952516</v>
      </c>
      <c r="R52" s="62">
        <f t="shared" si="0"/>
        <v>768.03287958285841</v>
      </c>
      <c r="S52" s="62">
        <f ca="1">AVERAGE(OFFSET($R$3,0,0,'Données projet'!$E$9+1,1))-AVERAGE(OFFSET($H$3,0,0,'Données projet'!$E$9+1,1))</f>
        <v>255.1976414275677</v>
      </c>
      <c r="T52" s="62">
        <f t="shared" si="34"/>
        <v>266.42714758321767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8.0361540217363867</v>
      </c>
      <c r="AA52" s="23">
        <f>EXP(-LN(2)/25)*AA51+(1-EXP(-LN(2)/25))/(LN(2)/25)*Calculateur!V52*Calculateur!X52*VLOOKUP('Données projet'!$B$9,Paramètres!$A$1:$I$89,3,0)*0.475*44/12</f>
        <v>7.7839513472185082</v>
      </c>
      <c r="AB52" s="23">
        <f>EXP(-LN(2)/2)*AB51+(1-EXP(-LN(2)/2))/(LN(2)/2)*V52*Y52*VLOOKUP('Données projet'!$B$9,Paramètres!$A$1:$I$89,3,0)*0.475*44/12</f>
        <v>8.3675626654907236E-3</v>
      </c>
      <c r="AC52" s="24">
        <f t="shared" si="3"/>
        <v>15.828472931620386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0</v>
      </c>
      <c r="AI52" s="14">
        <f>IF('Données projet'!$A$62&gt;35,AI51+AH52-AQ51,IF(A52&lt;'Données projet'!$A$62,$AF$205^A52,IF(A52='Données projet'!$A$62,'Données projet'!$B$62,AI51+AH52-AQ51)))</f>
        <v>0</v>
      </c>
      <c r="AJ52" s="14" t="e">
        <f>AI52*VLOOKUP('Données projet'!$B$10,Paramètres!$A$1:$I$89,3,0)*VLOOKUP('Données projet'!$B$10,Paramètres!$A$1:$I$89,5,0)</f>
        <v>#N/A</v>
      </c>
      <c r="AK52" s="14" t="e">
        <f t="shared" si="35"/>
        <v>#N/A</v>
      </c>
      <c r="AL52" s="22" t="e">
        <f t="shared" si="4"/>
        <v>#N/A</v>
      </c>
      <c r="AM52" s="62" t="e">
        <f t="shared" si="5"/>
        <v>#N/A</v>
      </c>
      <c r="AN52" s="62" t="e">
        <f ca="1">AVERAGE(OFFSET($AM$3,0,0,'Données projet'!$E$10+1,1))-AVERAGE(OFFSET($H$3,0,0,'Données projet'!$E$10+1,1))</f>
        <v>#N/A</v>
      </c>
      <c r="AO52" s="62" t="e">
        <f t="shared" si="36"/>
        <v>#N/A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 t="e">
        <f>EXP(-LN(2)/35)*AU51+(1-EXP(-LN(2)/35))/(LN(2)/35)*AQ52*AR52*VLOOKUP('Données projet'!$B$10,Paramètres!$A$1:$I$89,3,0)*0.475*44/12</f>
        <v>#N/A</v>
      </c>
      <c r="AV52" s="23" t="e">
        <f>EXP(-LN(2)/25)*AV51+(1-EXP(-LN(2)/25))/(LN(2)/25)*Calculateur!AQ52*Calculateur!AS52*VLOOKUP('Données projet'!$B$10,Paramètres!$A$1:$I$89,3,0)*0.475*44/12</f>
        <v>#N/A</v>
      </c>
      <c r="AW52" s="23" t="e">
        <f>EXP(-LN(2)/2)*AW51+(1-EXP(-LN(2)/2))/(LN(2)/2)*AQ52*AT52*VLOOKUP('Données projet'!$B$10,Paramètres!$A$1:$I$89,3,0)*0.475*44/12</f>
        <v>#N/A</v>
      </c>
      <c r="AX52" s="23" t="e">
        <f t="shared" si="6"/>
        <v>#N/A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0</v>
      </c>
      <c r="BE52" s="14" t="e">
        <f>BD52*VLOOKUP('Données projet'!$B$11,Paramètres!$A$1:$I$89,3,0)*VLOOKUP('Données projet'!$B$11,Paramètres!$A$1:$I$89,5,0)</f>
        <v>#N/A</v>
      </c>
      <c r="BF52" s="14" t="e">
        <f t="shared" si="37"/>
        <v>#N/A</v>
      </c>
      <c r="BG52" s="22" t="e">
        <f t="shared" si="7"/>
        <v>#N/A</v>
      </c>
      <c r="BH52" s="62" t="e">
        <f t="shared" si="8"/>
        <v>#N/A</v>
      </c>
      <c r="BI52" s="62" t="e">
        <f ca="1">AVERAGE(OFFSET($BH$3,0,0,'Données projet'!$E$11+1,1))-AVERAGE(OFFSET($H$3,0,0,'Données projet'!$E$11+1,1))</f>
        <v>#N/A</v>
      </c>
      <c r="BJ52" s="62" t="e">
        <f t="shared" si="38"/>
        <v>#N/A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 t="e">
        <f>EXP(-LN(2)/35)*BP51+(1-EXP(-LN(2)/35))/(LN(2)/35)*BL52*BM52*VLOOKUP('Données projet'!$B$11,Paramètres!$A$1:$I$89,3,0)*0.475*44/12</f>
        <v>#N/A</v>
      </c>
      <c r="BQ52" s="23" t="e">
        <f>EXP(-LN(2)/25)*BQ51+(1-EXP(-LN(2)/25))/(LN(2)/25)*Calculateur!BL52*Calculateur!BN52*VLOOKUP('Données projet'!$B$11,Paramètres!$A$1:$I$89,3,0)*0.475*44/12</f>
        <v>#N/A</v>
      </c>
      <c r="BR52" s="23" t="e">
        <f>EXP(-LN(2)/2)*BR51+(1-EXP(-LN(2)/2))/(LN(2)/2)*BL52*BO52*VLOOKUP('Données projet'!$B$11,Paramètres!$A$1:$I$89,3,0)*0.475*44/12</f>
        <v>#N/A</v>
      </c>
      <c r="BS52" s="24" t="e">
        <f t="shared" si="9"/>
        <v>#N/A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3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24.699999999999992</v>
      </c>
      <c r="D53" s="12">
        <f t="shared" si="32"/>
        <v>7.8368059426416599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10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251.16130903091798</v>
      </c>
      <c r="H53" s="70">
        <f t="shared" si="1"/>
        <v>350.00160368343415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7.25</v>
      </c>
      <c r="N53" s="14">
        <f>IF('Données projet'!$A$36&gt;35,N52+M53-V52,IF(A53&lt;'Données projet'!$A$36,$K$205^A53,IF(A53='Données projet'!$A$36,'Données projet'!$B$36,N52+M53-V52)))</f>
        <v>372.99999999999989</v>
      </c>
      <c r="O53" s="14">
        <f>N53*VLOOKUP('Données projet'!$B$9,Paramètres!$A$1:$I$89,3,0)*VLOOKUP('Données projet'!$B$9,Paramètres!$A$1:$I$89,5,0)</f>
        <v>223.05399999999995</v>
      </c>
      <c r="P53" s="14">
        <f t="shared" si="33"/>
        <v>54.778124005813339</v>
      </c>
      <c r="Q53" s="22">
        <f t="shared" si="53"/>
        <v>483.89094931012482</v>
      </c>
      <c r="R53" s="62">
        <f t="shared" si="0"/>
        <v>777.22428264345808</v>
      </c>
      <c r="S53" s="62">
        <f ca="1">AVERAGE(OFFSET($R$3,0,0,'Données projet'!$E$9+1,1))-AVERAGE(OFFSET($H$3,0,0,'Données projet'!$E$9+1,1))</f>
        <v>255.1976414275677</v>
      </c>
      <c r="T53" s="62">
        <f t="shared" si="34"/>
        <v>266.42714758321767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7.8785699429400999</v>
      </c>
      <c r="AA53" s="23">
        <f>EXP(-LN(2)/25)*AA52+(1-EXP(-LN(2)/25))/(LN(2)/25)*Calculateur!V53*Calculateur!X53*VLOOKUP('Données projet'!$B$9,Paramètres!$A$1:$I$89,3,0)*0.475*44/12</f>
        <v>7.5710987882886069</v>
      </c>
      <c r="AB53" s="23">
        <f>EXP(-LN(2)/2)*AB52+(1-EXP(-LN(2)/2))/(LN(2)/2)*V53*Y53*VLOOKUP('Données projet'!$B$9,Paramètres!$A$1:$I$89,3,0)*0.475*44/12</f>
        <v>5.9167603027718736E-3</v>
      </c>
      <c r="AC53" s="24">
        <f t="shared" si="3"/>
        <v>15.455585491531478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0</v>
      </c>
      <c r="AI53" s="14">
        <f>IF('Données projet'!$A$62&gt;35,AI52+AH53-AQ52,IF(A53&lt;'Données projet'!$A$62,$AF$205^A53,IF(A53='Données projet'!$A$62,'Données projet'!$B$62,AI52+AH53-AQ52)))</f>
        <v>0</v>
      </c>
      <c r="AJ53" s="14" t="e">
        <f>AI53*VLOOKUP('Données projet'!$B$10,Paramètres!$A$1:$I$89,3,0)*VLOOKUP('Données projet'!$B$10,Paramètres!$A$1:$I$89,5,0)</f>
        <v>#N/A</v>
      </c>
      <c r="AK53" s="14" t="e">
        <f t="shared" si="35"/>
        <v>#N/A</v>
      </c>
      <c r="AL53" s="22" t="e">
        <f t="shared" si="4"/>
        <v>#N/A</v>
      </c>
      <c r="AM53" s="62" t="e">
        <f t="shared" si="5"/>
        <v>#N/A</v>
      </c>
      <c r="AN53" s="62" t="e">
        <f ca="1">AVERAGE(OFFSET($AM$3,0,0,'Données projet'!$E$10+1,1))-AVERAGE(OFFSET($H$3,0,0,'Données projet'!$E$10+1,1))</f>
        <v>#N/A</v>
      </c>
      <c r="AO53" s="62" t="e">
        <f t="shared" si="36"/>
        <v>#N/A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 t="e">
        <f>EXP(-LN(2)/35)*AU52+(1-EXP(-LN(2)/35))/(LN(2)/35)*AQ53*AR53*VLOOKUP('Données projet'!$B$10,Paramètres!$A$1:$I$89,3,0)*0.475*44/12</f>
        <v>#N/A</v>
      </c>
      <c r="AV53" s="23" t="e">
        <f>EXP(-LN(2)/25)*AV52+(1-EXP(-LN(2)/25))/(LN(2)/25)*Calculateur!AQ53*Calculateur!AS53*VLOOKUP('Données projet'!$B$10,Paramètres!$A$1:$I$89,3,0)*0.475*44/12</f>
        <v>#N/A</v>
      </c>
      <c r="AW53" s="23" t="e">
        <f>EXP(-LN(2)/2)*AW52+(1-EXP(-LN(2)/2))/(LN(2)/2)*AQ53*AT53*VLOOKUP('Données projet'!$B$10,Paramètres!$A$1:$I$89,3,0)*0.475*44/12</f>
        <v>#N/A</v>
      </c>
      <c r="AX53" s="23" t="e">
        <f t="shared" si="6"/>
        <v>#N/A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0</v>
      </c>
      <c r="BE53" s="14" t="e">
        <f>BD53*VLOOKUP('Données projet'!$B$11,Paramètres!$A$1:$I$89,3,0)*VLOOKUP('Données projet'!$B$11,Paramètres!$A$1:$I$89,5,0)</f>
        <v>#N/A</v>
      </c>
      <c r="BF53" s="14" t="e">
        <f t="shared" si="37"/>
        <v>#N/A</v>
      </c>
      <c r="BG53" s="22" t="e">
        <f t="shared" si="7"/>
        <v>#N/A</v>
      </c>
      <c r="BH53" s="62" t="e">
        <f t="shared" si="8"/>
        <v>#N/A</v>
      </c>
      <c r="BI53" s="62" t="e">
        <f ca="1">AVERAGE(OFFSET($BH$3,0,0,'Données projet'!$E$11+1,1))-AVERAGE(OFFSET($H$3,0,0,'Données projet'!$E$11+1,1))</f>
        <v>#N/A</v>
      </c>
      <c r="BJ53" s="62" t="e">
        <f t="shared" si="38"/>
        <v>#N/A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 t="e">
        <f>EXP(-LN(2)/35)*BP52+(1-EXP(-LN(2)/35))/(LN(2)/35)*BL53*BM53*VLOOKUP('Données projet'!$B$11,Paramètres!$A$1:$I$89,3,0)*0.475*44/12</f>
        <v>#N/A</v>
      </c>
      <c r="BQ53" s="23" t="e">
        <f>EXP(-LN(2)/25)*BQ52+(1-EXP(-LN(2)/25))/(LN(2)/25)*Calculateur!BL53*Calculateur!BN53*VLOOKUP('Données projet'!$B$11,Paramètres!$A$1:$I$89,3,0)*0.475*44/12</f>
        <v>#N/A</v>
      </c>
      <c r="BR53" s="23" t="e">
        <f>EXP(-LN(2)/2)*BR52+(1-EXP(-LN(2)/2))/(LN(2)/2)*BL53*BO53*VLOOKUP('Données projet'!$B$11,Paramètres!$A$1:$I$89,3,0)*0.475*44/12</f>
        <v>#N/A</v>
      </c>
      <c r="BS53" s="24" t="e">
        <f t="shared" si="9"/>
        <v>#N/A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3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25.193999999999992</v>
      </c>
      <c r="D54" s="12">
        <f t="shared" si="32"/>
        <v>7.9751379597846981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10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256.04246846149584</v>
      </c>
      <c r="H54" s="70">
        <f t="shared" si="1"/>
        <v>351.10291527995832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7.25</v>
      </c>
      <c r="N54" s="14">
        <f>IF('Données projet'!$A$36&gt;35,N53+M54-V53,IF(A54&lt;'Données projet'!$A$36,$K$205^A54,IF(A54='Données projet'!$A$36,'Données projet'!$B$36,N53+M54-V53)))</f>
        <v>380.24999999999989</v>
      </c>
      <c r="O54" s="14">
        <f>N54*VLOOKUP('Données projet'!$B$9,Paramètres!$A$1:$I$89,3,0)*VLOOKUP('Données projet'!$B$9,Paramètres!$A$1:$I$89,5,0)</f>
        <v>227.38949999999997</v>
      </c>
      <c r="P54" s="14">
        <f t="shared" si="33"/>
        <v>55.717855953778901</v>
      </c>
      <c r="Q54" s="22">
        <f t="shared" si="53"/>
        <v>493.07864495283161</v>
      </c>
      <c r="R54" s="62">
        <f t="shared" si="0"/>
        <v>786.41197828616487</v>
      </c>
      <c r="S54" s="62">
        <f ca="1">AVERAGE(OFFSET($R$3,0,0,'Données projet'!$E$9+1,1))-AVERAGE(OFFSET($H$3,0,0,'Données projet'!$E$9+1,1))</f>
        <v>255.1976414275677</v>
      </c>
      <c r="T54" s="62">
        <f t="shared" si="34"/>
        <v>266.42714758321767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7.7240759918122111</v>
      </c>
      <c r="AA54" s="23">
        <f>EXP(-LN(2)/25)*AA53+(1-EXP(-LN(2)/25))/(LN(2)/25)*Calculateur!V54*Calculateur!X54*VLOOKUP('Données projet'!$B$9,Paramètres!$A$1:$I$89,3,0)*0.475*44/12</f>
        <v>7.3640666937760733</v>
      </c>
      <c r="AB54" s="23">
        <f>EXP(-LN(2)/2)*AB53+(1-EXP(-LN(2)/2))/(LN(2)/2)*V54*Y54*VLOOKUP('Données projet'!$B$9,Paramètres!$A$1:$I$89,3,0)*0.475*44/12</f>
        <v>4.1837813327453618E-3</v>
      </c>
      <c r="AC54" s="24">
        <f t="shared" si="3"/>
        <v>15.09232646692103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0</v>
      </c>
      <c r="AI54" s="14">
        <f>IF('Données projet'!$A$62&gt;35,AI53+AH54-AQ53,IF(A54&lt;'Données projet'!$A$62,$AF$205^A54,IF(A54='Données projet'!$A$62,'Données projet'!$B$62,AI53+AH54-AQ53)))</f>
        <v>0</v>
      </c>
      <c r="AJ54" s="14" t="e">
        <f>AI54*VLOOKUP('Données projet'!$B$10,Paramètres!$A$1:$I$89,3,0)*VLOOKUP('Données projet'!$B$10,Paramètres!$A$1:$I$89,5,0)</f>
        <v>#N/A</v>
      </c>
      <c r="AK54" s="14" t="e">
        <f t="shared" si="35"/>
        <v>#N/A</v>
      </c>
      <c r="AL54" s="22" t="e">
        <f t="shared" si="4"/>
        <v>#N/A</v>
      </c>
      <c r="AM54" s="62" t="e">
        <f t="shared" si="5"/>
        <v>#N/A</v>
      </c>
      <c r="AN54" s="62" t="e">
        <f ca="1">AVERAGE(OFFSET($AM$3,0,0,'Données projet'!$E$10+1,1))-AVERAGE(OFFSET($H$3,0,0,'Données projet'!$E$10+1,1))</f>
        <v>#N/A</v>
      </c>
      <c r="AO54" s="62" t="e">
        <f t="shared" si="36"/>
        <v>#N/A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 t="e">
        <f>EXP(-LN(2)/35)*AU53+(1-EXP(-LN(2)/35))/(LN(2)/35)*AQ54*AR54*VLOOKUP('Données projet'!$B$10,Paramètres!$A$1:$I$89,3,0)*0.475*44/12</f>
        <v>#N/A</v>
      </c>
      <c r="AV54" s="23" t="e">
        <f>EXP(-LN(2)/25)*AV53+(1-EXP(-LN(2)/25))/(LN(2)/25)*Calculateur!AQ54*Calculateur!AS54*VLOOKUP('Données projet'!$B$10,Paramètres!$A$1:$I$89,3,0)*0.475*44/12</f>
        <v>#N/A</v>
      </c>
      <c r="AW54" s="23" t="e">
        <f>EXP(-LN(2)/2)*AW53+(1-EXP(-LN(2)/2))/(LN(2)/2)*AQ54*AT54*VLOOKUP('Données projet'!$B$10,Paramètres!$A$1:$I$89,3,0)*0.475*44/12</f>
        <v>#N/A</v>
      </c>
      <c r="AX54" s="23" t="e">
        <f t="shared" si="6"/>
        <v>#N/A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 t="e">
        <f>BD54*VLOOKUP('Données projet'!$B$11,Paramètres!$A$1:$I$89,3,0)*VLOOKUP('Données projet'!$B$11,Paramètres!$A$1:$I$89,5,0)</f>
        <v>#N/A</v>
      </c>
      <c r="BF54" s="14" t="e">
        <f t="shared" si="37"/>
        <v>#N/A</v>
      </c>
      <c r="BG54" s="22" t="e">
        <f t="shared" si="7"/>
        <v>#N/A</v>
      </c>
      <c r="BH54" s="62" t="e">
        <f t="shared" si="8"/>
        <v>#N/A</v>
      </c>
      <c r="BI54" s="62" t="e">
        <f ca="1">AVERAGE(OFFSET($BH$3,0,0,'Données projet'!$E$11+1,1))-AVERAGE(OFFSET($H$3,0,0,'Données projet'!$E$11+1,1))</f>
        <v>#N/A</v>
      </c>
      <c r="BJ54" s="62" t="e">
        <f t="shared" si="38"/>
        <v>#N/A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 t="e">
        <f>EXP(-LN(2)/35)*BP53+(1-EXP(-LN(2)/35))/(LN(2)/35)*BL54*BM54*VLOOKUP('Données projet'!$B$11,Paramètres!$A$1:$I$89,3,0)*0.475*44/12</f>
        <v>#N/A</v>
      </c>
      <c r="BQ54" s="23" t="e">
        <f>EXP(-LN(2)/25)*BQ53+(1-EXP(-LN(2)/25))/(LN(2)/25)*Calculateur!BL54*Calculateur!BN54*VLOOKUP('Données projet'!$B$11,Paramètres!$A$1:$I$89,3,0)*0.475*44/12</f>
        <v>#N/A</v>
      </c>
      <c r="BR54" s="23" t="e">
        <f>EXP(-LN(2)/2)*BR53+(1-EXP(-LN(2)/2))/(LN(2)/2)*BL54*BO54*VLOOKUP('Données projet'!$B$11,Paramètres!$A$1:$I$89,3,0)*0.475*44/12</f>
        <v>#N/A</v>
      </c>
      <c r="BS54" s="24" t="e">
        <f t="shared" si="9"/>
        <v>#N/A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3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25.687999999999992</v>
      </c>
      <c r="D55" s="12">
        <f t="shared" si="32"/>
        <v>8.1131545930997699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10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260.92119335024375</v>
      </c>
      <c r="H55" s="70">
        <f t="shared" si="1"/>
        <v>352.20367758298204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7.25</v>
      </c>
      <c r="N55" s="14">
        <f>IF('Données projet'!$A$36&gt;35,N54+M55-V54,IF(A55&lt;'Données projet'!$A$36,$K$205^A55,IF(A55='Données projet'!$A$36,'Données projet'!$B$36,N54+M55-V54)))</f>
        <v>387.49999999999989</v>
      </c>
      <c r="O55" s="14">
        <f>N55*VLOOKUP('Données projet'!$B$9,Paramètres!$A$1:$I$89,3,0)*VLOOKUP('Données projet'!$B$9,Paramètres!$A$1:$I$89,5,0)</f>
        <v>231.72499999999994</v>
      </c>
      <c r="P55" s="14">
        <f t="shared" si="33"/>
        <v>56.655504506153761</v>
      </c>
      <c r="Q55" s="22">
        <f t="shared" si="53"/>
        <v>502.2627120148843</v>
      </c>
      <c r="R55" s="62">
        <f t="shared" si="0"/>
        <v>795.59604534821756</v>
      </c>
      <c r="S55" s="62">
        <f ca="1">AVERAGE(OFFSET($R$3,0,0,'Données projet'!$E$9+1,1))-AVERAGE(OFFSET($H$3,0,0,'Données projet'!$E$9+1,1))</f>
        <v>255.1976414275677</v>
      </c>
      <c r="T55" s="62">
        <f t="shared" si="34"/>
        <v>266.42714758321767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7.5726115728339343</v>
      </c>
      <c r="AA55" s="23">
        <f>EXP(-LN(2)/25)*AA54+(1-EXP(-LN(2)/25))/(LN(2)/25)*Calculateur!V55*Calculateur!X55*VLOOKUP('Données projet'!$B$9,Paramètres!$A$1:$I$89,3,0)*0.475*44/12</f>
        <v>7.1626959027753303</v>
      </c>
      <c r="AB55" s="23">
        <f>EXP(-LN(2)/2)*AB54+(1-EXP(-LN(2)/2))/(LN(2)/2)*V55*Y55*VLOOKUP('Données projet'!$B$9,Paramètres!$A$1:$I$89,3,0)*0.475*44/12</f>
        <v>2.9583801513859368E-3</v>
      </c>
      <c r="AC55" s="24">
        <f t="shared" si="3"/>
        <v>14.73826585576065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0</v>
      </c>
      <c r="AI55" s="14">
        <f>IF('Données projet'!$A$62&gt;35,AI54+AH55-AQ54,IF(A55&lt;'Données projet'!$A$62,$AF$205^A55,IF(A55='Données projet'!$A$62,'Données projet'!$B$62,AI54+AH55-AQ54)))</f>
        <v>0</v>
      </c>
      <c r="AJ55" s="14" t="e">
        <f>AI55*VLOOKUP('Données projet'!$B$10,Paramètres!$A$1:$I$89,3,0)*VLOOKUP('Données projet'!$B$10,Paramètres!$A$1:$I$89,5,0)</f>
        <v>#N/A</v>
      </c>
      <c r="AK55" s="14" t="e">
        <f t="shared" si="35"/>
        <v>#N/A</v>
      </c>
      <c r="AL55" s="22" t="e">
        <f t="shared" si="4"/>
        <v>#N/A</v>
      </c>
      <c r="AM55" s="62" t="e">
        <f t="shared" si="5"/>
        <v>#N/A</v>
      </c>
      <c r="AN55" s="62" t="e">
        <f ca="1">AVERAGE(OFFSET($AM$3,0,0,'Données projet'!$E$10+1,1))-AVERAGE(OFFSET($H$3,0,0,'Données projet'!$E$10+1,1))</f>
        <v>#N/A</v>
      </c>
      <c r="AO55" s="62" t="e">
        <f t="shared" si="36"/>
        <v>#N/A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 t="e">
        <f>EXP(-LN(2)/35)*AU54+(1-EXP(-LN(2)/35))/(LN(2)/35)*AQ55*AR55*VLOOKUP('Données projet'!$B$10,Paramètres!$A$1:$I$89,3,0)*0.475*44/12</f>
        <v>#N/A</v>
      </c>
      <c r="AV55" s="23" t="e">
        <f>EXP(-LN(2)/25)*AV54+(1-EXP(-LN(2)/25))/(LN(2)/25)*Calculateur!AQ55*Calculateur!AS55*VLOOKUP('Données projet'!$B$10,Paramètres!$A$1:$I$89,3,0)*0.475*44/12</f>
        <v>#N/A</v>
      </c>
      <c r="AW55" s="23" t="e">
        <f>EXP(-LN(2)/2)*AW54+(1-EXP(-LN(2)/2))/(LN(2)/2)*AQ55*AT55*VLOOKUP('Données projet'!$B$10,Paramètres!$A$1:$I$89,3,0)*0.475*44/12</f>
        <v>#N/A</v>
      </c>
      <c r="AX55" s="23" t="e">
        <f t="shared" si="6"/>
        <v>#N/A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 t="e">
        <f>BD55*VLOOKUP('Données projet'!$B$11,Paramètres!$A$1:$I$89,3,0)*VLOOKUP('Données projet'!$B$11,Paramètres!$A$1:$I$89,5,0)</f>
        <v>#N/A</v>
      </c>
      <c r="BF55" s="14" t="e">
        <f t="shared" si="37"/>
        <v>#N/A</v>
      </c>
      <c r="BG55" s="22" t="e">
        <f t="shared" si="7"/>
        <v>#N/A</v>
      </c>
      <c r="BH55" s="62" t="e">
        <f t="shared" si="8"/>
        <v>#N/A</v>
      </c>
      <c r="BI55" s="62" t="e">
        <f ca="1">AVERAGE(OFFSET($BH$3,0,0,'Données projet'!$E$11+1,1))-AVERAGE(OFFSET($H$3,0,0,'Données projet'!$E$11+1,1))</f>
        <v>#N/A</v>
      </c>
      <c r="BJ55" s="62" t="e">
        <f t="shared" si="38"/>
        <v>#N/A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 t="e">
        <f>EXP(-LN(2)/35)*BP54+(1-EXP(-LN(2)/35))/(LN(2)/35)*BL55*BM55*VLOOKUP('Données projet'!$B$11,Paramètres!$A$1:$I$89,3,0)*0.475*44/12</f>
        <v>#N/A</v>
      </c>
      <c r="BQ55" s="23" t="e">
        <f>EXP(-LN(2)/25)*BQ54+(1-EXP(-LN(2)/25))/(LN(2)/25)*Calculateur!BL55*Calculateur!BN55*VLOOKUP('Données projet'!$B$11,Paramètres!$A$1:$I$89,3,0)*0.475*44/12</f>
        <v>#N/A</v>
      </c>
      <c r="BR55" s="23" t="e">
        <f>EXP(-LN(2)/2)*BR54+(1-EXP(-LN(2)/2))/(LN(2)/2)*BL55*BO55*VLOOKUP('Données projet'!$B$11,Paramètres!$A$1:$I$89,3,0)*0.475*44/12</f>
        <v>#N/A</v>
      </c>
      <c r="BS55" s="24" t="e">
        <f t="shared" si="9"/>
        <v>#N/A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3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26.181999999999992</v>
      </c>
      <c r="D56" s="12">
        <f t="shared" si="32"/>
        <v>8.250862606903512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10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265.7975359129394</v>
      </c>
      <c r="H56" s="70">
        <f t="shared" si="1"/>
        <v>353.30390237369022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7.25</v>
      </c>
      <c r="N56" s="14">
        <f>IF('Données projet'!$A$36&gt;35,N55+M56-V55,IF(A56&lt;'Données projet'!$A$36,$K$205^A56,IF(A56='Données projet'!$A$36,'Données projet'!$B$36,N55+M56-V55)))</f>
        <v>394.74999999999989</v>
      </c>
      <c r="O56" s="14">
        <f>N56*VLOOKUP('Données projet'!$B$9,Paramètres!$A$1:$I$89,3,0)*VLOOKUP('Données projet'!$B$9,Paramètres!$A$1:$I$89,5,0)</f>
        <v>236.06049999999993</v>
      </c>
      <c r="P56" s="14">
        <f t="shared" si="33"/>
        <v>57.591113137594284</v>
      </c>
      <c r="Q56" s="22">
        <f t="shared" si="53"/>
        <v>511.44322621464318</v>
      </c>
      <c r="R56" s="62">
        <f t="shared" si="0"/>
        <v>804.77655954797649</v>
      </c>
      <c r="S56" s="62">
        <f ca="1">AVERAGE(OFFSET($R$3,0,0,'Données projet'!$E$9+1,1))-AVERAGE(OFFSET($H$3,0,0,'Données projet'!$E$9+1,1))</f>
        <v>255.1976414275677</v>
      </c>
      <c r="T56" s="62">
        <f t="shared" si="34"/>
        <v>266.42714758321767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7.4241172787276479</v>
      </c>
      <c r="AA56" s="23">
        <f>EXP(-LN(2)/25)*AA55+(1-EXP(-LN(2)/25))/(LN(2)/25)*Calculateur!V56*Calculateur!X56*VLOOKUP('Données projet'!$B$9,Paramètres!$A$1:$I$89,3,0)*0.475*44/12</f>
        <v>6.9668316066441323</v>
      </c>
      <c r="AB56" s="23">
        <f>EXP(-LN(2)/2)*AB55+(1-EXP(-LN(2)/2))/(LN(2)/2)*V56*Y56*VLOOKUP('Données projet'!$B$9,Paramètres!$A$1:$I$89,3,0)*0.475*44/12</f>
        <v>2.0918906663726809E-3</v>
      </c>
      <c r="AC56" s="24">
        <f t="shared" si="3"/>
        <v>14.393040776038154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0</v>
      </c>
      <c r="AI56" s="14">
        <f>IF('Données projet'!$A$62&gt;35,AI55+AH56-AQ55,IF(A56&lt;'Données projet'!$A$62,$AF$205^A56,IF(A56='Données projet'!$A$62,'Données projet'!$B$62,AI55+AH56-AQ55)))</f>
        <v>0</v>
      </c>
      <c r="AJ56" s="14" t="e">
        <f>AI56*VLOOKUP('Données projet'!$B$10,Paramètres!$A$1:$I$89,3,0)*VLOOKUP('Données projet'!$B$10,Paramètres!$A$1:$I$89,5,0)</f>
        <v>#N/A</v>
      </c>
      <c r="AK56" s="14" t="e">
        <f t="shared" si="35"/>
        <v>#N/A</v>
      </c>
      <c r="AL56" s="22" t="e">
        <f t="shared" si="4"/>
        <v>#N/A</v>
      </c>
      <c r="AM56" s="62" t="e">
        <f t="shared" si="5"/>
        <v>#N/A</v>
      </c>
      <c r="AN56" s="62" t="e">
        <f ca="1">AVERAGE(OFFSET($AM$3,0,0,'Données projet'!$E$10+1,1))-AVERAGE(OFFSET($H$3,0,0,'Données projet'!$E$10+1,1))</f>
        <v>#N/A</v>
      </c>
      <c r="AO56" s="62" t="e">
        <f t="shared" si="36"/>
        <v>#N/A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 t="e">
        <f>EXP(-LN(2)/35)*AU55+(1-EXP(-LN(2)/35))/(LN(2)/35)*AQ56*AR56*VLOOKUP('Données projet'!$B$10,Paramètres!$A$1:$I$89,3,0)*0.475*44/12</f>
        <v>#N/A</v>
      </c>
      <c r="AV56" s="23" t="e">
        <f>EXP(-LN(2)/25)*AV55+(1-EXP(-LN(2)/25))/(LN(2)/25)*Calculateur!AQ56*Calculateur!AS56*VLOOKUP('Données projet'!$B$10,Paramètres!$A$1:$I$89,3,0)*0.475*44/12</f>
        <v>#N/A</v>
      </c>
      <c r="AW56" s="23" t="e">
        <f>EXP(-LN(2)/2)*AW55+(1-EXP(-LN(2)/2))/(LN(2)/2)*AQ56*AT56*VLOOKUP('Données projet'!$B$10,Paramètres!$A$1:$I$89,3,0)*0.475*44/12</f>
        <v>#N/A</v>
      </c>
      <c r="AX56" s="23" t="e">
        <f t="shared" si="6"/>
        <v>#N/A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 t="e">
        <f>BD56*VLOOKUP('Données projet'!$B$11,Paramètres!$A$1:$I$89,3,0)*VLOOKUP('Données projet'!$B$11,Paramètres!$A$1:$I$89,5,0)</f>
        <v>#N/A</v>
      </c>
      <c r="BF56" s="14" t="e">
        <f t="shared" si="37"/>
        <v>#N/A</v>
      </c>
      <c r="BG56" s="22" t="e">
        <f t="shared" si="7"/>
        <v>#N/A</v>
      </c>
      <c r="BH56" s="62" t="e">
        <f t="shared" si="8"/>
        <v>#N/A</v>
      </c>
      <c r="BI56" s="62" t="e">
        <f ca="1">AVERAGE(OFFSET($BH$3,0,0,'Données projet'!$E$11+1,1))-AVERAGE(OFFSET($H$3,0,0,'Données projet'!$E$11+1,1))</f>
        <v>#N/A</v>
      </c>
      <c r="BJ56" s="62" t="e">
        <f t="shared" si="38"/>
        <v>#N/A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 t="e">
        <f>EXP(-LN(2)/35)*BP55+(1-EXP(-LN(2)/35))/(LN(2)/35)*BL56*BM56*VLOOKUP('Données projet'!$B$11,Paramètres!$A$1:$I$89,3,0)*0.475*44/12</f>
        <v>#N/A</v>
      </c>
      <c r="BQ56" s="23" t="e">
        <f>EXP(-LN(2)/25)*BQ55+(1-EXP(-LN(2)/25))/(LN(2)/25)*Calculateur!BL56*Calculateur!BN56*VLOOKUP('Données projet'!$B$11,Paramètres!$A$1:$I$89,3,0)*0.475*44/12</f>
        <v>#N/A</v>
      </c>
      <c r="BR56" s="23" t="e">
        <f>EXP(-LN(2)/2)*BR55+(1-EXP(-LN(2)/2))/(LN(2)/2)*BL56*BO56*VLOOKUP('Données projet'!$B$11,Paramètres!$A$1:$I$89,3,0)*0.475*44/12</f>
        <v>#N/A</v>
      </c>
      <c r="BS56" s="24" t="e">
        <f t="shared" si="9"/>
        <v>#N/A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3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26.675999999999991</v>
      </c>
      <c r="D57" s="12">
        <f t="shared" si="32"/>
        <v>8.388268495647786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10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270.67154628219339</v>
      </c>
      <c r="H57" s="70">
        <f t="shared" si="1"/>
        <v>354.40360096325321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>
        <f>VLOOKUP(A57,'Données projet'!$A$35:$I$55,2,0)</f>
        <v>402</v>
      </c>
      <c r="L57" s="13">
        <f>VLOOKUP(A57,'Données projet'!$A$35:$I$55,9,0)</f>
        <v>7.25</v>
      </c>
      <c r="M57" s="13">
        <f t="array" ref="M57">INDEX(L:L,MIN(IF(ISNUMBER(L57:L253),ROW(L57:L253),"")))</f>
        <v>7.25</v>
      </c>
      <c r="N57" s="14">
        <f>IF('Données projet'!$A$36&gt;35,N56+M57-V56,IF(A57&lt;'Données projet'!$A$36,$K$205^A57,IF(A57='Données projet'!$A$36,'Données projet'!$B$36,N56+M57-V56)))</f>
        <v>401.99999999999989</v>
      </c>
      <c r="O57" s="14">
        <f>N57*VLOOKUP('Données projet'!$B$9,Paramètres!$A$1:$I$89,3,0)*VLOOKUP('Données projet'!$B$9,Paramètres!$A$1:$I$89,5,0)</f>
        <v>240.39599999999996</v>
      </c>
      <c r="P57" s="14">
        <f t="shared" si="33"/>
        <v>58.524723634421605</v>
      </c>
      <c r="Q57" s="22">
        <f t="shared" si="53"/>
        <v>520.62026032995084</v>
      </c>
      <c r="R57" s="62">
        <f t="shared" si="0"/>
        <v>813.95359366328421</v>
      </c>
      <c r="S57" s="62">
        <f ca="1">AVERAGE(OFFSET($R$3,0,0,'Données projet'!$E$9+1,1))-AVERAGE(OFFSET($H$3,0,0,'Données projet'!$E$9+1,1))</f>
        <v>255.1976414275677</v>
      </c>
      <c r="T57" s="62">
        <f t="shared" si="34"/>
        <v>266.42714758321767</v>
      </c>
      <c r="U57" s="16">
        <f>IF(ISNA(VLOOKUP(A57,'Données projet'!$A$35:$I$55,3,0)),0,VLOOKUP(A57,'Données projet'!$A$35:$I$55,3,0))</f>
        <v>8</v>
      </c>
      <c r="V57" s="16">
        <f>IF(ISNA(VLOOKUP(A57,'Données projet'!$A$35:$I$55,4,0)),0,VLOOKUP(A57,'Données projet'!$A$35:$I$55,4,0))</f>
        <v>17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7.2785348671562096</v>
      </c>
      <c r="AA57" s="23">
        <f>EXP(-LN(2)/25)*AA56+(1-EXP(-LN(2)/25))/(LN(2)/25)*Calculateur!V57*Calculateur!X57*VLOOKUP('Données projet'!$B$9,Paramètres!$A$1:$I$89,3,0)*0.475*44/12</f>
        <v>6.7763232299906973</v>
      </c>
      <c r="AB57" s="23">
        <f>EXP(-LN(2)/2)*AB56+(1-EXP(-LN(2)/2))/(LN(2)/2)*V57*Y57*VLOOKUP('Données projet'!$B$9,Paramètres!$A$1:$I$89,3,0)*0.475*44/12</f>
        <v>1.4791900756929684E-3</v>
      </c>
      <c r="AC57" s="24">
        <f t="shared" si="3"/>
        <v>14.0563372872226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0</v>
      </c>
      <c r="AI57" s="14">
        <f>IF('Données projet'!$A$62&gt;35,AI56+AH57-AQ56,IF(A57&lt;'Données projet'!$A$62,$AF$205^A57,IF(A57='Données projet'!$A$62,'Données projet'!$B$62,AI56+AH57-AQ56)))</f>
        <v>0</v>
      </c>
      <c r="AJ57" s="14" t="e">
        <f>AI57*VLOOKUP('Données projet'!$B$10,Paramètres!$A$1:$I$89,3,0)*VLOOKUP('Données projet'!$B$10,Paramètres!$A$1:$I$89,5,0)</f>
        <v>#N/A</v>
      </c>
      <c r="AK57" s="14" t="e">
        <f t="shared" si="35"/>
        <v>#N/A</v>
      </c>
      <c r="AL57" s="22" t="e">
        <f t="shared" si="4"/>
        <v>#N/A</v>
      </c>
      <c r="AM57" s="62" t="e">
        <f t="shared" si="5"/>
        <v>#N/A</v>
      </c>
      <c r="AN57" s="62" t="e">
        <f ca="1">AVERAGE(OFFSET($AM$3,0,0,'Données projet'!$E$10+1,1))-AVERAGE(OFFSET($H$3,0,0,'Données projet'!$E$10+1,1))</f>
        <v>#N/A</v>
      </c>
      <c r="AO57" s="62" t="e">
        <f t="shared" si="36"/>
        <v>#N/A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 t="e">
        <f>EXP(-LN(2)/35)*AU56+(1-EXP(-LN(2)/35))/(LN(2)/35)*AQ57*AR57*VLOOKUP('Données projet'!$B$10,Paramètres!$A$1:$I$89,3,0)*0.475*44/12</f>
        <v>#N/A</v>
      </c>
      <c r="AV57" s="23" t="e">
        <f>EXP(-LN(2)/25)*AV56+(1-EXP(-LN(2)/25))/(LN(2)/25)*Calculateur!AQ57*Calculateur!AS57*VLOOKUP('Données projet'!$B$10,Paramètres!$A$1:$I$89,3,0)*0.475*44/12</f>
        <v>#N/A</v>
      </c>
      <c r="AW57" s="23" t="e">
        <f>EXP(-LN(2)/2)*AW56+(1-EXP(-LN(2)/2))/(LN(2)/2)*AQ57*AT57*VLOOKUP('Données projet'!$B$10,Paramètres!$A$1:$I$89,3,0)*0.475*44/12</f>
        <v>#N/A</v>
      </c>
      <c r="AX57" s="23" t="e">
        <f t="shared" si="6"/>
        <v>#N/A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 t="e">
        <f>BD57*VLOOKUP('Données projet'!$B$11,Paramètres!$A$1:$I$89,3,0)*VLOOKUP('Données projet'!$B$11,Paramètres!$A$1:$I$89,5,0)</f>
        <v>#N/A</v>
      </c>
      <c r="BF57" s="14" t="e">
        <f t="shared" si="37"/>
        <v>#N/A</v>
      </c>
      <c r="BG57" s="22" t="e">
        <f t="shared" si="7"/>
        <v>#N/A</v>
      </c>
      <c r="BH57" s="62" t="e">
        <f t="shared" si="8"/>
        <v>#N/A</v>
      </c>
      <c r="BI57" s="62" t="e">
        <f ca="1">AVERAGE(OFFSET($BH$3,0,0,'Données projet'!$E$11+1,1))-AVERAGE(OFFSET($H$3,0,0,'Données projet'!$E$11+1,1))</f>
        <v>#N/A</v>
      </c>
      <c r="BJ57" s="62" t="e">
        <f t="shared" si="38"/>
        <v>#N/A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 t="e">
        <f>EXP(-LN(2)/35)*BP56+(1-EXP(-LN(2)/35))/(LN(2)/35)*BL57*BM57*VLOOKUP('Données projet'!$B$11,Paramètres!$A$1:$I$89,3,0)*0.475*44/12</f>
        <v>#N/A</v>
      </c>
      <c r="BQ57" s="23" t="e">
        <f>EXP(-LN(2)/25)*BQ56+(1-EXP(-LN(2)/25))/(LN(2)/25)*Calculateur!BL57*Calculateur!BN57*VLOOKUP('Données projet'!$B$11,Paramètres!$A$1:$I$89,3,0)*0.475*44/12</f>
        <v>#N/A</v>
      </c>
      <c r="BR57" s="23" t="e">
        <f>EXP(-LN(2)/2)*BR56+(1-EXP(-LN(2)/2))/(LN(2)/2)*BL57*BO57*VLOOKUP('Données projet'!$B$11,Paramètres!$A$1:$I$89,3,0)*0.475*44/12</f>
        <v>#N/A</v>
      </c>
      <c r="BS57" s="24" t="e">
        <f t="shared" si="9"/>
        <v>#N/A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3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27.169999999999991</v>
      </c>
      <c r="D58" s="12">
        <f t="shared" si="32"/>
        <v>8.5253784994806487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10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275.54327262756988</v>
      </c>
      <c r="H58" s="70">
        <f t="shared" si="1"/>
        <v>355.50278421992874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3</v>
      </c>
      <c r="N58" s="14">
        <f>IF('Données projet'!$A$36&gt;35,N57+M58-V57,IF(A58&lt;'Données projet'!$A$36,$K$205^A58,IF(A58='Données projet'!$A$36,'Données projet'!$B$36,N57+M58-V57)))</f>
        <v>387.99999999999989</v>
      </c>
      <c r="O58" s="14">
        <f>N58*VLOOKUP('Données projet'!$B$9,Paramètres!$A$1:$I$89,3,0)*VLOOKUP('Données projet'!$B$9,Paramètres!$A$1:$I$89,5,0)</f>
        <v>232.02399999999994</v>
      </c>
      <c r="P58" s="14">
        <f t="shared" si="33"/>
        <v>56.720094243161071</v>
      </c>
      <c r="Q58" s="22">
        <f t="shared" si="53"/>
        <v>502.89596414017211</v>
      </c>
      <c r="R58" s="62">
        <f t="shared" si="0"/>
        <v>796.22929747350543</v>
      </c>
      <c r="S58" s="62">
        <f ca="1">AVERAGE(OFFSET($R$3,0,0,'Données projet'!$E$9+1,1))-AVERAGE(OFFSET($H$3,0,0,'Données projet'!$E$9+1,1))</f>
        <v>255.1976414275677</v>
      </c>
      <c r="T58" s="62">
        <f t="shared" si="34"/>
        <v>266.42714758321767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7.1358072378791846</v>
      </c>
      <c r="AA58" s="23">
        <f>EXP(-LN(2)/25)*AA57+(1-EXP(-LN(2)/25))/(LN(2)/25)*Calculateur!V58*Calculateur!X58*VLOOKUP('Données projet'!$B$9,Paramètres!$A$1:$I$89,3,0)*0.475*44/12</f>
        <v>6.5910243149152503</v>
      </c>
      <c r="AB58" s="23">
        <f>EXP(-LN(2)/2)*AB57+(1-EXP(-LN(2)/2))/(LN(2)/2)*V58*Y58*VLOOKUP('Données projet'!$B$9,Paramètres!$A$1:$I$89,3,0)*0.475*44/12</f>
        <v>1.0459453331863404E-3</v>
      </c>
      <c r="AC58" s="24">
        <f t="shared" si="3"/>
        <v>13.72787749812762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0</v>
      </c>
      <c r="AI58" s="14">
        <f>IF('Données projet'!$A$62&gt;35,AI57+AH58-AQ57,IF(A58&lt;'Données projet'!$A$62,$AF$205^A58,IF(A58='Données projet'!$A$62,'Données projet'!$B$62,AI57+AH58-AQ57)))</f>
        <v>0</v>
      </c>
      <c r="AJ58" s="14" t="e">
        <f>AI58*VLOOKUP('Données projet'!$B$10,Paramètres!$A$1:$I$89,3,0)*VLOOKUP('Données projet'!$B$10,Paramètres!$A$1:$I$89,5,0)</f>
        <v>#N/A</v>
      </c>
      <c r="AK58" s="14" t="e">
        <f t="shared" si="35"/>
        <v>#N/A</v>
      </c>
      <c r="AL58" s="22" t="e">
        <f t="shared" si="4"/>
        <v>#N/A</v>
      </c>
      <c r="AM58" s="62" t="e">
        <f t="shared" si="5"/>
        <v>#N/A</v>
      </c>
      <c r="AN58" s="62" t="e">
        <f ca="1">AVERAGE(OFFSET($AM$3,0,0,'Données projet'!$E$10+1,1))-AVERAGE(OFFSET($H$3,0,0,'Données projet'!$E$10+1,1))</f>
        <v>#N/A</v>
      </c>
      <c r="AO58" s="62" t="e">
        <f t="shared" si="36"/>
        <v>#N/A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 t="e">
        <f>EXP(-LN(2)/35)*AU57+(1-EXP(-LN(2)/35))/(LN(2)/35)*AQ58*AR58*VLOOKUP('Données projet'!$B$10,Paramètres!$A$1:$I$89,3,0)*0.475*44/12</f>
        <v>#N/A</v>
      </c>
      <c r="AV58" s="23" t="e">
        <f>EXP(-LN(2)/25)*AV57+(1-EXP(-LN(2)/25))/(LN(2)/25)*Calculateur!AQ58*Calculateur!AS58*VLOOKUP('Données projet'!$B$10,Paramètres!$A$1:$I$89,3,0)*0.475*44/12</f>
        <v>#N/A</v>
      </c>
      <c r="AW58" s="23" t="e">
        <f>EXP(-LN(2)/2)*AW57+(1-EXP(-LN(2)/2))/(LN(2)/2)*AQ58*AT58*VLOOKUP('Données projet'!$B$10,Paramètres!$A$1:$I$89,3,0)*0.475*44/12</f>
        <v>#N/A</v>
      </c>
      <c r="AX58" s="23" t="e">
        <f t="shared" si="6"/>
        <v>#N/A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 t="e">
        <f>BD58*VLOOKUP('Données projet'!$B$11,Paramètres!$A$1:$I$89,3,0)*VLOOKUP('Données projet'!$B$11,Paramètres!$A$1:$I$89,5,0)</f>
        <v>#N/A</v>
      </c>
      <c r="BF58" s="14" t="e">
        <f t="shared" si="37"/>
        <v>#N/A</v>
      </c>
      <c r="BG58" s="22" t="e">
        <f t="shared" si="7"/>
        <v>#N/A</v>
      </c>
      <c r="BH58" s="62" t="e">
        <f t="shared" si="8"/>
        <v>#N/A</v>
      </c>
      <c r="BI58" s="62" t="e">
        <f ca="1">AVERAGE(OFFSET($BH$3,0,0,'Données projet'!$E$11+1,1))-AVERAGE(OFFSET($H$3,0,0,'Données projet'!$E$11+1,1))</f>
        <v>#N/A</v>
      </c>
      <c r="BJ58" s="62" t="e">
        <f t="shared" si="38"/>
        <v>#N/A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 t="e">
        <f>EXP(-LN(2)/35)*BP57+(1-EXP(-LN(2)/35))/(LN(2)/35)*BL58*BM58*VLOOKUP('Données projet'!$B$11,Paramètres!$A$1:$I$89,3,0)*0.475*44/12</f>
        <v>#N/A</v>
      </c>
      <c r="BQ58" s="23" t="e">
        <f>EXP(-LN(2)/25)*BQ57+(1-EXP(-LN(2)/25))/(LN(2)/25)*Calculateur!BL58*Calculateur!BN58*VLOOKUP('Données projet'!$B$11,Paramètres!$A$1:$I$89,3,0)*0.475*44/12</f>
        <v>#N/A</v>
      </c>
      <c r="BR58" s="23" t="e">
        <f>EXP(-LN(2)/2)*BR57+(1-EXP(-LN(2)/2))/(LN(2)/2)*BL58*BO58*VLOOKUP('Données projet'!$B$11,Paramètres!$A$1:$I$89,3,0)*0.475*44/12</f>
        <v>#N/A</v>
      </c>
      <c r="BS58" s="24" t="e">
        <f t="shared" si="9"/>
        <v>#N/A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3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27.663999999999991</v>
      </c>
      <c r="D59" s="12">
        <f t="shared" si="32"/>
        <v>8.6621986186436022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10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280.4127612667225</v>
      </c>
      <c r="H59" s="70">
        <f t="shared" si="1"/>
        <v>356.60146259413756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3</v>
      </c>
      <c r="N59" s="14">
        <f>IF('Données projet'!$A$36&gt;35,N58+M59-V58,IF(A59&lt;'Données projet'!$A$36,$K$205^A59,IF(A59='Données projet'!$A$36,'Données projet'!$B$36,N58+M59-V58)))</f>
        <v>390.99999999999989</v>
      </c>
      <c r="O59" s="14">
        <f>N59*VLOOKUP('Données projet'!$B$9,Paramètres!$A$1:$I$89,3,0)*VLOOKUP('Données projet'!$B$9,Paramètres!$A$1:$I$89,5,0)</f>
        <v>233.81799999999996</v>
      </c>
      <c r="P59" s="14">
        <f t="shared" si="33"/>
        <v>57.107429708554093</v>
      </c>
      <c r="Q59" s="22">
        <f t="shared" si="53"/>
        <v>506.69512340906493</v>
      </c>
      <c r="R59" s="62">
        <f t="shared" si="0"/>
        <v>800.02845674239825</v>
      </c>
      <c r="S59" s="62">
        <f ca="1">AVERAGE(OFFSET($R$3,0,0,'Données projet'!$E$9+1,1))-AVERAGE(OFFSET($H$3,0,0,'Données projet'!$E$9+1,1))</f>
        <v>255.1976414275677</v>
      </c>
      <c r="T59" s="62">
        <f t="shared" si="34"/>
        <v>266.42714758321767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6.9958784103570242</v>
      </c>
      <c r="AA59" s="23">
        <f>EXP(-LN(2)/25)*AA58+(1-EXP(-LN(2)/25))/(LN(2)/25)*Calculateur!V59*Calculateur!X59*VLOOKUP('Données projet'!$B$9,Paramètres!$A$1:$I$89,3,0)*0.475*44/12</f>
        <v>6.4107924084169881</v>
      </c>
      <c r="AB59" s="23">
        <f>EXP(-LN(2)/2)*AB58+(1-EXP(-LN(2)/2))/(LN(2)/2)*V59*Y59*VLOOKUP('Données projet'!$B$9,Paramètres!$A$1:$I$89,3,0)*0.475*44/12</f>
        <v>7.395950378464842E-4</v>
      </c>
      <c r="AC59" s="24">
        <f t="shared" si="3"/>
        <v>13.407410413811858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0</v>
      </c>
      <c r="AI59" s="14">
        <f>IF('Données projet'!$A$62&gt;35,AI58+AH59-AQ58,IF(A59&lt;'Données projet'!$A$62,$AF$205^A59,IF(A59='Données projet'!$A$62,'Données projet'!$B$62,AI58+AH59-AQ58)))</f>
        <v>0</v>
      </c>
      <c r="AJ59" s="14" t="e">
        <f>AI59*VLOOKUP('Données projet'!$B$10,Paramètres!$A$1:$I$89,3,0)*VLOOKUP('Données projet'!$B$10,Paramètres!$A$1:$I$89,5,0)</f>
        <v>#N/A</v>
      </c>
      <c r="AK59" s="14" t="e">
        <f t="shared" si="35"/>
        <v>#N/A</v>
      </c>
      <c r="AL59" s="22" t="e">
        <f t="shared" si="4"/>
        <v>#N/A</v>
      </c>
      <c r="AM59" s="62" t="e">
        <f t="shared" si="5"/>
        <v>#N/A</v>
      </c>
      <c r="AN59" s="62" t="e">
        <f ca="1">AVERAGE(OFFSET($AM$3,0,0,'Données projet'!$E$10+1,1))-AVERAGE(OFFSET($H$3,0,0,'Données projet'!$E$10+1,1))</f>
        <v>#N/A</v>
      </c>
      <c r="AO59" s="62" t="e">
        <f t="shared" si="36"/>
        <v>#N/A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 t="e">
        <f>EXP(-LN(2)/35)*AU58+(1-EXP(-LN(2)/35))/(LN(2)/35)*AQ59*AR59*VLOOKUP('Données projet'!$B$10,Paramètres!$A$1:$I$89,3,0)*0.475*44/12</f>
        <v>#N/A</v>
      </c>
      <c r="AV59" s="23" t="e">
        <f>EXP(-LN(2)/25)*AV58+(1-EXP(-LN(2)/25))/(LN(2)/25)*Calculateur!AQ59*Calculateur!AS59*VLOOKUP('Données projet'!$B$10,Paramètres!$A$1:$I$89,3,0)*0.475*44/12</f>
        <v>#N/A</v>
      </c>
      <c r="AW59" s="23" t="e">
        <f>EXP(-LN(2)/2)*AW58+(1-EXP(-LN(2)/2))/(LN(2)/2)*AQ59*AT59*VLOOKUP('Données projet'!$B$10,Paramètres!$A$1:$I$89,3,0)*0.475*44/12</f>
        <v>#N/A</v>
      </c>
      <c r="AX59" s="23" t="e">
        <f t="shared" si="6"/>
        <v>#N/A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 t="e">
        <f>BD59*VLOOKUP('Données projet'!$B$11,Paramètres!$A$1:$I$89,3,0)*VLOOKUP('Données projet'!$B$11,Paramètres!$A$1:$I$89,5,0)</f>
        <v>#N/A</v>
      </c>
      <c r="BF59" s="14" t="e">
        <f t="shared" si="37"/>
        <v>#N/A</v>
      </c>
      <c r="BG59" s="22" t="e">
        <f t="shared" si="7"/>
        <v>#N/A</v>
      </c>
      <c r="BH59" s="62" t="e">
        <f t="shared" si="8"/>
        <v>#N/A</v>
      </c>
      <c r="BI59" s="62" t="e">
        <f ca="1">AVERAGE(OFFSET($BH$3,0,0,'Données projet'!$E$11+1,1))-AVERAGE(OFFSET($H$3,0,0,'Données projet'!$E$11+1,1))</f>
        <v>#N/A</v>
      </c>
      <c r="BJ59" s="62" t="e">
        <f t="shared" si="38"/>
        <v>#N/A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 t="e">
        <f>EXP(-LN(2)/35)*BP58+(1-EXP(-LN(2)/35))/(LN(2)/35)*BL59*BM59*VLOOKUP('Données projet'!$B$11,Paramètres!$A$1:$I$89,3,0)*0.475*44/12</f>
        <v>#N/A</v>
      </c>
      <c r="BQ59" s="23" t="e">
        <f>EXP(-LN(2)/25)*BQ58+(1-EXP(-LN(2)/25))/(LN(2)/25)*Calculateur!BL59*Calculateur!BN59*VLOOKUP('Données projet'!$B$11,Paramètres!$A$1:$I$89,3,0)*0.475*44/12</f>
        <v>#N/A</v>
      </c>
      <c r="BR59" s="23" t="e">
        <f>EXP(-LN(2)/2)*BR58+(1-EXP(-LN(2)/2))/(LN(2)/2)*BL59*BO59*VLOOKUP('Données projet'!$B$11,Paramètres!$A$1:$I$89,3,0)*0.475*44/12</f>
        <v>#N/A</v>
      </c>
      <c r="BS59" s="24" t="e">
        <f t="shared" si="9"/>
        <v>#N/A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3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28.157999999999991</v>
      </c>
      <c r="D60" s="12">
        <f t="shared" si="32"/>
        <v>8.7987346268113527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10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285.28005676836824</v>
      </c>
      <c r="H60" s="70">
        <f t="shared" si="1"/>
        <v>357.69964614169641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3</v>
      </c>
      <c r="N60" s="14">
        <f>IF('Données projet'!$A$36&gt;35,N59+M60-V59,IF(A60&lt;'Données projet'!$A$36,$K$205^A60,IF(A60='Données projet'!$A$36,'Données projet'!$B$36,N59+M60-V59)))</f>
        <v>393.99999999999989</v>
      </c>
      <c r="O60" s="14">
        <f>N60*VLOOKUP('Données projet'!$B$9,Paramètres!$A$1:$I$89,3,0)*VLOOKUP('Données projet'!$B$9,Paramètres!$A$1:$I$89,5,0)</f>
        <v>235.61199999999994</v>
      </c>
      <c r="P60" s="14">
        <f t="shared" si="33"/>
        <v>57.494419397561693</v>
      </c>
      <c r="Q60" s="22">
        <f t="shared" si="53"/>
        <v>510.49368045075312</v>
      </c>
      <c r="R60" s="62">
        <f t="shared" si="0"/>
        <v>803.82701378408638</v>
      </c>
      <c r="S60" s="62">
        <f ca="1">AVERAGE(OFFSET($R$3,0,0,'Données projet'!$E$9+1,1))-AVERAGE(OFFSET($H$3,0,0,'Données projet'!$E$9+1,1))</f>
        <v>255.1976414275677</v>
      </c>
      <c r="T60" s="62">
        <f t="shared" si="34"/>
        <v>266.42714758321767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6.8586935017944155</v>
      </c>
      <c r="AA60" s="23">
        <f>EXP(-LN(2)/25)*AA59+(1-EXP(-LN(2)/25))/(LN(2)/25)*Calculateur!V60*Calculateur!X60*VLOOKUP('Données projet'!$B$9,Paramètres!$A$1:$I$89,3,0)*0.475*44/12</f>
        <v>6.2354889528799049</v>
      </c>
      <c r="AB60" s="23">
        <f>EXP(-LN(2)/2)*AB59+(1-EXP(-LN(2)/2))/(LN(2)/2)*V60*Y60*VLOOKUP('Données projet'!$B$9,Paramètres!$A$1:$I$89,3,0)*0.475*44/12</f>
        <v>5.2297266659317022E-4</v>
      </c>
      <c r="AC60" s="24">
        <f t="shared" si="3"/>
        <v>13.094705427340914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0</v>
      </c>
      <c r="AI60" s="14">
        <f>IF('Données projet'!$A$62&gt;35,AI59+AH60-AQ59,IF(A60&lt;'Données projet'!$A$62,$AF$205^A60,IF(A60='Données projet'!$A$62,'Données projet'!$B$62,AI59+AH60-AQ59)))</f>
        <v>0</v>
      </c>
      <c r="AJ60" s="14" t="e">
        <f>AI60*VLOOKUP('Données projet'!$B$10,Paramètres!$A$1:$I$89,3,0)*VLOOKUP('Données projet'!$B$10,Paramètres!$A$1:$I$89,5,0)</f>
        <v>#N/A</v>
      </c>
      <c r="AK60" s="14" t="e">
        <f t="shared" si="35"/>
        <v>#N/A</v>
      </c>
      <c r="AL60" s="22" t="e">
        <f t="shared" si="4"/>
        <v>#N/A</v>
      </c>
      <c r="AM60" s="62" t="e">
        <f t="shared" si="5"/>
        <v>#N/A</v>
      </c>
      <c r="AN60" s="62" t="e">
        <f ca="1">AVERAGE(OFFSET($AM$3,0,0,'Données projet'!$E$10+1,1))-AVERAGE(OFFSET($H$3,0,0,'Données projet'!$E$10+1,1))</f>
        <v>#N/A</v>
      </c>
      <c r="AO60" s="62" t="e">
        <f t="shared" si="36"/>
        <v>#N/A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 t="e">
        <f>EXP(-LN(2)/35)*AU59+(1-EXP(-LN(2)/35))/(LN(2)/35)*AQ60*AR60*VLOOKUP('Données projet'!$B$10,Paramètres!$A$1:$I$89,3,0)*0.475*44/12</f>
        <v>#N/A</v>
      </c>
      <c r="AV60" s="23" t="e">
        <f>EXP(-LN(2)/25)*AV59+(1-EXP(-LN(2)/25))/(LN(2)/25)*Calculateur!AQ60*Calculateur!AS60*VLOOKUP('Données projet'!$B$10,Paramètres!$A$1:$I$89,3,0)*0.475*44/12</f>
        <v>#N/A</v>
      </c>
      <c r="AW60" s="23" t="e">
        <f>EXP(-LN(2)/2)*AW59+(1-EXP(-LN(2)/2))/(LN(2)/2)*AQ60*AT60*VLOOKUP('Données projet'!$B$10,Paramètres!$A$1:$I$89,3,0)*0.475*44/12</f>
        <v>#N/A</v>
      </c>
      <c r="AX60" s="23" t="e">
        <f t="shared" si="6"/>
        <v>#N/A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 t="e">
        <f>BD60*VLOOKUP('Données projet'!$B$11,Paramètres!$A$1:$I$89,3,0)*VLOOKUP('Données projet'!$B$11,Paramètres!$A$1:$I$89,5,0)</f>
        <v>#N/A</v>
      </c>
      <c r="BF60" s="14" t="e">
        <f t="shared" si="37"/>
        <v>#N/A</v>
      </c>
      <c r="BG60" s="22" t="e">
        <f t="shared" si="7"/>
        <v>#N/A</v>
      </c>
      <c r="BH60" s="62" t="e">
        <f t="shared" si="8"/>
        <v>#N/A</v>
      </c>
      <c r="BI60" s="62" t="e">
        <f ca="1">AVERAGE(OFFSET($BH$3,0,0,'Données projet'!$E$11+1,1))-AVERAGE(OFFSET($H$3,0,0,'Données projet'!$E$11+1,1))</f>
        <v>#N/A</v>
      </c>
      <c r="BJ60" s="62" t="e">
        <f t="shared" si="38"/>
        <v>#N/A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 t="e">
        <f>EXP(-LN(2)/35)*BP59+(1-EXP(-LN(2)/35))/(LN(2)/35)*BL60*BM60*VLOOKUP('Données projet'!$B$11,Paramètres!$A$1:$I$89,3,0)*0.475*44/12</f>
        <v>#N/A</v>
      </c>
      <c r="BQ60" s="23" t="e">
        <f>EXP(-LN(2)/25)*BQ59+(1-EXP(-LN(2)/25))/(LN(2)/25)*Calculateur!BL60*Calculateur!BN60*VLOOKUP('Données projet'!$B$11,Paramètres!$A$1:$I$89,3,0)*0.475*44/12</f>
        <v>#N/A</v>
      </c>
      <c r="BR60" s="23" t="e">
        <f>EXP(-LN(2)/2)*BR59+(1-EXP(-LN(2)/2))/(LN(2)/2)*BL60*BO60*VLOOKUP('Données projet'!$B$11,Paramètres!$A$1:$I$89,3,0)*0.475*44/12</f>
        <v>#N/A</v>
      </c>
      <c r="BS60" s="24" t="e">
        <f t="shared" si="9"/>
        <v>#N/A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3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28.65199999999999</v>
      </c>
      <c r="D61" s="12">
        <f t="shared" si="32"/>
        <v>8.9349920834689218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10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290.1452020478302</v>
      </c>
      <c r="H61" s="70">
        <f t="shared" si="1"/>
        <v>358.79734454537498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3</v>
      </c>
      <c r="N61" s="14">
        <f>IF('Données projet'!$A$36&gt;35,N60+M61-V60,IF(A61&lt;'Données projet'!$A$36,$K$205^A61,IF(A61='Données projet'!$A$36,'Données projet'!$B$36,N60+M61-V60)))</f>
        <v>396.99999999999989</v>
      </c>
      <c r="O61" s="14">
        <f>N61*VLOOKUP('Données projet'!$B$9,Paramètres!$A$1:$I$89,3,0)*VLOOKUP('Données projet'!$B$9,Paramètres!$A$1:$I$89,5,0)</f>
        <v>237.40599999999995</v>
      </c>
      <c r="P61" s="14">
        <f t="shared" si="33"/>
        <v>57.881066248213493</v>
      </c>
      <c r="Q61" s="22">
        <f t="shared" si="53"/>
        <v>514.29164038230499</v>
      </c>
      <c r="R61" s="62">
        <f t="shared" si="0"/>
        <v>807.62497371563836</v>
      </c>
      <c r="S61" s="62">
        <f ca="1">AVERAGE(OFFSET($R$3,0,0,'Données projet'!$E$9+1,1))-AVERAGE(OFFSET($H$3,0,0,'Données projet'!$E$9+1,1))</f>
        <v>255.1976414275677</v>
      </c>
      <c r="T61" s="62">
        <f t="shared" si="34"/>
        <v>266.42714758321767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6.7241987056141879</v>
      </c>
      <c r="AA61" s="23">
        <f>EXP(-LN(2)/25)*AA60+(1-EXP(-LN(2)/25))/(LN(2)/25)*Calculateur!V61*Calculateur!X61*VLOOKUP('Données projet'!$B$9,Paramètres!$A$1:$I$89,3,0)*0.475*44/12</f>
        <v>6.0649791795532915</v>
      </c>
      <c r="AB61" s="23">
        <f>EXP(-LN(2)/2)*AB60+(1-EXP(-LN(2)/2))/(LN(2)/2)*V61*Y61*VLOOKUP('Données projet'!$B$9,Paramètres!$A$1:$I$89,3,0)*0.475*44/12</f>
        <v>3.697975189232421E-4</v>
      </c>
      <c r="AC61" s="24">
        <f t="shared" si="3"/>
        <v>12.789547682686402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0</v>
      </c>
      <c r="AI61" s="14">
        <f>IF('Données projet'!$A$62&gt;35,AI60+AH61-AQ60,IF(A61&lt;'Données projet'!$A$62,$AF$205^A61,IF(A61='Données projet'!$A$62,'Données projet'!$B$62,AI60+AH61-AQ60)))</f>
        <v>0</v>
      </c>
      <c r="AJ61" s="14" t="e">
        <f>AI61*VLOOKUP('Données projet'!$B$10,Paramètres!$A$1:$I$89,3,0)*VLOOKUP('Données projet'!$B$10,Paramètres!$A$1:$I$89,5,0)</f>
        <v>#N/A</v>
      </c>
      <c r="AK61" s="14" t="e">
        <f t="shared" si="35"/>
        <v>#N/A</v>
      </c>
      <c r="AL61" s="22" t="e">
        <f t="shared" si="4"/>
        <v>#N/A</v>
      </c>
      <c r="AM61" s="62" t="e">
        <f t="shared" si="5"/>
        <v>#N/A</v>
      </c>
      <c r="AN61" s="62" t="e">
        <f ca="1">AVERAGE(OFFSET($AM$3,0,0,'Données projet'!$E$10+1,1))-AVERAGE(OFFSET($H$3,0,0,'Données projet'!$E$10+1,1))</f>
        <v>#N/A</v>
      </c>
      <c r="AO61" s="62" t="e">
        <f t="shared" si="36"/>
        <v>#N/A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 t="e">
        <f>EXP(-LN(2)/35)*AU60+(1-EXP(-LN(2)/35))/(LN(2)/35)*AQ61*AR61*VLOOKUP('Données projet'!$B$10,Paramètres!$A$1:$I$89,3,0)*0.475*44/12</f>
        <v>#N/A</v>
      </c>
      <c r="AV61" s="23" t="e">
        <f>EXP(-LN(2)/25)*AV60+(1-EXP(-LN(2)/25))/(LN(2)/25)*Calculateur!AQ61*Calculateur!AS61*VLOOKUP('Données projet'!$B$10,Paramètres!$A$1:$I$89,3,0)*0.475*44/12</f>
        <v>#N/A</v>
      </c>
      <c r="AW61" s="23" t="e">
        <f>EXP(-LN(2)/2)*AW60+(1-EXP(-LN(2)/2))/(LN(2)/2)*AQ61*AT61*VLOOKUP('Données projet'!$B$10,Paramètres!$A$1:$I$89,3,0)*0.475*44/12</f>
        <v>#N/A</v>
      </c>
      <c r="AX61" s="23" t="e">
        <f t="shared" si="6"/>
        <v>#N/A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 t="e">
        <f>BD61*VLOOKUP('Données projet'!$B$11,Paramètres!$A$1:$I$89,3,0)*VLOOKUP('Données projet'!$B$11,Paramètres!$A$1:$I$89,5,0)</f>
        <v>#N/A</v>
      </c>
      <c r="BF61" s="14" t="e">
        <f t="shared" si="37"/>
        <v>#N/A</v>
      </c>
      <c r="BG61" s="22" t="e">
        <f t="shared" si="7"/>
        <v>#N/A</v>
      </c>
      <c r="BH61" s="62" t="e">
        <f t="shared" si="8"/>
        <v>#N/A</v>
      </c>
      <c r="BI61" s="62" t="e">
        <f ca="1">AVERAGE(OFFSET($BH$3,0,0,'Données projet'!$E$11+1,1))-AVERAGE(OFFSET($H$3,0,0,'Données projet'!$E$11+1,1))</f>
        <v>#N/A</v>
      </c>
      <c r="BJ61" s="62" t="e">
        <f t="shared" si="38"/>
        <v>#N/A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 t="e">
        <f>EXP(-LN(2)/35)*BP60+(1-EXP(-LN(2)/35))/(LN(2)/35)*BL61*BM61*VLOOKUP('Données projet'!$B$11,Paramètres!$A$1:$I$89,3,0)*0.475*44/12</f>
        <v>#N/A</v>
      </c>
      <c r="BQ61" s="23" t="e">
        <f>EXP(-LN(2)/25)*BQ60+(1-EXP(-LN(2)/25))/(LN(2)/25)*Calculateur!BL61*Calculateur!BN61*VLOOKUP('Données projet'!$B$11,Paramètres!$A$1:$I$89,3,0)*0.475*44/12</f>
        <v>#N/A</v>
      </c>
      <c r="BR61" s="23" t="e">
        <f>EXP(-LN(2)/2)*BR60+(1-EXP(-LN(2)/2))/(LN(2)/2)*BL61*BO61*VLOOKUP('Données projet'!$B$11,Paramètres!$A$1:$I$89,3,0)*0.475*44/12</f>
        <v>#N/A</v>
      </c>
      <c r="BS61" s="24" t="e">
        <f t="shared" si="9"/>
        <v>#N/A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3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29.14599999999999</v>
      </c>
      <c r="D62" s="12">
        <f t="shared" si="32"/>
        <v>9.0709763454110508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10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295.00823845580453</v>
      </c>
      <c r="H62" s="70">
        <f t="shared" si="1"/>
        <v>359.89456713492422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3</v>
      </c>
      <c r="N62" s="14">
        <f>IF('Données projet'!$A$36&gt;35,N61+M62-V61,IF(A62&lt;'Données projet'!$A$36,$K$205^A62,IF(A62='Données projet'!$A$36,'Données projet'!$B$36,N61+M62-V61)))</f>
        <v>399.99999999999989</v>
      </c>
      <c r="O62" s="14">
        <f>N62*VLOOKUP('Données projet'!$B$9,Paramètres!$A$1:$I$89,3,0)*VLOOKUP('Données projet'!$B$9,Paramètres!$A$1:$I$89,5,0)</f>
        <v>239.19999999999993</v>
      </c>
      <c r="P62" s="14">
        <f t="shared" si="33"/>
        <v>58.267373151570702</v>
      </c>
      <c r="Q62" s="22">
        <f t="shared" si="53"/>
        <v>518.08900823898546</v>
      </c>
      <c r="R62" s="62">
        <f t="shared" si="0"/>
        <v>811.42234157231883</v>
      </c>
      <c r="S62" s="62">
        <f ca="1">AVERAGE(OFFSET($R$3,0,0,'Données projet'!$E$9+1,1))-AVERAGE(OFFSET($H$3,0,0,'Données projet'!$E$9+1,1))</f>
        <v>255.1976414275677</v>
      </c>
      <c r="T62" s="62">
        <f t="shared" si="34"/>
        <v>266.42714758321767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6.5923412703533284</v>
      </c>
      <c r="AA62" s="23">
        <f>EXP(-LN(2)/25)*AA61+(1-EXP(-LN(2)/25))/(LN(2)/25)*Calculateur!V62*Calculateur!X62*VLOOKUP('Données projet'!$B$9,Paramètres!$A$1:$I$89,3,0)*0.475*44/12</f>
        <v>5.8991320049450131</v>
      </c>
      <c r="AB62" s="23">
        <f>EXP(-LN(2)/2)*AB61+(1-EXP(-LN(2)/2))/(LN(2)/2)*V62*Y62*VLOOKUP('Données projet'!$B$9,Paramètres!$A$1:$I$89,3,0)*0.475*44/12</f>
        <v>2.6148633329658511E-4</v>
      </c>
      <c r="AC62" s="24">
        <f t="shared" si="3"/>
        <v>12.491734761631639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0</v>
      </c>
      <c r="AI62" s="14">
        <f>IF('Données projet'!$A$62&gt;35,AI61+AH62-AQ61,IF(A62&lt;'Données projet'!$A$62,$AF$205^A62,IF(A62='Données projet'!$A$62,'Données projet'!$B$62,AI61+AH62-AQ61)))</f>
        <v>0</v>
      </c>
      <c r="AJ62" s="14" t="e">
        <f>AI62*VLOOKUP('Données projet'!$B$10,Paramètres!$A$1:$I$89,3,0)*VLOOKUP('Données projet'!$B$10,Paramètres!$A$1:$I$89,5,0)</f>
        <v>#N/A</v>
      </c>
      <c r="AK62" s="14" t="e">
        <f t="shared" si="35"/>
        <v>#N/A</v>
      </c>
      <c r="AL62" s="22" t="e">
        <f t="shared" si="4"/>
        <v>#N/A</v>
      </c>
      <c r="AM62" s="62" t="e">
        <f t="shared" si="5"/>
        <v>#N/A</v>
      </c>
      <c r="AN62" s="62" t="e">
        <f ca="1">AVERAGE(OFFSET($AM$3,0,0,'Données projet'!$E$10+1,1))-AVERAGE(OFFSET($H$3,0,0,'Données projet'!$E$10+1,1))</f>
        <v>#N/A</v>
      </c>
      <c r="AO62" s="62" t="e">
        <f t="shared" si="36"/>
        <v>#N/A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 t="e">
        <f>EXP(-LN(2)/35)*AU61+(1-EXP(-LN(2)/35))/(LN(2)/35)*AQ62*AR62*VLOOKUP('Données projet'!$B$10,Paramètres!$A$1:$I$89,3,0)*0.475*44/12</f>
        <v>#N/A</v>
      </c>
      <c r="AV62" s="23" t="e">
        <f>EXP(-LN(2)/25)*AV61+(1-EXP(-LN(2)/25))/(LN(2)/25)*Calculateur!AQ62*Calculateur!AS62*VLOOKUP('Données projet'!$B$10,Paramètres!$A$1:$I$89,3,0)*0.475*44/12</f>
        <v>#N/A</v>
      </c>
      <c r="AW62" s="23" t="e">
        <f>EXP(-LN(2)/2)*AW61+(1-EXP(-LN(2)/2))/(LN(2)/2)*AQ62*AT62*VLOOKUP('Données projet'!$B$10,Paramètres!$A$1:$I$89,3,0)*0.475*44/12</f>
        <v>#N/A</v>
      </c>
      <c r="AX62" s="23" t="e">
        <f t="shared" si="6"/>
        <v>#N/A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 t="e">
        <f>BD62*VLOOKUP('Données projet'!$B$11,Paramètres!$A$1:$I$89,3,0)*VLOOKUP('Données projet'!$B$11,Paramètres!$A$1:$I$89,5,0)</f>
        <v>#N/A</v>
      </c>
      <c r="BF62" s="14" t="e">
        <f t="shared" si="37"/>
        <v>#N/A</v>
      </c>
      <c r="BG62" s="22" t="e">
        <f t="shared" si="7"/>
        <v>#N/A</v>
      </c>
      <c r="BH62" s="62" t="e">
        <f t="shared" si="8"/>
        <v>#N/A</v>
      </c>
      <c r="BI62" s="62" t="e">
        <f ca="1">AVERAGE(OFFSET($BH$3,0,0,'Données projet'!$E$11+1,1))-AVERAGE(OFFSET($H$3,0,0,'Données projet'!$E$11+1,1))</f>
        <v>#N/A</v>
      </c>
      <c r="BJ62" s="62" t="e">
        <f t="shared" si="38"/>
        <v>#N/A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 t="e">
        <f>EXP(-LN(2)/35)*BP61+(1-EXP(-LN(2)/35))/(LN(2)/35)*BL62*BM62*VLOOKUP('Données projet'!$B$11,Paramètres!$A$1:$I$89,3,0)*0.475*44/12</f>
        <v>#N/A</v>
      </c>
      <c r="BQ62" s="23" t="e">
        <f>EXP(-LN(2)/25)*BQ61+(1-EXP(-LN(2)/25))/(LN(2)/25)*Calculateur!BL62*Calculateur!BN62*VLOOKUP('Données projet'!$B$11,Paramètres!$A$1:$I$89,3,0)*0.475*44/12</f>
        <v>#N/A</v>
      </c>
      <c r="BR62" s="23" t="e">
        <f>EXP(-LN(2)/2)*BR61+(1-EXP(-LN(2)/2))/(LN(2)/2)*BL62*BO62*VLOOKUP('Données projet'!$B$11,Paramètres!$A$1:$I$89,3,0)*0.475*44/12</f>
        <v>#N/A</v>
      </c>
      <c r="BS62" s="24" t="e">
        <f t="shared" si="9"/>
        <v>#N/A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3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29.63999999999999</v>
      </c>
      <c r="D63" s="12">
        <f t="shared" si="32"/>
        <v>9.2066925774398314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10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299.86920586093902</v>
      </c>
      <c r="H63" s="70">
        <f t="shared" si="1"/>
        <v>360.99132290570765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3</v>
      </c>
      <c r="N63" s="14">
        <f>IF('Données projet'!$A$36&gt;35,N62+M63-V62,IF(A63&lt;'Données projet'!$A$36,$K$205^A63,IF(A63='Données projet'!$A$36,'Données projet'!$B$36,N62+M63-V62)))</f>
        <v>402.99999999999989</v>
      </c>
      <c r="O63" s="14">
        <f>N63*VLOOKUP('Données projet'!$B$9,Paramètres!$A$1:$I$89,3,0)*VLOOKUP('Données projet'!$B$9,Paramètres!$A$1:$I$89,5,0)</f>
        <v>240.99399999999997</v>
      </c>
      <c r="P63" s="14">
        <f t="shared" si="33"/>
        <v>58.653342952823401</v>
      </c>
      <c r="Q63" s="22">
        <f t="shared" si="53"/>
        <v>521.88578897616731</v>
      </c>
      <c r="R63" s="62">
        <f t="shared" si="0"/>
        <v>815.21912230950056</v>
      </c>
      <c r="S63" s="62">
        <f ca="1">AVERAGE(OFFSET($R$3,0,0,'Données projet'!$E$9+1,1))-AVERAGE(OFFSET($H$3,0,0,'Données projet'!$E$9+1,1))</f>
        <v>255.1976414275677</v>
      </c>
      <c r="T63" s="62">
        <f t="shared" si="34"/>
        <v>266.42714758321767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6.4630694789728409</v>
      </c>
      <c r="AA63" s="23">
        <f>EXP(-LN(2)/25)*AA62+(1-EXP(-LN(2)/25))/(LN(2)/25)*Calculateur!V63*Calculateur!X63*VLOOKUP('Données projet'!$B$9,Paramètres!$A$1:$I$89,3,0)*0.475*44/12</f>
        <v>5.7378199300479222</v>
      </c>
      <c r="AB63" s="23">
        <f>EXP(-LN(2)/2)*AB62+(1-EXP(-LN(2)/2))/(LN(2)/2)*V63*Y63*VLOOKUP('Données projet'!$B$9,Paramètres!$A$1:$I$89,3,0)*0.475*44/12</f>
        <v>1.8489875946162105E-4</v>
      </c>
      <c r="AC63" s="24">
        <f t="shared" si="3"/>
        <v>12.201074307780226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0</v>
      </c>
      <c r="AI63" s="14">
        <f>IF('Données projet'!$A$62&gt;35,AI62+AH63-AQ62,IF(A63&lt;'Données projet'!$A$62,$AF$205^A63,IF(A63='Données projet'!$A$62,'Données projet'!$B$62,AI62+AH63-AQ62)))</f>
        <v>0</v>
      </c>
      <c r="AJ63" s="14" t="e">
        <f>AI63*VLOOKUP('Données projet'!$B$10,Paramètres!$A$1:$I$89,3,0)*VLOOKUP('Données projet'!$B$10,Paramètres!$A$1:$I$89,5,0)</f>
        <v>#N/A</v>
      </c>
      <c r="AK63" s="14" t="e">
        <f t="shared" si="35"/>
        <v>#N/A</v>
      </c>
      <c r="AL63" s="22" t="e">
        <f t="shared" si="4"/>
        <v>#N/A</v>
      </c>
      <c r="AM63" s="62" t="e">
        <f t="shared" si="5"/>
        <v>#N/A</v>
      </c>
      <c r="AN63" s="62" t="e">
        <f ca="1">AVERAGE(OFFSET($AM$3,0,0,'Données projet'!$E$10+1,1))-AVERAGE(OFFSET($H$3,0,0,'Données projet'!$E$10+1,1))</f>
        <v>#N/A</v>
      </c>
      <c r="AO63" s="62" t="e">
        <f t="shared" si="36"/>
        <v>#N/A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 t="e">
        <f>EXP(-LN(2)/35)*AU62+(1-EXP(-LN(2)/35))/(LN(2)/35)*AQ63*AR63*VLOOKUP('Données projet'!$B$10,Paramètres!$A$1:$I$89,3,0)*0.475*44/12</f>
        <v>#N/A</v>
      </c>
      <c r="AV63" s="23" t="e">
        <f>EXP(-LN(2)/25)*AV62+(1-EXP(-LN(2)/25))/(LN(2)/25)*Calculateur!AQ63*Calculateur!AS63*VLOOKUP('Données projet'!$B$10,Paramètres!$A$1:$I$89,3,0)*0.475*44/12</f>
        <v>#N/A</v>
      </c>
      <c r="AW63" s="23" t="e">
        <f>EXP(-LN(2)/2)*AW62+(1-EXP(-LN(2)/2))/(LN(2)/2)*AQ63*AT63*VLOOKUP('Données projet'!$B$10,Paramètres!$A$1:$I$89,3,0)*0.475*44/12</f>
        <v>#N/A</v>
      </c>
      <c r="AX63" s="23" t="e">
        <f t="shared" si="6"/>
        <v>#N/A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 t="e">
        <f>BD63*VLOOKUP('Données projet'!$B$11,Paramètres!$A$1:$I$89,3,0)*VLOOKUP('Données projet'!$B$11,Paramètres!$A$1:$I$89,5,0)</f>
        <v>#N/A</v>
      </c>
      <c r="BF63" s="14" t="e">
        <f t="shared" si="37"/>
        <v>#N/A</v>
      </c>
      <c r="BG63" s="22" t="e">
        <f t="shared" si="7"/>
        <v>#N/A</v>
      </c>
      <c r="BH63" s="62" t="e">
        <f t="shared" si="8"/>
        <v>#N/A</v>
      </c>
      <c r="BI63" s="62" t="e">
        <f ca="1">AVERAGE(OFFSET($BH$3,0,0,'Données projet'!$E$11+1,1))-AVERAGE(OFFSET($H$3,0,0,'Données projet'!$E$11+1,1))</f>
        <v>#N/A</v>
      </c>
      <c r="BJ63" s="62" t="e">
        <f t="shared" si="38"/>
        <v>#N/A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 t="e">
        <f>EXP(-LN(2)/35)*BP62+(1-EXP(-LN(2)/35))/(LN(2)/35)*BL63*BM63*VLOOKUP('Données projet'!$B$11,Paramètres!$A$1:$I$89,3,0)*0.475*44/12</f>
        <v>#N/A</v>
      </c>
      <c r="BQ63" s="23" t="e">
        <f>EXP(-LN(2)/25)*BQ62+(1-EXP(-LN(2)/25))/(LN(2)/25)*Calculateur!BL63*Calculateur!BN63*VLOOKUP('Données projet'!$B$11,Paramètres!$A$1:$I$89,3,0)*0.475*44/12</f>
        <v>#N/A</v>
      </c>
      <c r="BR63" s="23" t="e">
        <f>EXP(-LN(2)/2)*BR62+(1-EXP(-LN(2)/2))/(LN(2)/2)*BL63*BO63*VLOOKUP('Données projet'!$B$11,Paramètres!$A$1:$I$89,3,0)*0.475*44/12</f>
        <v>#N/A</v>
      </c>
      <c r="BS63" s="24" t="e">
        <f t="shared" si="9"/>
        <v>#N/A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3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30.13399999999999</v>
      </c>
      <c r="D64" s="12">
        <f t="shared" si="32"/>
        <v>9.3421457623289594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10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304.72814272674975</v>
      </c>
      <c r="H64" s="70">
        <f t="shared" si="1"/>
        <v>362.08762053605625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3</v>
      </c>
      <c r="N64" s="14">
        <f>IF('Données projet'!$A$36&gt;35,N63+M64-V63,IF(A64&lt;'Données projet'!$A$36,$K$205^A64,IF(A64='Données projet'!$A$36,'Données projet'!$B$36,N63+M64-V63)))</f>
        <v>405.99999999999989</v>
      </c>
      <c r="O64" s="14">
        <f>N64*VLOOKUP('Données projet'!$B$9,Paramètres!$A$1:$I$89,3,0)*VLOOKUP('Données projet'!$B$9,Paramètres!$A$1:$I$89,5,0)</f>
        <v>242.78799999999995</v>
      </c>
      <c r="P64" s="14">
        <f t="shared" si="33"/>
        <v>59.038978452354506</v>
      </c>
      <c r="Q64" s="22">
        <f t="shared" si="53"/>
        <v>525.68198747118402</v>
      </c>
      <c r="R64" s="62">
        <f t="shared" si="0"/>
        <v>819.01532080451739</v>
      </c>
      <c r="S64" s="62">
        <f ca="1">AVERAGE(OFFSET($R$3,0,0,'Données projet'!$E$9+1,1))-AVERAGE(OFFSET($H$3,0,0,'Données projet'!$E$9+1,1))</f>
        <v>255.1976414275677</v>
      </c>
      <c r="T64" s="62">
        <f t="shared" si="34"/>
        <v>266.42714758321767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6.3363326285733175</v>
      </c>
      <c r="AA64" s="23">
        <f>EXP(-LN(2)/25)*AA63+(1-EXP(-LN(2)/25))/(LN(2)/25)*Calculateur!V64*Calculateur!X64*VLOOKUP('Données projet'!$B$9,Paramètres!$A$1:$I$89,3,0)*0.475*44/12</f>
        <v>5.5809189423219259</v>
      </c>
      <c r="AB64" s="23">
        <f>EXP(-LN(2)/2)*AB63+(1-EXP(-LN(2)/2))/(LN(2)/2)*V64*Y64*VLOOKUP('Données projet'!$B$9,Paramètres!$A$1:$I$89,3,0)*0.475*44/12</f>
        <v>1.3074316664829256E-4</v>
      </c>
      <c r="AC64" s="24">
        <f t="shared" si="3"/>
        <v>11.917382314061891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0</v>
      </c>
      <c r="AJ64" s="14" t="e">
        <f>AI64*VLOOKUP('Données projet'!$B$10,Paramètres!$A$1:$I$89,3,0)*VLOOKUP('Données projet'!$B$10,Paramètres!$A$1:$I$89,5,0)</f>
        <v>#N/A</v>
      </c>
      <c r="AK64" s="14" t="e">
        <f t="shared" si="35"/>
        <v>#N/A</v>
      </c>
      <c r="AL64" s="22" t="e">
        <f t="shared" si="4"/>
        <v>#N/A</v>
      </c>
      <c r="AM64" s="62" t="e">
        <f t="shared" si="5"/>
        <v>#N/A</v>
      </c>
      <c r="AN64" s="62" t="e">
        <f ca="1">AVERAGE(OFFSET($AM$3,0,0,'Données projet'!$E$10+1,1))-AVERAGE(OFFSET($H$3,0,0,'Données projet'!$E$10+1,1))</f>
        <v>#N/A</v>
      </c>
      <c r="AO64" s="62" t="e">
        <f t="shared" si="36"/>
        <v>#N/A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 t="e">
        <f>EXP(-LN(2)/35)*AU63+(1-EXP(-LN(2)/35))/(LN(2)/35)*AQ64*AR64*VLOOKUP('Données projet'!$B$10,Paramètres!$A$1:$I$89,3,0)*0.475*44/12</f>
        <v>#N/A</v>
      </c>
      <c r="AV64" s="23" t="e">
        <f>EXP(-LN(2)/25)*AV63+(1-EXP(-LN(2)/25))/(LN(2)/25)*Calculateur!AQ64*Calculateur!AS64*VLOOKUP('Données projet'!$B$10,Paramètres!$A$1:$I$89,3,0)*0.475*44/12</f>
        <v>#N/A</v>
      </c>
      <c r="AW64" s="23" t="e">
        <f>EXP(-LN(2)/2)*AW63+(1-EXP(-LN(2)/2))/(LN(2)/2)*AQ64*AT64*VLOOKUP('Données projet'!$B$10,Paramètres!$A$1:$I$89,3,0)*0.475*44/12</f>
        <v>#N/A</v>
      </c>
      <c r="AX64" s="23" t="e">
        <f t="shared" si="6"/>
        <v>#N/A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 t="e">
        <f>BD64*VLOOKUP('Données projet'!$B$11,Paramètres!$A$1:$I$89,3,0)*VLOOKUP('Données projet'!$B$11,Paramètres!$A$1:$I$89,5,0)</f>
        <v>#N/A</v>
      </c>
      <c r="BF64" s="14" t="e">
        <f t="shared" si="37"/>
        <v>#N/A</v>
      </c>
      <c r="BG64" s="22" t="e">
        <f t="shared" si="7"/>
        <v>#N/A</v>
      </c>
      <c r="BH64" s="62" t="e">
        <f t="shared" si="8"/>
        <v>#N/A</v>
      </c>
      <c r="BI64" s="62" t="e">
        <f ca="1">AVERAGE(OFFSET($BH$3,0,0,'Données projet'!$E$11+1,1))-AVERAGE(OFFSET($H$3,0,0,'Données projet'!$E$11+1,1))</f>
        <v>#N/A</v>
      </c>
      <c r="BJ64" s="62" t="e">
        <f t="shared" si="38"/>
        <v>#N/A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 t="e">
        <f>EXP(-LN(2)/35)*BP63+(1-EXP(-LN(2)/35))/(LN(2)/35)*BL64*BM64*VLOOKUP('Données projet'!$B$11,Paramètres!$A$1:$I$89,3,0)*0.475*44/12</f>
        <v>#N/A</v>
      </c>
      <c r="BQ64" s="23" t="e">
        <f>EXP(-LN(2)/25)*BQ63+(1-EXP(-LN(2)/25))/(LN(2)/25)*Calculateur!BL64*Calculateur!BN64*VLOOKUP('Données projet'!$B$11,Paramètres!$A$1:$I$89,3,0)*0.475*44/12</f>
        <v>#N/A</v>
      </c>
      <c r="BR64" s="23" t="e">
        <f>EXP(-LN(2)/2)*BR63+(1-EXP(-LN(2)/2))/(LN(2)/2)*BL64*BO64*VLOOKUP('Données projet'!$B$11,Paramètres!$A$1:$I$89,3,0)*0.475*44/12</f>
        <v>#N/A</v>
      </c>
      <c r="BS64" s="24" t="e">
        <f t="shared" si="9"/>
        <v>#N/A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3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30.627999999999989</v>
      </c>
      <c r="D65" s="12">
        <f t="shared" si="32"/>
        <v>9.4773407101161169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10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309.58508618335242</v>
      </c>
      <c r="H65" s="70">
        <f t="shared" si="1"/>
        <v>363.1834684034522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>
        <f>VLOOKUP(A65,'Données projet'!$A$35:$I$55,2,0)</f>
        <v>409</v>
      </c>
      <c r="L65" s="13">
        <f>VLOOKUP(A65,'Données projet'!$A$35:$I$55,9,0)</f>
        <v>3</v>
      </c>
      <c r="M65" s="13">
        <f t="array" ref="M65">INDEX(L:L,MIN(IF(ISNUMBER(L65:L261),ROW(L65:L261),"")))</f>
        <v>3</v>
      </c>
      <c r="N65" s="14">
        <f>IF('Données projet'!$A$36&gt;35,N64+M65-V64,IF(A65&lt;'Données projet'!$A$36,$K$205^A65,IF(A65='Données projet'!$A$36,'Données projet'!$B$36,N64+M65-V64)))</f>
        <v>408.99999999999989</v>
      </c>
      <c r="O65" s="14">
        <f>N65*VLOOKUP('Données projet'!$B$9,Paramètres!$A$1:$I$89,3,0)*VLOOKUP('Données projet'!$B$9,Paramètres!$A$1:$I$89,5,0)</f>
        <v>244.58199999999997</v>
      </c>
      <c r="P65" s="14">
        <f t="shared" si="33"/>
        <v>59.424282406770885</v>
      </c>
      <c r="Q65" s="22">
        <f t="shared" si="53"/>
        <v>529.4776085251259</v>
      </c>
      <c r="R65" s="62">
        <f t="shared" si="0"/>
        <v>822.81094185845927</v>
      </c>
      <c r="S65" s="62">
        <f ca="1">AVERAGE(OFFSET($R$3,0,0,'Données projet'!$E$9+1,1))-AVERAGE(OFFSET($H$3,0,0,'Données projet'!$E$9+1,1))</f>
        <v>255.1976414275677</v>
      </c>
      <c r="T65" s="62">
        <f t="shared" si="34"/>
        <v>266.42714758321767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409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6.2120810105082827</v>
      </c>
      <c r="AA65" s="23">
        <f>EXP(-LN(2)/25)*AA64+(1-EXP(-LN(2)/25))/(LN(2)/25)*Calculateur!V65*Calculateur!X65*VLOOKUP('Données projet'!$B$9,Paramètres!$A$1:$I$89,3,0)*0.475*44/12</f>
        <v>5.4283084203563607</v>
      </c>
      <c r="AB65" s="23">
        <f>EXP(-LN(2)/2)*AB64+(1-EXP(-LN(2)/2))/(LN(2)/2)*V65*Y65*VLOOKUP('Données projet'!$B$9,Paramètres!$A$1:$I$89,3,0)*0.475*44/12</f>
        <v>9.2449379730810525E-5</v>
      </c>
      <c r="AC65" s="24">
        <f t="shared" si="3"/>
        <v>11.640481880244375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0</v>
      </c>
      <c r="AJ65" s="14" t="e">
        <f>AI65*VLOOKUP('Données projet'!$B$10,Paramètres!$A$1:$I$89,3,0)*VLOOKUP('Données projet'!$B$10,Paramètres!$A$1:$I$89,5,0)</f>
        <v>#N/A</v>
      </c>
      <c r="AK65" s="14" t="e">
        <f t="shared" si="35"/>
        <v>#N/A</v>
      </c>
      <c r="AL65" s="22" t="e">
        <f t="shared" si="4"/>
        <v>#N/A</v>
      </c>
      <c r="AM65" s="62" t="e">
        <f t="shared" si="5"/>
        <v>#N/A</v>
      </c>
      <c r="AN65" s="62" t="e">
        <f ca="1">AVERAGE(OFFSET($AM$3,0,0,'Données projet'!$E$10+1,1))-AVERAGE(OFFSET($H$3,0,0,'Données projet'!$E$10+1,1))</f>
        <v>#N/A</v>
      </c>
      <c r="AO65" s="62" t="e">
        <f t="shared" si="36"/>
        <v>#N/A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 t="e">
        <f>EXP(-LN(2)/35)*AU64+(1-EXP(-LN(2)/35))/(LN(2)/35)*AQ65*AR65*VLOOKUP('Données projet'!$B$10,Paramètres!$A$1:$I$89,3,0)*0.475*44/12</f>
        <v>#N/A</v>
      </c>
      <c r="AV65" s="23" t="e">
        <f>EXP(-LN(2)/25)*AV64+(1-EXP(-LN(2)/25))/(LN(2)/25)*Calculateur!AQ65*Calculateur!AS65*VLOOKUP('Données projet'!$B$10,Paramètres!$A$1:$I$89,3,0)*0.475*44/12</f>
        <v>#N/A</v>
      </c>
      <c r="AW65" s="23" t="e">
        <f>EXP(-LN(2)/2)*AW64+(1-EXP(-LN(2)/2))/(LN(2)/2)*AQ65*AT65*VLOOKUP('Données projet'!$B$10,Paramètres!$A$1:$I$89,3,0)*0.475*44/12</f>
        <v>#N/A</v>
      </c>
      <c r="AX65" s="23" t="e">
        <f t="shared" si="6"/>
        <v>#N/A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 t="e">
        <f>BD65*VLOOKUP('Données projet'!$B$11,Paramètres!$A$1:$I$89,3,0)*VLOOKUP('Données projet'!$B$11,Paramètres!$A$1:$I$89,5,0)</f>
        <v>#N/A</v>
      </c>
      <c r="BF65" s="14" t="e">
        <f t="shared" si="37"/>
        <v>#N/A</v>
      </c>
      <c r="BG65" s="22" t="e">
        <f t="shared" si="7"/>
        <v>#N/A</v>
      </c>
      <c r="BH65" s="62" t="e">
        <f t="shared" si="8"/>
        <v>#N/A</v>
      </c>
      <c r="BI65" s="62" t="e">
        <f ca="1">AVERAGE(OFFSET($BH$3,0,0,'Données projet'!$E$11+1,1))-AVERAGE(OFFSET($H$3,0,0,'Données projet'!$E$11+1,1))</f>
        <v>#N/A</v>
      </c>
      <c r="BJ65" s="62" t="e">
        <f t="shared" si="38"/>
        <v>#N/A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 t="e">
        <f>EXP(-LN(2)/35)*BP64+(1-EXP(-LN(2)/35))/(LN(2)/35)*BL65*BM65*VLOOKUP('Données projet'!$B$11,Paramètres!$A$1:$I$89,3,0)*0.475*44/12</f>
        <v>#N/A</v>
      </c>
      <c r="BQ65" s="23" t="e">
        <f>EXP(-LN(2)/25)*BQ64+(1-EXP(-LN(2)/25))/(LN(2)/25)*Calculateur!BL65*Calculateur!BN65*VLOOKUP('Données projet'!$B$11,Paramètres!$A$1:$I$89,3,0)*0.475*44/12</f>
        <v>#N/A</v>
      </c>
      <c r="BR65" s="23" t="e">
        <f>EXP(-LN(2)/2)*BR64+(1-EXP(-LN(2)/2))/(LN(2)/2)*BL65*BO65*VLOOKUP('Données projet'!$B$11,Paramètres!$A$1:$I$89,3,0)*0.475*44/12</f>
        <v>#N/A</v>
      </c>
      <c r="BS65" s="24" t="e">
        <f t="shared" si="9"/>
        <v>#N/A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3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31.121999999999989</v>
      </c>
      <c r="D66" s="12">
        <f t="shared" si="32"/>
        <v>9.612282066778798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10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314.44007209443276</v>
      </c>
      <c r="H66" s="70">
        <f t="shared" si="1"/>
        <v>364.27887459963972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-1.1368683772161603E-13</v>
      </c>
      <c r="O66" s="14">
        <f>N66*VLOOKUP('Données projet'!$B$9,Paramètres!$A$1:$I$89,3,0)*VLOOKUP('Données projet'!$B$9,Paramètres!$A$1:$I$89,5,0)</f>
        <v>-6.7984728957526396E-14</v>
      </c>
      <c r="P66" s="14" t="e">
        <f t="shared" si="33"/>
        <v>#NUM!</v>
      </c>
      <c r="Q66" s="22" t="e">
        <f t="shared" si="53"/>
        <v>#NUM!</v>
      </c>
      <c r="R66" s="62" t="e">
        <f t="shared" si="0"/>
        <v>#NUM!</v>
      </c>
      <c r="S66" s="62">
        <f ca="1">AVERAGE(OFFSET($R$3,0,0,'Données projet'!$E$9+1,1))-AVERAGE(OFFSET($H$3,0,0,'Données projet'!$E$9+1,1))</f>
        <v>255.1976414275677</v>
      </c>
      <c r="T66" s="62">
        <f t="shared" si="34"/>
        <v>266.42714758321767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6.0902658908874994</v>
      </c>
      <c r="AA66" s="23">
        <f>EXP(-LN(2)/25)*AA65+(1-EXP(-LN(2)/25))/(LN(2)/25)*Calculateur!V66*Calculateur!X66*VLOOKUP('Données projet'!$B$9,Paramètres!$A$1:$I$89,3,0)*0.475*44/12</f>
        <v>5.2798710411393825</v>
      </c>
      <c r="AB66" s="23">
        <f>EXP(-LN(2)/2)*AB65+(1-EXP(-LN(2)/2))/(LN(2)/2)*V66*Y66*VLOOKUP('Données projet'!$B$9,Paramètres!$A$1:$I$89,3,0)*0.475*44/12</f>
        <v>6.5371583324146278E-5</v>
      </c>
      <c r="AC66" s="24">
        <f t="shared" si="3"/>
        <v>11.370202303610204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0</v>
      </c>
      <c r="AJ66" s="14" t="e">
        <f>AI66*VLOOKUP('Données projet'!$B$10,Paramètres!$A$1:$I$89,3,0)*VLOOKUP('Données projet'!$B$10,Paramètres!$A$1:$I$89,5,0)</f>
        <v>#N/A</v>
      </c>
      <c r="AK66" s="14" t="e">
        <f t="shared" si="35"/>
        <v>#N/A</v>
      </c>
      <c r="AL66" s="22" t="e">
        <f t="shared" si="4"/>
        <v>#N/A</v>
      </c>
      <c r="AM66" s="62" t="e">
        <f t="shared" si="5"/>
        <v>#N/A</v>
      </c>
      <c r="AN66" s="62" t="e">
        <f ca="1">AVERAGE(OFFSET($AM$3,0,0,'Données projet'!$E$10+1,1))-AVERAGE(OFFSET($H$3,0,0,'Données projet'!$E$10+1,1))</f>
        <v>#N/A</v>
      </c>
      <c r="AO66" s="62" t="e">
        <f t="shared" si="36"/>
        <v>#N/A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 t="e">
        <f>EXP(-LN(2)/35)*AU65+(1-EXP(-LN(2)/35))/(LN(2)/35)*AQ66*AR66*VLOOKUP('Données projet'!$B$10,Paramètres!$A$1:$I$89,3,0)*0.475*44/12</f>
        <v>#N/A</v>
      </c>
      <c r="AV66" s="23" t="e">
        <f>EXP(-LN(2)/25)*AV65+(1-EXP(-LN(2)/25))/(LN(2)/25)*Calculateur!AQ66*Calculateur!AS66*VLOOKUP('Données projet'!$B$10,Paramètres!$A$1:$I$89,3,0)*0.475*44/12</f>
        <v>#N/A</v>
      </c>
      <c r="AW66" s="23" t="e">
        <f>EXP(-LN(2)/2)*AW65+(1-EXP(-LN(2)/2))/(LN(2)/2)*AQ66*AT66*VLOOKUP('Données projet'!$B$10,Paramètres!$A$1:$I$89,3,0)*0.475*44/12</f>
        <v>#N/A</v>
      </c>
      <c r="AX66" s="23" t="e">
        <f t="shared" si="6"/>
        <v>#N/A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 t="e">
        <f>BD66*VLOOKUP('Données projet'!$B$11,Paramètres!$A$1:$I$89,3,0)*VLOOKUP('Données projet'!$B$11,Paramètres!$A$1:$I$89,5,0)</f>
        <v>#N/A</v>
      </c>
      <c r="BF66" s="14" t="e">
        <f t="shared" si="37"/>
        <v>#N/A</v>
      </c>
      <c r="BG66" s="22" t="e">
        <f t="shared" si="7"/>
        <v>#N/A</v>
      </c>
      <c r="BH66" s="62" t="e">
        <f t="shared" si="8"/>
        <v>#N/A</v>
      </c>
      <c r="BI66" s="62" t="e">
        <f ca="1">AVERAGE(OFFSET($BH$3,0,0,'Données projet'!$E$11+1,1))-AVERAGE(OFFSET($H$3,0,0,'Données projet'!$E$11+1,1))</f>
        <v>#N/A</v>
      </c>
      <c r="BJ66" s="62" t="e">
        <f t="shared" si="38"/>
        <v>#N/A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 t="e">
        <f>EXP(-LN(2)/35)*BP65+(1-EXP(-LN(2)/35))/(LN(2)/35)*BL66*BM66*VLOOKUP('Données projet'!$B$11,Paramètres!$A$1:$I$89,3,0)*0.475*44/12</f>
        <v>#N/A</v>
      </c>
      <c r="BQ66" s="23" t="e">
        <f>EXP(-LN(2)/25)*BQ65+(1-EXP(-LN(2)/25))/(LN(2)/25)*Calculateur!BL66*Calculateur!BN66*VLOOKUP('Données projet'!$B$11,Paramètres!$A$1:$I$89,3,0)*0.475*44/12</f>
        <v>#N/A</v>
      </c>
      <c r="BR66" s="23" t="e">
        <f>EXP(-LN(2)/2)*BR65+(1-EXP(-LN(2)/2))/(LN(2)/2)*BL66*BO66*VLOOKUP('Données projet'!$B$11,Paramètres!$A$1:$I$89,3,0)*0.475*44/12</f>
        <v>#N/A</v>
      </c>
      <c r="BS66" s="24" t="e">
        <f t="shared" si="9"/>
        <v>#N/A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3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31.615999999999989</v>
      </c>
      <c r="D67" s="12">
        <f t="shared" si="32"/>
        <v>9.7469743223436929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10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319.293135119846</v>
      </c>
      <c r="H67" s="70">
        <f t="shared" si="1"/>
        <v>365.37384694474855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-1.1368683772161603E-13</v>
      </c>
      <c r="O67" s="14">
        <f>N67*VLOOKUP('Données projet'!$B$9,Paramètres!$A$1:$I$89,3,0)*VLOOKUP('Données projet'!$B$9,Paramètres!$A$1:$I$89,5,0)</f>
        <v>-6.7984728957526396E-14</v>
      </c>
      <c r="P67" s="14" t="e">
        <f t="shared" si="33"/>
        <v>#NUM!</v>
      </c>
      <c r="Q67" s="22" t="e">
        <f t="shared" ref="Q67:Q98" si="54">(O67+P67)*0.475*44/12</f>
        <v>#NUM!</v>
      </c>
      <c r="R67" s="62" t="e">
        <f t="shared" ref="R67:R130" si="55">Q67+(I67+J67)*44/12</f>
        <v>#NUM!</v>
      </c>
      <c r="S67" s="62">
        <f ca="1">AVERAGE(OFFSET($R$3,0,0,'Données projet'!$E$9+1,1))-AVERAGE(OFFSET($H$3,0,0,'Données projet'!$E$9+1,1))</f>
        <v>255.1976414275677</v>
      </c>
      <c r="T67" s="62">
        <f t="shared" si="34"/>
        <v>266.42714758321767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5.9708394914625931</v>
      </c>
      <c r="AA67" s="23">
        <f>EXP(-LN(2)/25)*AA66+(1-EXP(-LN(2)/25))/(LN(2)/25)*Calculateur!V67*Calculateur!X67*VLOOKUP('Données projet'!$B$9,Paramètres!$A$1:$I$89,3,0)*0.475*44/12</f>
        <v>5.1354926898630753</v>
      </c>
      <c r="AB67" s="23">
        <f>EXP(-LN(2)/2)*AB66+(1-EXP(-LN(2)/2))/(LN(2)/2)*V67*Y67*VLOOKUP('Données projet'!$B$9,Paramètres!$A$1:$I$89,3,0)*0.475*44/12</f>
        <v>4.6224689865405263E-5</v>
      </c>
      <c r="AC67" s="24">
        <f t="shared" si="3"/>
        <v>11.106378406015535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0</v>
      </c>
      <c r="AJ67" s="14" t="e">
        <f>AI67*VLOOKUP('Données projet'!$B$10,Paramètres!$A$1:$I$89,3,0)*VLOOKUP('Données projet'!$B$10,Paramètres!$A$1:$I$89,5,0)</f>
        <v>#N/A</v>
      </c>
      <c r="AK67" s="14" t="e">
        <f t="shared" si="35"/>
        <v>#N/A</v>
      </c>
      <c r="AL67" s="22" t="e">
        <f t="shared" si="4"/>
        <v>#N/A</v>
      </c>
      <c r="AM67" s="62" t="e">
        <f t="shared" si="5"/>
        <v>#N/A</v>
      </c>
      <c r="AN67" s="62" t="e">
        <f ca="1">AVERAGE(OFFSET($AM$3,0,0,'Données projet'!$E$10+1,1))-AVERAGE(OFFSET($H$3,0,0,'Données projet'!$E$10+1,1))</f>
        <v>#N/A</v>
      </c>
      <c r="AO67" s="62" t="e">
        <f t="shared" si="36"/>
        <v>#N/A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 t="e">
        <f>EXP(-LN(2)/35)*AU66+(1-EXP(-LN(2)/35))/(LN(2)/35)*AQ67*AR67*VLOOKUP('Données projet'!$B$10,Paramètres!$A$1:$I$89,3,0)*0.475*44/12</f>
        <v>#N/A</v>
      </c>
      <c r="AV67" s="23" t="e">
        <f>EXP(-LN(2)/25)*AV66+(1-EXP(-LN(2)/25))/(LN(2)/25)*Calculateur!AQ67*Calculateur!AS67*VLOOKUP('Données projet'!$B$10,Paramètres!$A$1:$I$89,3,0)*0.475*44/12</f>
        <v>#N/A</v>
      </c>
      <c r="AW67" s="23" t="e">
        <f>EXP(-LN(2)/2)*AW66+(1-EXP(-LN(2)/2))/(LN(2)/2)*AQ67*AT67*VLOOKUP('Données projet'!$B$10,Paramètres!$A$1:$I$89,3,0)*0.475*44/12</f>
        <v>#N/A</v>
      </c>
      <c r="AX67" s="23" t="e">
        <f t="shared" si="6"/>
        <v>#N/A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 t="e">
        <f>BD67*VLOOKUP('Données projet'!$B$11,Paramètres!$A$1:$I$89,3,0)*VLOOKUP('Données projet'!$B$11,Paramètres!$A$1:$I$89,5,0)</f>
        <v>#N/A</v>
      </c>
      <c r="BF67" s="14" t="e">
        <f t="shared" si="37"/>
        <v>#N/A</v>
      </c>
      <c r="BG67" s="22" t="e">
        <f t="shared" si="7"/>
        <v>#N/A</v>
      </c>
      <c r="BH67" s="62" t="e">
        <f t="shared" si="8"/>
        <v>#N/A</v>
      </c>
      <c r="BI67" s="62" t="e">
        <f ca="1">AVERAGE(OFFSET($BH$3,0,0,'Données projet'!$E$11+1,1))-AVERAGE(OFFSET($H$3,0,0,'Données projet'!$E$11+1,1))</f>
        <v>#N/A</v>
      </c>
      <c r="BJ67" s="62" t="e">
        <f t="shared" si="38"/>
        <v>#N/A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 t="e">
        <f>EXP(-LN(2)/35)*BP66+(1-EXP(-LN(2)/35))/(LN(2)/35)*BL67*BM67*VLOOKUP('Données projet'!$B$11,Paramètres!$A$1:$I$89,3,0)*0.475*44/12</f>
        <v>#N/A</v>
      </c>
      <c r="BQ67" s="23" t="e">
        <f>EXP(-LN(2)/25)*BQ66+(1-EXP(-LN(2)/25))/(LN(2)/25)*Calculateur!BL67*Calculateur!BN67*VLOOKUP('Données projet'!$B$11,Paramètres!$A$1:$I$89,3,0)*0.475*44/12</f>
        <v>#N/A</v>
      </c>
      <c r="BR67" s="23" t="e">
        <f>EXP(-LN(2)/2)*BR66+(1-EXP(-LN(2)/2))/(LN(2)/2)*BL67*BO67*VLOOKUP('Données projet'!$B$11,Paramètres!$A$1:$I$89,3,0)*0.475*44/12</f>
        <v>#N/A</v>
      </c>
      <c r="BS67" s="24" t="e">
        <f t="shared" si="9"/>
        <v>#N/A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3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32.109999999999992</v>
      </c>
      <c r="D68" s="12">
        <f t="shared" si="32"/>
        <v>9.8814218184748146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10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324.14430877419147</v>
      </c>
      <c r="H68" s="70">
        <f t="shared" ref="H68:H131" si="56">(B68+E68+F68)*44/12+(C68+D68)*0.475*44/12</f>
        <v>366.46839300051028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-1.1368683772161603E-13</v>
      </c>
      <c r="O68" s="14">
        <f>N68*VLOOKUP('Données projet'!$B$9,Paramètres!$A$1:$I$89,3,0)*VLOOKUP('Données projet'!$B$9,Paramètres!$A$1:$I$89,5,0)</f>
        <v>-6.7984728957526396E-14</v>
      </c>
      <c r="P68" s="14" t="e">
        <f t="shared" si="33"/>
        <v>#NUM!</v>
      </c>
      <c r="Q68" s="22" t="e">
        <f t="shared" si="54"/>
        <v>#NUM!</v>
      </c>
      <c r="R68" s="62" t="e">
        <f t="shared" si="55"/>
        <v>#NUM!</v>
      </c>
      <c r="S68" s="62">
        <f ca="1">AVERAGE(OFFSET($R$3,0,0,'Données projet'!$E$9+1,1))-AVERAGE(OFFSET($H$3,0,0,'Données projet'!$E$9+1,1))</f>
        <v>255.1976414275677</v>
      </c>
      <c r="T68" s="62">
        <f t="shared" si="34"/>
        <v>266.42714758321767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5.8537549708874987</v>
      </c>
      <c r="AA68" s="23">
        <f>EXP(-LN(2)/25)*AA67+(1-EXP(-LN(2)/25))/(LN(2)/25)*Calculateur!V68*Calculateur!X68*VLOOKUP('Données projet'!$B$9,Paramètres!$A$1:$I$89,3,0)*0.475*44/12</f>
        <v>4.9950623721949459</v>
      </c>
      <c r="AB68" s="23">
        <f>EXP(-LN(2)/2)*AB67+(1-EXP(-LN(2)/2))/(LN(2)/2)*V68*Y68*VLOOKUP('Données projet'!$B$9,Paramètres!$A$1:$I$89,3,0)*0.475*44/12</f>
        <v>3.2685791662073139E-5</v>
      </c>
      <c r="AC68" s="24">
        <f t="shared" ref="AC68:AC131" si="57">SUM(Z68:AB68)</f>
        <v>10.848850028874107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0</v>
      </c>
      <c r="AJ68" s="14" t="e">
        <f>AI68*VLOOKUP('Données projet'!$B$10,Paramètres!$A$1:$I$89,3,0)*VLOOKUP('Données projet'!$B$10,Paramètres!$A$1:$I$89,5,0)</f>
        <v>#N/A</v>
      </c>
      <c r="AK68" s="14" t="e">
        <f t="shared" si="35"/>
        <v>#N/A</v>
      </c>
      <c r="AL68" s="22" t="e">
        <f t="shared" ref="AL68:AL131" si="58">(AJ68+AK68)*0.475*44/12</f>
        <v>#N/A</v>
      </c>
      <c r="AM68" s="62" t="e">
        <f t="shared" ref="AM68:AM131" si="59">AL68+(AD68+AE68)*44/12</f>
        <v>#N/A</v>
      </c>
      <c r="AN68" s="62" t="e">
        <f ca="1">AVERAGE(OFFSET($AM$3,0,0,'Données projet'!$E$10+1,1))-AVERAGE(OFFSET($H$3,0,0,'Données projet'!$E$10+1,1))</f>
        <v>#N/A</v>
      </c>
      <c r="AO68" s="62" t="e">
        <f t="shared" si="36"/>
        <v>#N/A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 t="e">
        <f>EXP(-LN(2)/35)*AU67+(1-EXP(-LN(2)/35))/(LN(2)/35)*AQ68*AR68*VLOOKUP('Données projet'!$B$10,Paramètres!$A$1:$I$89,3,0)*0.475*44/12</f>
        <v>#N/A</v>
      </c>
      <c r="AV68" s="23" t="e">
        <f>EXP(-LN(2)/25)*AV67+(1-EXP(-LN(2)/25))/(LN(2)/25)*Calculateur!AQ68*Calculateur!AS68*VLOOKUP('Données projet'!$B$10,Paramètres!$A$1:$I$89,3,0)*0.475*44/12</f>
        <v>#N/A</v>
      </c>
      <c r="AW68" s="23" t="e">
        <f>EXP(-LN(2)/2)*AW67+(1-EXP(-LN(2)/2))/(LN(2)/2)*AQ68*AT68*VLOOKUP('Données projet'!$B$10,Paramètres!$A$1:$I$89,3,0)*0.475*44/12</f>
        <v>#N/A</v>
      </c>
      <c r="AX68" s="23" t="e">
        <f t="shared" ref="AX68:AX131" si="60">SUM(AU68:AW68)</f>
        <v>#N/A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 t="e">
        <f>BD68*VLOOKUP('Données projet'!$B$11,Paramètres!$A$1:$I$89,3,0)*VLOOKUP('Données projet'!$B$11,Paramètres!$A$1:$I$89,5,0)</f>
        <v>#N/A</v>
      </c>
      <c r="BF68" s="14" t="e">
        <f t="shared" si="37"/>
        <v>#N/A</v>
      </c>
      <c r="BG68" s="22" t="e">
        <f t="shared" ref="BG68:BG131" si="61">(BE68+BF68)*0.475*44/12</f>
        <v>#N/A</v>
      </c>
      <c r="BH68" s="62" t="e">
        <f t="shared" ref="BH68:BH131" si="62">BG68+(AY68+AZ68)*44/12</f>
        <v>#N/A</v>
      </c>
      <c r="BI68" s="62" t="e">
        <f ca="1">AVERAGE(OFFSET($BH$3,0,0,'Données projet'!$E$11+1,1))-AVERAGE(OFFSET($H$3,0,0,'Données projet'!$E$11+1,1))</f>
        <v>#N/A</v>
      </c>
      <c r="BJ68" s="62" t="e">
        <f t="shared" si="38"/>
        <v>#N/A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 t="e">
        <f>EXP(-LN(2)/35)*BP67+(1-EXP(-LN(2)/35))/(LN(2)/35)*BL68*BM68*VLOOKUP('Données projet'!$B$11,Paramètres!$A$1:$I$89,3,0)*0.475*44/12</f>
        <v>#N/A</v>
      </c>
      <c r="BQ68" s="23" t="e">
        <f>EXP(-LN(2)/25)*BQ67+(1-EXP(-LN(2)/25))/(LN(2)/25)*Calculateur!BL68*Calculateur!BN68*VLOOKUP('Données projet'!$B$11,Paramètres!$A$1:$I$89,3,0)*0.475*44/12</f>
        <v>#N/A</v>
      </c>
      <c r="BR68" s="23" t="e">
        <f>EXP(-LN(2)/2)*BR67+(1-EXP(-LN(2)/2))/(LN(2)/2)*BL68*BO68*VLOOKUP('Données projet'!$B$11,Paramètres!$A$1:$I$89,3,0)*0.475*44/12</f>
        <v>#N/A</v>
      </c>
      <c r="BS68" s="24" t="e">
        <f t="shared" ref="BS68:BS131" si="63">SUM(BP68:BR68)</f>
        <v>#N/A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3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32.603999999999992</v>
      </c>
      <c r="D69" s="12">
        <f t="shared" ref="D69:D132" si="86">IFERROR(EXP(-1.0587+0.8836*LN(C69)+0.284),0)</f>
        <v>10.015628755581478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10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328.99362548168159</v>
      </c>
      <c r="H69" s="70">
        <f t="shared" si="56"/>
        <v>367.56252008263772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-1.1368683772161603E-13</v>
      </c>
      <c r="O69" s="14">
        <f>N69*VLOOKUP('Données projet'!$B$9,Paramètres!$A$1:$I$89,3,0)*VLOOKUP('Données projet'!$B$9,Paramètres!$A$1:$I$89,5,0)</f>
        <v>-6.7984728957526396E-14</v>
      </c>
      <c r="P69" s="14" t="e">
        <f t="shared" ref="P69:P132" si="87">EXP(-1.0587+0.8836*LN(O69)+0.284)</f>
        <v>#NUM!</v>
      </c>
      <c r="Q69" s="22" t="e">
        <f t="shared" si="54"/>
        <v>#NUM!</v>
      </c>
      <c r="R69" s="62" t="e">
        <f t="shared" si="55"/>
        <v>#NUM!</v>
      </c>
      <c r="S69" s="62">
        <f ca="1">AVERAGE(OFFSET($R$3,0,0,'Données projet'!$E$9+1,1))-AVERAGE(OFFSET($H$3,0,0,'Données projet'!$E$9+1,1))</f>
        <v>255.1976414275677</v>
      </c>
      <c r="T69" s="62">
        <f t="shared" ref="T69:T132" si="88">$T$3</f>
        <v>266.42714758321767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5.7389664063463757</v>
      </c>
      <c r="AA69" s="23">
        <f>EXP(-LN(2)/25)*AA68+(1-EXP(-LN(2)/25))/(LN(2)/25)*Calculateur!V69*Calculateur!X69*VLOOKUP('Données projet'!$B$9,Paramètres!$A$1:$I$89,3,0)*0.475*44/12</f>
        <v>4.8584721289483612</v>
      </c>
      <c r="AB69" s="23">
        <f>EXP(-LN(2)/2)*AB68+(1-EXP(-LN(2)/2))/(LN(2)/2)*V69*Y69*VLOOKUP('Données projet'!$B$9,Paramètres!$A$1:$I$89,3,0)*0.475*44/12</f>
        <v>2.3112344932702631E-5</v>
      </c>
      <c r="AC69" s="24">
        <f t="shared" si="57"/>
        <v>10.597461647639669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0</v>
      </c>
      <c r="AJ69" s="14" t="e">
        <f>AI69*VLOOKUP('Données projet'!$B$10,Paramètres!$A$1:$I$89,3,0)*VLOOKUP('Données projet'!$B$10,Paramètres!$A$1:$I$89,5,0)</f>
        <v>#N/A</v>
      </c>
      <c r="AK69" s="14" t="e">
        <f t="shared" ref="AK69:AK132" si="89">EXP(-1.0587+0.8836*LN(AJ69)+0.284)</f>
        <v>#N/A</v>
      </c>
      <c r="AL69" s="22" t="e">
        <f t="shared" si="58"/>
        <v>#N/A</v>
      </c>
      <c r="AM69" s="62" t="e">
        <f t="shared" si="59"/>
        <v>#N/A</v>
      </c>
      <c r="AN69" s="62" t="e">
        <f ca="1">AVERAGE(OFFSET($AM$3,0,0,'Données projet'!$E$10+1,1))-AVERAGE(OFFSET($H$3,0,0,'Données projet'!$E$10+1,1))</f>
        <v>#N/A</v>
      </c>
      <c r="AO69" s="62" t="e">
        <f t="shared" ref="AO69:AO132" si="90">$AO$3</f>
        <v>#N/A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 t="e">
        <f>EXP(-LN(2)/35)*AU68+(1-EXP(-LN(2)/35))/(LN(2)/35)*AQ69*AR69*VLOOKUP('Données projet'!$B$10,Paramètres!$A$1:$I$89,3,0)*0.475*44/12</f>
        <v>#N/A</v>
      </c>
      <c r="AV69" s="23" t="e">
        <f>EXP(-LN(2)/25)*AV68+(1-EXP(-LN(2)/25))/(LN(2)/25)*Calculateur!AQ69*Calculateur!AS69*VLOOKUP('Données projet'!$B$10,Paramètres!$A$1:$I$89,3,0)*0.475*44/12</f>
        <v>#N/A</v>
      </c>
      <c r="AW69" s="23" t="e">
        <f>EXP(-LN(2)/2)*AW68+(1-EXP(-LN(2)/2))/(LN(2)/2)*AQ69*AT69*VLOOKUP('Données projet'!$B$10,Paramètres!$A$1:$I$89,3,0)*0.475*44/12</f>
        <v>#N/A</v>
      </c>
      <c r="AX69" s="23" t="e">
        <f t="shared" si="60"/>
        <v>#N/A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 t="e">
        <f>BD69*VLOOKUP('Données projet'!$B$11,Paramètres!$A$1:$I$89,3,0)*VLOOKUP('Données projet'!$B$11,Paramètres!$A$1:$I$89,5,0)</f>
        <v>#N/A</v>
      </c>
      <c r="BF69" s="14" t="e">
        <f t="shared" ref="BF69:BF132" si="91">EXP(-1.0587+0.8836*LN(BE69)+0.284)</f>
        <v>#N/A</v>
      </c>
      <c r="BG69" s="22" t="e">
        <f t="shared" si="61"/>
        <v>#N/A</v>
      </c>
      <c r="BH69" s="62" t="e">
        <f t="shared" si="62"/>
        <v>#N/A</v>
      </c>
      <c r="BI69" s="62" t="e">
        <f ca="1">AVERAGE(OFFSET($BH$3,0,0,'Données projet'!$E$11+1,1))-AVERAGE(OFFSET($H$3,0,0,'Données projet'!$E$11+1,1))</f>
        <v>#N/A</v>
      </c>
      <c r="BJ69" s="62" t="e">
        <f t="shared" ref="BJ69:BJ132" si="92">$BJ$3</f>
        <v>#N/A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 t="e">
        <f>EXP(-LN(2)/35)*BP68+(1-EXP(-LN(2)/35))/(LN(2)/35)*BL69*BM69*VLOOKUP('Données projet'!$B$11,Paramètres!$A$1:$I$89,3,0)*0.475*44/12</f>
        <v>#N/A</v>
      </c>
      <c r="BQ69" s="23" t="e">
        <f>EXP(-LN(2)/25)*BQ68+(1-EXP(-LN(2)/25))/(LN(2)/25)*Calculateur!BL69*Calculateur!BN69*VLOOKUP('Données projet'!$B$11,Paramètres!$A$1:$I$89,3,0)*0.475*44/12</f>
        <v>#N/A</v>
      </c>
      <c r="BR69" s="23" t="e">
        <f>EXP(-LN(2)/2)*BR68+(1-EXP(-LN(2)/2))/(LN(2)/2)*BL69*BO69*VLOOKUP('Données projet'!$B$11,Paramètres!$A$1:$I$89,3,0)*0.475*44/12</f>
        <v>#N/A</v>
      </c>
      <c r="BS69" s="24" t="e">
        <f t="shared" si="63"/>
        <v>#N/A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3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33.097999999999992</v>
      </c>
      <c r="D70" s="12">
        <f t="shared" si="86"/>
        <v>10.149599199483195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10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333.84111662758954</v>
      </c>
      <c r="H70" s="70">
        <f t="shared" si="56"/>
        <v>368.65623527243321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-1.1368683772161603E-13</v>
      </c>
      <c r="O70" s="14">
        <f>N70*VLOOKUP('Données projet'!$B$9,Paramètres!$A$1:$I$89,3,0)*VLOOKUP('Données projet'!$B$9,Paramètres!$A$1:$I$89,5,0)</f>
        <v>-6.7984728957526396E-14</v>
      </c>
      <c r="P70" s="14" t="e">
        <f t="shared" si="87"/>
        <v>#NUM!</v>
      </c>
      <c r="Q70" s="22" t="e">
        <f t="shared" si="54"/>
        <v>#NUM!</v>
      </c>
      <c r="R70" s="62" t="e">
        <f t="shared" si="55"/>
        <v>#NUM!</v>
      </c>
      <c r="S70" s="62">
        <f ca="1">AVERAGE(OFFSET($R$3,0,0,'Données projet'!$E$9+1,1))-AVERAGE(OFFSET($H$3,0,0,'Données projet'!$E$9+1,1))</f>
        <v>255.1976414275677</v>
      </c>
      <c r="T70" s="62">
        <f t="shared" si="88"/>
        <v>266.42714758321767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5.6264287755417932</v>
      </c>
      <c r="AA70" s="23">
        <f>EXP(-LN(2)/25)*AA69+(1-EXP(-LN(2)/25))/(LN(2)/25)*Calculateur!V70*Calculateur!X70*VLOOKUP('Données projet'!$B$9,Paramètres!$A$1:$I$89,3,0)*0.475*44/12</f>
        <v>4.7256169530863232</v>
      </c>
      <c r="AB70" s="23">
        <f>EXP(-LN(2)/2)*AB69+(1-EXP(-LN(2)/2))/(LN(2)/2)*V70*Y70*VLOOKUP('Données projet'!$B$9,Paramètres!$A$1:$I$89,3,0)*0.475*44/12</f>
        <v>1.6342895831036569E-5</v>
      </c>
      <c r="AC70" s="24">
        <f t="shared" si="57"/>
        <v>10.352062071523948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0</v>
      </c>
      <c r="AJ70" s="14" t="e">
        <f>AI70*VLOOKUP('Données projet'!$B$10,Paramètres!$A$1:$I$89,3,0)*VLOOKUP('Données projet'!$B$10,Paramètres!$A$1:$I$89,5,0)</f>
        <v>#N/A</v>
      </c>
      <c r="AK70" s="14" t="e">
        <f t="shared" si="89"/>
        <v>#N/A</v>
      </c>
      <c r="AL70" s="22" t="e">
        <f t="shared" si="58"/>
        <v>#N/A</v>
      </c>
      <c r="AM70" s="62" t="e">
        <f t="shared" si="59"/>
        <v>#N/A</v>
      </c>
      <c r="AN70" s="62" t="e">
        <f ca="1">AVERAGE(OFFSET($AM$3,0,0,'Données projet'!$E$10+1,1))-AVERAGE(OFFSET($H$3,0,0,'Données projet'!$E$10+1,1))</f>
        <v>#N/A</v>
      </c>
      <c r="AO70" s="62" t="e">
        <f t="shared" si="90"/>
        <v>#N/A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 t="e">
        <f>EXP(-LN(2)/35)*AU69+(1-EXP(-LN(2)/35))/(LN(2)/35)*AQ70*AR70*VLOOKUP('Données projet'!$B$10,Paramètres!$A$1:$I$89,3,0)*0.475*44/12</f>
        <v>#N/A</v>
      </c>
      <c r="AV70" s="23" t="e">
        <f>EXP(-LN(2)/25)*AV69+(1-EXP(-LN(2)/25))/(LN(2)/25)*Calculateur!AQ70*Calculateur!AS70*VLOOKUP('Données projet'!$B$10,Paramètres!$A$1:$I$89,3,0)*0.475*44/12</f>
        <v>#N/A</v>
      </c>
      <c r="AW70" s="23" t="e">
        <f>EXP(-LN(2)/2)*AW69+(1-EXP(-LN(2)/2))/(LN(2)/2)*AQ70*AT70*VLOOKUP('Données projet'!$B$10,Paramètres!$A$1:$I$89,3,0)*0.475*44/12</f>
        <v>#N/A</v>
      </c>
      <c r="AX70" s="23" t="e">
        <f t="shared" si="60"/>
        <v>#N/A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 t="e">
        <f>BD70*VLOOKUP('Données projet'!$B$11,Paramètres!$A$1:$I$89,3,0)*VLOOKUP('Données projet'!$B$11,Paramètres!$A$1:$I$89,5,0)</f>
        <v>#N/A</v>
      </c>
      <c r="BF70" s="14" t="e">
        <f t="shared" si="91"/>
        <v>#N/A</v>
      </c>
      <c r="BG70" s="22" t="e">
        <f t="shared" si="61"/>
        <v>#N/A</v>
      </c>
      <c r="BH70" s="62" t="e">
        <f t="shared" si="62"/>
        <v>#N/A</v>
      </c>
      <c r="BI70" s="62" t="e">
        <f ca="1">AVERAGE(OFFSET($BH$3,0,0,'Données projet'!$E$11+1,1))-AVERAGE(OFFSET($H$3,0,0,'Données projet'!$E$11+1,1))</f>
        <v>#N/A</v>
      </c>
      <c r="BJ70" s="62" t="e">
        <f t="shared" si="92"/>
        <v>#N/A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 t="e">
        <f>EXP(-LN(2)/35)*BP69+(1-EXP(-LN(2)/35))/(LN(2)/35)*BL70*BM70*VLOOKUP('Données projet'!$B$11,Paramètres!$A$1:$I$89,3,0)*0.475*44/12</f>
        <v>#N/A</v>
      </c>
      <c r="BQ70" s="23" t="e">
        <f>EXP(-LN(2)/25)*BQ69+(1-EXP(-LN(2)/25))/(LN(2)/25)*Calculateur!BL70*Calculateur!BN70*VLOOKUP('Données projet'!$B$11,Paramètres!$A$1:$I$89,3,0)*0.475*44/12</f>
        <v>#N/A</v>
      </c>
      <c r="BR70" s="23" t="e">
        <f>EXP(-LN(2)/2)*BR69+(1-EXP(-LN(2)/2))/(LN(2)/2)*BL70*BO70*VLOOKUP('Données projet'!$B$11,Paramètres!$A$1:$I$89,3,0)*0.475*44/12</f>
        <v>#N/A</v>
      </c>
      <c r="BS70" s="24" t="e">
        <f t="shared" si="63"/>
        <v>#N/A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3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33.591999999999992</v>
      </c>
      <c r="D71" s="12">
        <f t="shared" si="86"/>
        <v>10.283337087665418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10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338.68681260654</v>
      </c>
      <c r="H71" s="70">
        <f t="shared" si="56"/>
        <v>369.74954542768387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-1.1368683772161603E-13</v>
      </c>
      <c r="O71" s="14">
        <f>N71*VLOOKUP('Données projet'!$B$9,Paramètres!$A$1:$I$89,3,0)*VLOOKUP('Données projet'!$B$9,Paramètres!$A$1:$I$89,5,0)</f>
        <v>-6.7984728957526396E-14</v>
      </c>
      <c r="P71" s="14" t="e">
        <f t="shared" si="87"/>
        <v>#NUM!</v>
      </c>
      <c r="Q71" s="22" t="e">
        <f t="shared" si="54"/>
        <v>#NUM!</v>
      </c>
      <c r="R71" s="62" t="e">
        <f t="shared" si="55"/>
        <v>#NUM!</v>
      </c>
      <c r="S71" s="62">
        <f ca="1">AVERAGE(OFFSET($R$3,0,0,'Données projet'!$E$9+1,1))-AVERAGE(OFFSET($H$3,0,0,'Données projet'!$E$9+1,1))</f>
        <v>255.1976414275677</v>
      </c>
      <c r="T71" s="62">
        <f t="shared" si="88"/>
        <v>266.42714758321767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5.5160979390361113</v>
      </c>
      <c r="AA71" s="23">
        <f>EXP(-LN(2)/25)*AA70+(1-EXP(-LN(2)/25))/(LN(2)/25)*Calculateur!V71*Calculateur!X71*VLOOKUP('Données projet'!$B$9,Paramètres!$A$1:$I$89,3,0)*0.475*44/12</f>
        <v>4.596394708994783</v>
      </c>
      <c r="AB71" s="23">
        <f>EXP(-LN(2)/2)*AB70+(1-EXP(-LN(2)/2))/(LN(2)/2)*V71*Y71*VLOOKUP('Données projet'!$B$9,Paramètres!$A$1:$I$89,3,0)*0.475*44/12</f>
        <v>1.1556172466351316E-5</v>
      </c>
      <c r="AC71" s="24">
        <f t="shared" si="57"/>
        <v>10.112504204203361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0</v>
      </c>
      <c r="AJ71" s="14" t="e">
        <f>AI71*VLOOKUP('Données projet'!$B$10,Paramètres!$A$1:$I$89,3,0)*VLOOKUP('Données projet'!$B$10,Paramètres!$A$1:$I$89,5,0)</f>
        <v>#N/A</v>
      </c>
      <c r="AK71" s="14" t="e">
        <f t="shared" si="89"/>
        <v>#N/A</v>
      </c>
      <c r="AL71" s="22" t="e">
        <f t="shared" si="58"/>
        <v>#N/A</v>
      </c>
      <c r="AM71" s="62" t="e">
        <f t="shared" si="59"/>
        <v>#N/A</v>
      </c>
      <c r="AN71" s="62" t="e">
        <f ca="1">AVERAGE(OFFSET($AM$3,0,0,'Données projet'!$E$10+1,1))-AVERAGE(OFFSET($H$3,0,0,'Données projet'!$E$10+1,1))</f>
        <v>#N/A</v>
      </c>
      <c r="AO71" s="62" t="e">
        <f t="shared" si="90"/>
        <v>#N/A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 t="e">
        <f>EXP(-LN(2)/35)*AU70+(1-EXP(-LN(2)/35))/(LN(2)/35)*AQ71*AR71*VLOOKUP('Données projet'!$B$10,Paramètres!$A$1:$I$89,3,0)*0.475*44/12</f>
        <v>#N/A</v>
      </c>
      <c r="AV71" s="23" t="e">
        <f>EXP(-LN(2)/25)*AV70+(1-EXP(-LN(2)/25))/(LN(2)/25)*Calculateur!AQ71*Calculateur!AS71*VLOOKUP('Données projet'!$B$10,Paramètres!$A$1:$I$89,3,0)*0.475*44/12</f>
        <v>#N/A</v>
      </c>
      <c r="AW71" s="23" t="e">
        <f>EXP(-LN(2)/2)*AW70+(1-EXP(-LN(2)/2))/(LN(2)/2)*AQ71*AT71*VLOOKUP('Données projet'!$B$10,Paramètres!$A$1:$I$89,3,0)*0.475*44/12</f>
        <v>#N/A</v>
      </c>
      <c r="AX71" s="23" t="e">
        <f t="shared" si="60"/>
        <v>#N/A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 t="e">
        <f>BD71*VLOOKUP('Données projet'!$B$11,Paramètres!$A$1:$I$89,3,0)*VLOOKUP('Données projet'!$B$11,Paramètres!$A$1:$I$89,5,0)</f>
        <v>#N/A</v>
      </c>
      <c r="BF71" s="14" t="e">
        <f t="shared" si="91"/>
        <v>#N/A</v>
      </c>
      <c r="BG71" s="22" t="e">
        <f t="shared" si="61"/>
        <v>#N/A</v>
      </c>
      <c r="BH71" s="62" t="e">
        <f t="shared" si="62"/>
        <v>#N/A</v>
      </c>
      <c r="BI71" s="62" t="e">
        <f ca="1">AVERAGE(OFFSET($BH$3,0,0,'Données projet'!$E$11+1,1))-AVERAGE(OFFSET($H$3,0,0,'Données projet'!$E$11+1,1))</f>
        <v>#N/A</v>
      </c>
      <c r="BJ71" s="62" t="e">
        <f t="shared" si="92"/>
        <v>#N/A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 t="e">
        <f>EXP(-LN(2)/35)*BP70+(1-EXP(-LN(2)/35))/(LN(2)/35)*BL71*BM71*VLOOKUP('Données projet'!$B$11,Paramètres!$A$1:$I$89,3,0)*0.475*44/12</f>
        <v>#N/A</v>
      </c>
      <c r="BQ71" s="23" t="e">
        <f>EXP(-LN(2)/25)*BQ70+(1-EXP(-LN(2)/25))/(LN(2)/25)*Calculateur!BL71*Calculateur!BN71*VLOOKUP('Données projet'!$B$11,Paramètres!$A$1:$I$89,3,0)*0.475*44/12</f>
        <v>#N/A</v>
      </c>
      <c r="BR71" s="23" t="e">
        <f>EXP(-LN(2)/2)*BR70+(1-EXP(-LN(2)/2))/(LN(2)/2)*BL71*BO71*VLOOKUP('Données projet'!$B$11,Paramètres!$A$1:$I$89,3,0)*0.475*44/12</f>
        <v>#N/A</v>
      </c>
      <c r="BS71" s="24" t="e">
        <f t="shared" si="63"/>
        <v>#N/A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3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34.085999999999991</v>
      </c>
      <c r="D72" s="12">
        <f t="shared" si="86"/>
        <v>10.41684623515679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10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343.53074286787688</v>
      </c>
      <c r="H72" s="70">
        <f t="shared" si="56"/>
        <v>370.84245719289805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-1.1368683772161603E-13</v>
      </c>
      <c r="O72" s="14">
        <f>N72*VLOOKUP('Données projet'!$B$9,Paramètres!$A$1:$I$89,3,0)*VLOOKUP('Données projet'!$B$9,Paramètres!$A$1:$I$89,5,0)</f>
        <v>-6.7984728957526396E-14</v>
      </c>
      <c r="P72" s="14" t="e">
        <f t="shared" si="87"/>
        <v>#NUM!</v>
      </c>
      <c r="Q72" s="22" t="e">
        <f t="shared" si="54"/>
        <v>#NUM!</v>
      </c>
      <c r="R72" s="62" t="e">
        <f t="shared" si="55"/>
        <v>#NUM!</v>
      </c>
      <c r="S72" s="62">
        <f ca="1">AVERAGE(OFFSET($R$3,0,0,'Données projet'!$E$9+1,1))-AVERAGE(OFFSET($H$3,0,0,'Données projet'!$E$9+1,1))</f>
        <v>255.1976414275677</v>
      </c>
      <c r="T72" s="62">
        <f t="shared" si="88"/>
        <v>266.42714758321767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5.4079306229391406</v>
      </c>
      <c r="AA72" s="23">
        <f>EXP(-LN(2)/25)*AA71+(1-EXP(-LN(2)/25))/(LN(2)/25)*Calculateur!V72*Calculateur!X72*VLOOKUP('Données projet'!$B$9,Paramètres!$A$1:$I$89,3,0)*0.475*44/12</f>
        <v>4.4707060539634282</v>
      </c>
      <c r="AB72" s="23">
        <f>EXP(-LN(2)/2)*AB71+(1-EXP(-LN(2)/2))/(LN(2)/2)*V72*Y72*VLOOKUP('Données projet'!$B$9,Paramètres!$A$1:$I$89,3,0)*0.475*44/12</f>
        <v>8.1714479155182847E-6</v>
      </c>
      <c r="AC72" s="24">
        <f t="shared" si="57"/>
        <v>9.8786448483504845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0</v>
      </c>
      <c r="AJ72" s="14" t="e">
        <f>AI72*VLOOKUP('Données projet'!$B$10,Paramètres!$A$1:$I$89,3,0)*VLOOKUP('Données projet'!$B$10,Paramètres!$A$1:$I$89,5,0)</f>
        <v>#N/A</v>
      </c>
      <c r="AK72" s="14" t="e">
        <f t="shared" si="89"/>
        <v>#N/A</v>
      </c>
      <c r="AL72" s="22" t="e">
        <f t="shared" si="58"/>
        <v>#N/A</v>
      </c>
      <c r="AM72" s="62" t="e">
        <f t="shared" si="59"/>
        <v>#N/A</v>
      </c>
      <c r="AN72" s="62" t="e">
        <f ca="1">AVERAGE(OFFSET($AM$3,0,0,'Données projet'!$E$10+1,1))-AVERAGE(OFFSET($H$3,0,0,'Données projet'!$E$10+1,1))</f>
        <v>#N/A</v>
      </c>
      <c r="AO72" s="62" t="e">
        <f t="shared" si="90"/>
        <v>#N/A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 t="e">
        <f>EXP(-LN(2)/35)*AU71+(1-EXP(-LN(2)/35))/(LN(2)/35)*AQ72*AR72*VLOOKUP('Données projet'!$B$10,Paramètres!$A$1:$I$89,3,0)*0.475*44/12</f>
        <v>#N/A</v>
      </c>
      <c r="AV72" s="23" t="e">
        <f>EXP(-LN(2)/25)*AV71+(1-EXP(-LN(2)/25))/(LN(2)/25)*Calculateur!AQ72*Calculateur!AS72*VLOOKUP('Données projet'!$B$10,Paramètres!$A$1:$I$89,3,0)*0.475*44/12</f>
        <v>#N/A</v>
      </c>
      <c r="AW72" s="23" t="e">
        <f>EXP(-LN(2)/2)*AW71+(1-EXP(-LN(2)/2))/(LN(2)/2)*AQ72*AT72*VLOOKUP('Données projet'!$B$10,Paramètres!$A$1:$I$89,3,0)*0.475*44/12</f>
        <v>#N/A</v>
      </c>
      <c r="AX72" s="23" t="e">
        <f t="shared" si="60"/>
        <v>#N/A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 t="e">
        <f>BD72*VLOOKUP('Données projet'!$B$11,Paramètres!$A$1:$I$89,3,0)*VLOOKUP('Données projet'!$B$11,Paramètres!$A$1:$I$89,5,0)</f>
        <v>#N/A</v>
      </c>
      <c r="BF72" s="14" t="e">
        <f t="shared" si="91"/>
        <v>#N/A</v>
      </c>
      <c r="BG72" s="22" t="e">
        <f t="shared" si="61"/>
        <v>#N/A</v>
      </c>
      <c r="BH72" s="62" t="e">
        <f t="shared" si="62"/>
        <v>#N/A</v>
      </c>
      <c r="BI72" s="62" t="e">
        <f ca="1">AVERAGE(OFFSET($BH$3,0,0,'Données projet'!$E$11+1,1))-AVERAGE(OFFSET($H$3,0,0,'Données projet'!$E$11+1,1))</f>
        <v>#N/A</v>
      </c>
      <c r="BJ72" s="62" t="e">
        <f t="shared" si="92"/>
        <v>#N/A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 t="e">
        <f>EXP(-LN(2)/35)*BP71+(1-EXP(-LN(2)/35))/(LN(2)/35)*BL72*BM72*VLOOKUP('Données projet'!$B$11,Paramètres!$A$1:$I$89,3,0)*0.475*44/12</f>
        <v>#N/A</v>
      </c>
      <c r="BQ72" s="23" t="e">
        <f>EXP(-LN(2)/25)*BQ71+(1-EXP(-LN(2)/25))/(LN(2)/25)*Calculateur!BL72*Calculateur!BN72*VLOOKUP('Données projet'!$B$11,Paramètres!$A$1:$I$89,3,0)*0.475*44/12</f>
        <v>#N/A</v>
      </c>
      <c r="BR72" s="23" t="e">
        <f>EXP(-LN(2)/2)*BR71+(1-EXP(-LN(2)/2))/(LN(2)/2)*BL72*BO72*VLOOKUP('Données projet'!$B$11,Paramètres!$A$1:$I$89,3,0)*0.475*44/12</f>
        <v>#N/A</v>
      </c>
      <c r="BS72" s="24" t="e">
        <f t="shared" si="63"/>
        <v>#N/A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3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34.579999999999991</v>
      </c>
      <c r="D73" s="12">
        <f t="shared" si="86"/>
        <v>10.550130340056088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10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348.37293595832762</v>
      </c>
      <c r="H73" s="70">
        <f t="shared" si="56"/>
        <v>371.93497700893096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-1.1368683772161603E-13</v>
      </c>
      <c r="O73" s="14">
        <f>N73*VLOOKUP('Données projet'!$B$9,Paramètres!$A$1:$I$89,3,0)*VLOOKUP('Données projet'!$B$9,Paramètres!$A$1:$I$89,5,0)</f>
        <v>-6.7984728957526396E-14</v>
      </c>
      <c r="P73" s="14" t="e">
        <f t="shared" si="87"/>
        <v>#NUM!</v>
      </c>
      <c r="Q73" s="22" t="e">
        <f t="shared" si="54"/>
        <v>#NUM!</v>
      </c>
      <c r="R73" s="62" t="e">
        <f t="shared" si="55"/>
        <v>#NUM!</v>
      </c>
      <c r="S73" s="62">
        <f ca="1">AVERAGE(OFFSET($R$3,0,0,'Données projet'!$E$9+1,1))-AVERAGE(OFFSET($H$3,0,0,'Données projet'!$E$9+1,1))</f>
        <v>255.1976414275677</v>
      </c>
      <c r="T73" s="62">
        <f t="shared" si="88"/>
        <v>266.42714758321767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5.3018844019352827</v>
      </c>
      <c r="AA73" s="23">
        <f>EXP(-LN(2)/25)*AA72+(1-EXP(-LN(2)/25))/(LN(2)/25)*Calculateur!V73*Calculateur!X73*VLOOKUP('Données projet'!$B$9,Paramètres!$A$1:$I$89,3,0)*0.475*44/12</f>
        <v>4.3484543618135847</v>
      </c>
      <c r="AB73" s="23">
        <f>EXP(-LN(2)/2)*AB72+(1-EXP(-LN(2)/2))/(LN(2)/2)*V73*Y73*VLOOKUP('Données projet'!$B$9,Paramètres!$A$1:$I$89,3,0)*0.475*44/12</f>
        <v>5.7780862331756578E-6</v>
      </c>
      <c r="AC73" s="24">
        <f t="shared" si="57"/>
        <v>9.6503445418350999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0</v>
      </c>
      <c r="AJ73" s="14" t="e">
        <f>AI73*VLOOKUP('Données projet'!$B$10,Paramètres!$A$1:$I$89,3,0)*VLOOKUP('Données projet'!$B$10,Paramètres!$A$1:$I$89,5,0)</f>
        <v>#N/A</v>
      </c>
      <c r="AK73" s="14" t="e">
        <f t="shared" si="89"/>
        <v>#N/A</v>
      </c>
      <c r="AL73" s="22" t="e">
        <f t="shared" si="58"/>
        <v>#N/A</v>
      </c>
      <c r="AM73" s="62" t="e">
        <f t="shared" si="59"/>
        <v>#N/A</v>
      </c>
      <c r="AN73" s="62" t="e">
        <f ca="1">AVERAGE(OFFSET($AM$3,0,0,'Données projet'!$E$10+1,1))-AVERAGE(OFFSET($H$3,0,0,'Données projet'!$E$10+1,1))</f>
        <v>#N/A</v>
      </c>
      <c r="AO73" s="62" t="e">
        <f t="shared" si="90"/>
        <v>#N/A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 t="e">
        <f>EXP(-LN(2)/35)*AU72+(1-EXP(-LN(2)/35))/(LN(2)/35)*AQ73*AR73*VLOOKUP('Données projet'!$B$10,Paramètres!$A$1:$I$89,3,0)*0.475*44/12</f>
        <v>#N/A</v>
      </c>
      <c r="AV73" s="23" t="e">
        <f>EXP(-LN(2)/25)*AV72+(1-EXP(-LN(2)/25))/(LN(2)/25)*Calculateur!AQ73*Calculateur!AS73*VLOOKUP('Données projet'!$B$10,Paramètres!$A$1:$I$89,3,0)*0.475*44/12</f>
        <v>#N/A</v>
      </c>
      <c r="AW73" s="23" t="e">
        <f>EXP(-LN(2)/2)*AW72+(1-EXP(-LN(2)/2))/(LN(2)/2)*AQ73*AT73*VLOOKUP('Données projet'!$B$10,Paramètres!$A$1:$I$89,3,0)*0.475*44/12</f>
        <v>#N/A</v>
      </c>
      <c r="AX73" s="23" t="e">
        <f t="shared" si="60"/>
        <v>#N/A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 t="e">
        <f>BD73*VLOOKUP('Données projet'!$B$11,Paramètres!$A$1:$I$89,3,0)*VLOOKUP('Données projet'!$B$11,Paramètres!$A$1:$I$89,5,0)</f>
        <v>#N/A</v>
      </c>
      <c r="BF73" s="14" t="e">
        <f t="shared" si="91"/>
        <v>#N/A</v>
      </c>
      <c r="BG73" s="22" t="e">
        <f t="shared" si="61"/>
        <v>#N/A</v>
      </c>
      <c r="BH73" s="62" t="e">
        <f t="shared" si="62"/>
        <v>#N/A</v>
      </c>
      <c r="BI73" s="62" t="e">
        <f ca="1">AVERAGE(OFFSET($BH$3,0,0,'Données projet'!$E$11+1,1))-AVERAGE(OFFSET($H$3,0,0,'Données projet'!$E$11+1,1))</f>
        <v>#N/A</v>
      </c>
      <c r="BJ73" s="62" t="e">
        <f t="shared" si="92"/>
        <v>#N/A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 t="e">
        <f>EXP(-LN(2)/35)*BP72+(1-EXP(-LN(2)/35))/(LN(2)/35)*BL73*BM73*VLOOKUP('Données projet'!$B$11,Paramètres!$A$1:$I$89,3,0)*0.475*44/12</f>
        <v>#N/A</v>
      </c>
      <c r="BQ73" s="23" t="e">
        <f>EXP(-LN(2)/25)*BQ72+(1-EXP(-LN(2)/25))/(LN(2)/25)*Calculateur!BL73*Calculateur!BN73*VLOOKUP('Données projet'!$B$11,Paramètres!$A$1:$I$89,3,0)*0.475*44/12</f>
        <v>#N/A</v>
      </c>
      <c r="BR73" s="23" t="e">
        <f>EXP(-LN(2)/2)*BR72+(1-EXP(-LN(2)/2))/(LN(2)/2)*BL73*BO73*VLOOKUP('Données projet'!$B$11,Paramètres!$A$1:$I$89,3,0)*0.475*44/12</f>
        <v>#N/A</v>
      </c>
      <c r="BS73" s="24" t="e">
        <f t="shared" si="63"/>
        <v>#N/A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3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35.073999999999991</v>
      </c>
      <c r="D74" s="12">
        <f t="shared" si="86"/>
        <v>10.683192988734277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10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353.21341956215929</v>
      </c>
      <c r="H74" s="70">
        <f t="shared" si="56"/>
        <v>373.02711112204548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-1.1368683772161603E-13</v>
      </c>
      <c r="O74" s="14">
        <f>N74*VLOOKUP('Données projet'!$B$9,Paramètres!$A$1:$I$89,3,0)*VLOOKUP('Données projet'!$B$9,Paramètres!$A$1:$I$89,5,0)</f>
        <v>-6.7984728957526396E-14</v>
      </c>
      <c r="P74" s="14" t="e">
        <f t="shared" si="87"/>
        <v>#NUM!</v>
      </c>
      <c r="Q74" s="22" t="e">
        <f t="shared" si="54"/>
        <v>#NUM!</v>
      </c>
      <c r="R74" s="62" t="e">
        <f t="shared" si="55"/>
        <v>#NUM!</v>
      </c>
      <c r="S74" s="62">
        <f ca="1">AVERAGE(OFFSET($R$3,0,0,'Données projet'!$E$9+1,1))-AVERAGE(OFFSET($H$3,0,0,'Données projet'!$E$9+1,1))</f>
        <v>255.1976414275677</v>
      </c>
      <c r="T74" s="62">
        <f t="shared" si="88"/>
        <v>266.42714758321767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5.197917682643503</v>
      </c>
      <c r="AA74" s="23">
        <f>EXP(-LN(2)/25)*AA73+(1-EXP(-LN(2)/25))/(LN(2)/25)*Calculateur!V74*Calculateur!X74*VLOOKUP('Données projet'!$B$9,Paramètres!$A$1:$I$89,3,0)*0.475*44/12</f>
        <v>4.2295456486145158</v>
      </c>
      <c r="AB74" s="23">
        <f>EXP(-LN(2)/2)*AB73+(1-EXP(-LN(2)/2))/(LN(2)/2)*V74*Y74*VLOOKUP('Données projet'!$B$9,Paramètres!$A$1:$I$89,3,0)*0.475*44/12</f>
        <v>4.0857239577591424E-6</v>
      </c>
      <c r="AC74" s="24">
        <f t="shared" si="57"/>
        <v>9.4274674169819761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0</v>
      </c>
      <c r="AJ74" s="14" t="e">
        <f>AI74*VLOOKUP('Données projet'!$B$10,Paramètres!$A$1:$I$89,3,0)*VLOOKUP('Données projet'!$B$10,Paramètres!$A$1:$I$89,5,0)</f>
        <v>#N/A</v>
      </c>
      <c r="AK74" s="14" t="e">
        <f t="shared" si="89"/>
        <v>#N/A</v>
      </c>
      <c r="AL74" s="22" t="e">
        <f t="shared" si="58"/>
        <v>#N/A</v>
      </c>
      <c r="AM74" s="62" t="e">
        <f t="shared" si="59"/>
        <v>#N/A</v>
      </c>
      <c r="AN74" s="62" t="e">
        <f ca="1">AVERAGE(OFFSET($AM$3,0,0,'Données projet'!$E$10+1,1))-AVERAGE(OFFSET($H$3,0,0,'Données projet'!$E$10+1,1))</f>
        <v>#N/A</v>
      </c>
      <c r="AO74" s="62" t="e">
        <f t="shared" si="90"/>
        <v>#N/A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 t="e">
        <f>EXP(-LN(2)/35)*AU73+(1-EXP(-LN(2)/35))/(LN(2)/35)*AQ74*AR74*VLOOKUP('Données projet'!$B$10,Paramètres!$A$1:$I$89,3,0)*0.475*44/12</f>
        <v>#N/A</v>
      </c>
      <c r="AV74" s="23" t="e">
        <f>EXP(-LN(2)/25)*AV73+(1-EXP(-LN(2)/25))/(LN(2)/25)*Calculateur!AQ74*Calculateur!AS74*VLOOKUP('Données projet'!$B$10,Paramètres!$A$1:$I$89,3,0)*0.475*44/12</f>
        <v>#N/A</v>
      </c>
      <c r="AW74" s="23" t="e">
        <f>EXP(-LN(2)/2)*AW73+(1-EXP(-LN(2)/2))/(LN(2)/2)*AQ74*AT74*VLOOKUP('Données projet'!$B$10,Paramètres!$A$1:$I$89,3,0)*0.475*44/12</f>
        <v>#N/A</v>
      </c>
      <c r="AX74" s="23" t="e">
        <f t="shared" si="60"/>
        <v>#N/A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 t="e">
        <f>BD74*VLOOKUP('Données projet'!$B$11,Paramètres!$A$1:$I$89,3,0)*VLOOKUP('Données projet'!$B$11,Paramètres!$A$1:$I$89,5,0)</f>
        <v>#N/A</v>
      </c>
      <c r="BF74" s="14" t="e">
        <f t="shared" si="91"/>
        <v>#N/A</v>
      </c>
      <c r="BG74" s="22" t="e">
        <f t="shared" si="61"/>
        <v>#N/A</v>
      </c>
      <c r="BH74" s="62" t="e">
        <f t="shared" si="62"/>
        <v>#N/A</v>
      </c>
      <c r="BI74" s="62" t="e">
        <f ca="1">AVERAGE(OFFSET($BH$3,0,0,'Données projet'!$E$11+1,1))-AVERAGE(OFFSET($H$3,0,0,'Données projet'!$E$11+1,1))</f>
        <v>#N/A</v>
      </c>
      <c r="BJ74" s="62" t="e">
        <f t="shared" si="92"/>
        <v>#N/A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 t="e">
        <f>EXP(-LN(2)/35)*BP73+(1-EXP(-LN(2)/35))/(LN(2)/35)*BL74*BM74*VLOOKUP('Données projet'!$B$11,Paramètres!$A$1:$I$89,3,0)*0.475*44/12</f>
        <v>#N/A</v>
      </c>
      <c r="BQ74" s="23" t="e">
        <f>EXP(-LN(2)/25)*BQ73+(1-EXP(-LN(2)/25))/(LN(2)/25)*Calculateur!BL74*Calculateur!BN74*VLOOKUP('Données projet'!$B$11,Paramètres!$A$1:$I$89,3,0)*0.475*44/12</f>
        <v>#N/A</v>
      </c>
      <c r="BR74" s="23" t="e">
        <f>EXP(-LN(2)/2)*BR73+(1-EXP(-LN(2)/2))/(LN(2)/2)*BL74*BO74*VLOOKUP('Données projet'!$B$11,Paramètres!$A$1:$I$89,3,0)*0.475*44/12</f>
        <v>#N/A</v>
      </c>
      <c r="BS74" s="24" t="e">
        <f t="shared" si="63"/>
        <v>#N/A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3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35.567999999999991</v>
      </c>
      <c r="D75" s="12">
        <f t="shared" si="86"/>
        <v>10.816037660735203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10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358.05222053900849</v>
      </c>
      <c r="H75" s="70">
        <f t="shared" si="56"/>
        <v>374.11886559244709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-1.1368683772161603E-13</v>
      </c>
      <c r="O75" s="14">
        <f>N75*VLOOKUP('Données projet'!$B$9,Paramètres!$A$1:$I$89,3,0)*VLOOKUP('Données projet'!$B$9,Paramètres!$A$1:$I$89,5,0)</f>
        <v>-6.7984728957526396E-14</v>
      </c>
      <c r="P75" s="14" t="e">
        <f t="shared" si="87"/>
        <v>#NUM!</v>
      </c>
      <c r="Q75" s="22" t="e">
        <f t="shared" si="54"/>
        <v>#NUM!</v>
      </c>
      <c r="R75" s="62" t="e">
        <f t="shared" si="55"/>
        <v>#NUM!</v>
      </c>
      <c r="S75" s="62">
        <f ca="1">AVERAGE(OFFSET($R$3,0,0,'Données projet'!$E$9+1,1))-AVERAGE(OFFSET($H$3,0,0,'Données projet'!$E$9+1,1))</f>
        <v>255.1976414275677</v>
      </c>
      <c r="T75" s="62">
        <f t="shared" si="88"/>
        <v>266.42714758321767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5.0959896873035975</v>
      </c>
      <c r="AA75" s="23">
        <f>EXP(-LN(2)/25)*AA74+(1-EXP(-LN(2)/25))/(LN(2)/25)*Calculateur!V75*Calculateur!X75*VLOOKUP('Données projet'!$B$9,Paramètres!$A$1:$I$89,3,0)*0.475*44/12</f>
        <v>4.1138885004310133</v>
      </c>
      <c r="AB75" s="23">
        <f>EXP(-LN(2)/2)*AB74+(1-EXP(-LN(2)/2))/(LN(2)/2)*V75*Y75*VLOOKUP('Données projet'!$B$9,Paramètres!$A$1:$I$89,3,0)*0.475*44/12</f>
        <v>2.8890431165878289E-6</v>
      </c>
      <c r="AC75" s="24">
        <f t="shared" si="57"/>
        <v>9.2098810767777266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0</v>
      </c>
      <c r="AJ75" s="14" t="e">
        <f>AI75*VLOOKUP('Données projet'!$B$10,Paramètres!$A$1:$I$89,3,0)*VLOOKUP('Données projet'!$B$10,Paramètres!$A$1:$I$89,5,0)</f>
        <v>#N/A</v>
      </c>
      <c r="AK75" s="14" t="e">
        <f t="shared" si="89"/>
        <v>#N/A</v>
      </c>
      <c r="AL75" s="22" t="e">
        <f t="shared" si="58"/>
        <v>#N/A</v>
      </c>
      <c r="AM75" s="62" t="e">
        <f t="shared" si="59"/>
        <v>#N/A</v>
      </c>
      <c r="AN75" s="62" t="e">
        <f ca="1">AVERAGE(OFFSET($AM$3,0,0,'Données projet'!$E$10+1,1))-AVERAGE(OFFSET($H$3,0,0,'Données projet'!$E$10+1,1))</f>
        <v>#N/A</v>
      </c>
      <c r="AO75" s="62" t="e">
        <f t="shared" si="90"/>
        <v>#N/A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 t="e">
        <f>EXP(-LN(2)/35)*AU74+(1-EXP(-LN(2)/35))/(LN(2)/35)*AQ75*AR75*VLOOKUP('Données projet'!$B$10,Paramètres!$A$1:$I$89,3,0)*0.475*44/12</f>
        <v>#N/A</v>
      </c>
      <c r="AV75" s="23" t="e">
        <f>EXP(-LN(2)/25)*AV74+(1-EXP(-LN(2)/25))/(LN(2)/25)*Calculateur!AQ75*Calculateur!AS75*VLOOKUP('Données projet'!$B$10,Paramètres!$A$1:$I$89,3,0)*0.475*44/12</f>
        <v>#N/A</v>
      </c>
      <c r="AW75" s="23" t="e">
        <f>EXP(-LN(2)/2)*AW74+(1-EXP(-LN(2)/2))/(LN(2)/2)*AQ75*AT75*VLOOKUP('Données projet'!$B$10,Paramètres!$A$1:$I$89,3,0)*0.475*44/12</f>
        <v>#N/A</v>
      </c>
      <c r="AX75" s="23" t="e">
        <f t="shared" si="60"/>
        <v>#N/A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 t="e">
        <f>BD75*VLOOKUP('Données projet'!$B$11,Paramètres!$A$1:$I$89,3,0)*VLOOKUP('Données projet'!$B$11,Paramètres!$A$1:$I$89,5,0)</f>
        <v>#N/A</v>
      </c>
      <c r="BF75" s="14" t="e">
        <f t="shared" si="91"/>
        <v>#N/A</v>
      </c>
      <c r="BG75" s="22" t="e">
        <f t="shared" si="61"/>
        <v>#N/A</v>
      </c>
      <c r="BH75" s="62" t="e">
        <f t="shared" si="62"/>
        <v>#N/A</v>
      </c>
      <c r="BI75" s="62" t="e">
        <f ca="1">AVERAGE(OFFSET($BH$3,0,0,'Données projet'!$E$11+1,1))-AVERAGE(OFFSET($H$3,0,0,'Données projet'!$E$11+1,1))</f>
        <v>#N/A</v>
      </c>
      <c r="BJ75" s="62" t="e">
        <f t="shared" si="92"/>
        <v>#N/A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 t="e">
        <f>EXP(-LN(2)/35)*BP74+(1-EXP(-LN(2)/35))/(LN(2)/35)*BL75*BM75*VLOOKUP('Données projet'!$B$11,Paramètres!$A$1:$I$89,3,0)*0.475*44/12</f>
        <v>#N/A</v>
      </c>
      <c r="BQ75" s="23" t="e">
        <f>EXP(-LN(2)/25)*BQ74+(1-EXP(-LN(2)/25))/(LN(2)/25)*Calculateur!BL75*Calculateur!BN75*VLOOKUP('Données projet'!$B$11,Paramètres!$A$1:$I$89,3,0)*0.475*44/12</f>
        <v>#N/A</v>
      </c>
      <c r="BR75" s="23" t="e">
        <f>EXP(-LN(2)/2)*BR74+(1-EXP(-LN(2)/2))/(LN(2)/2)*BL75*BO75*VLOOKUP('Données projet'!$B$11,Paramètres!$A$1:$I$89,3,0)*0.475*44/12</f>
        <v>#N/A</v>
      </c>
      <c r="BS75" s="24" t="e">
        <f t="shared" si="63"/>
        <v>#N/A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3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36.061999999999991</v>
      </c>
      <c r="D76" s="12">
        <f t="shared" si="86"/>
        <v>10.948667733396306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10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362.88936495955039</v>
      </c>
      <c r="H76" s="70">
        <f t="shared" si="56"/>
        <v>375.21024630233188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-1.1368683772161603E-13</v>
      </c>
      <c r="O76" s="14">
        <f>N76*VLOOKUP('Données projet'!$B$9,Paramètres!$A$1:$I$89,3,0)*VLOOKUP('Données projet'!$B$9,Paramètres!$A$1:$I$89,5,0)</f>
        <v>-6.7984728957526396E-14</v>
      </c>
      <c r="P76" s="14" t="e">
        <f t="shared" si="87"/>
        <v>#NUM!</v>
      </c>
      <c r="Q76" s="22" t="e">
        <f t="shared" si="54"/>
        <v>#NUM!</v>
      </c>
      <c r="R76" s="62" t="e">
        <f t="shared" si="55"/>
        <v>#NUM!</v>
      </c>
      <c r="S76" s="62">
        <f ca="1">AVERAGE(OFFSET($R$3,0,0,'Données projet'!$E$9+1,1))-AVERAGE(OFFSET($H$3,0,0,'Données projet'!$E$9+1,1))</f>
        <v>255.1976414275677</v>
      </c>
      <c r="T76" s="62">
        <f t="shared" si="88"/>
        <v>266.42714758321767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4.9960604377823694</v>
      </c>
      <c r="AA76" s="23">
        <f>EXP(-LN(2)/25)*AA75+(1-EXP(-LN(2)/25))/(LN(2)/25)*Calculateur!V76*Calculateur!X76*VLOOKUP('Données projet'!$B$9,Paramètres!$A$1:$I$89,3,0)*0.475*44/12</f>
        <v>4.001394003046733</v>
      </c>
      <c r="AB76" s="23">
        <f>EXP(-LN(2)/2)*AB75+(1-EXP(-LN(2)/2))/(LN(2)/2)*V76*Y76*VLOOKUP('Données projet'!$B$9,Paramètres!$A$1:$I$89,3,0)*0.475*44/12</f>
        <v>2.0428619788795712E-6</v>
      </c>
      <c r="AC76" s="24">
        <f t="shared" si="57"/>
        <v>8.9974564836910815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0</v>
      </c>
      <c r="AJ76" s="14" t="e">
        <f>AI76*VLOOKUP('Données projet'!$B$10,Paramètres!$A$1:$I$89,3,0)*VLOOKUP('Données projet'!$B$10,Paramètres!$A$1:$I$89,5,0)</f>
        <v>#N/A</v>
      </c>
      <c r="AK76" s="14" t="e">
        <f t="shared" si="89"/>
        <v>#N/A</v>
      </c>
      <c r="AL76" s="22" t="e">
        <f t="shared" si="58"/>
        <v>#N/A</v>
      </c>
      <c r="AM76" s="62" t="e">
        <f t="shared" si="59"/>
        <v>#N/A</v>
      </c>
      <c r="AN76" s="62" t="e">
        <f ca="1">AVERAGE(OFFSET($AM$3,0,0,'Données projet'!$E$10+1,1))-AVERAGE(OFFSET($H$3,0,0,'Données projet'!$E$10+1,1))</f>
        <v>#N/A</v>
      </c>
      <c r="AO76" s="62" t="e">
        <f t="shared" si="90"/>
        <v>#N/A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 t="e">
        <f>EXP(-LN(2)/35)*AU75+(1-EXP(-LN(2)/35))/(LN(2)/35)*AQ76*AR76*VLOOKUP('Données projet'!$B$10,Paramètres!$A$1:$I$89,3,0)*0.475*44/12</f>
        <v>#N/A</v>
      </c>
      <c r="AV76" s="23" t="e">
        <f>EXP(-LN(2)/25)*AV75+(1-EXP(-LN(2)/25))/(LN(2)/25)*Calculateur!AQ76*Calculateur!AS76*VLOOKUP('Données projet'!$B$10,Paramètres!$A$1:$I$89,3,0)*0.475*44/12</f>
        <v>#N/A</v>
      </c>
      <c r="AW76" s="23" t="e">
        <f>EXP(-LN(2)/2)*AW75+(1-EXP(-LN(2)/2))/(LN(2)/2)*AQ76*AT76*VLOOKUP('Données projet'!$B$10,Paramètres!$A$1:$I$89,3,0)*0.475*44/12</f>
        <v>#N/A</v>
      </c>
      <c r="AX76" s="23" t="e">
        <f t="shared" si="60"/>
        <v>#N/A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 t="e">
        <f>BD76*VLOOKUP('Données projet'!$B$11,Paramètres!$A$1:$I$89,3,0)*VLOOKUP('Données projet'!$B$11,Paramètres!$A$1:$I$89,5,0)</f>
        <v>#N/A</v>
      </c>
      <c r="BF76" s="14" t="e">
        <f t="shared" si="91"/>
        <v>#N/A</v>
      </c>
      <c r="BG76" s="22" t="e">
        <f t="shared" si="61"/>
        <v>#N/A</v>
      </c>
      <c r="BH76" s="62" t="e">
        <f t="shared" si="62"/>
        <v>#N/A</v>
      </c>
      <c r="BI76" s="62" t="e">
        <f ca="1">AVERAGE(OFFSET($BH$3,0,0,'Données projet'!$E$11+1,1))-AVERAGE(OFFSET($H$3,0,0,'Données projet'!$E$11+1,1))</f>
        <v>#N/A</v>
      </c>
      <c r="BJ76" s="62" t="e">
        <f t="shared" si="92"/>
        <v>#N/A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 t="e">
        <f>EXP(-LN(2)/35)*BP75+(1-EXP(-LN(2)/35))/(LN(2)/35)*BL76*BM76*VLOOKUP('Données projet'!$B$11,Paramètres!$A$1:$I$89,3,0)*0.475*44/12</f>
        <v>#N/A</v>
      </c>
      <c r="BQ76" s="23" t="e">
        <f>EXP(-LN(2)/25)*BQ75+(1-EXP(-LN(2)/25))/(LN(2)/25)*Calculateur!BL76*Calculateur!BN76*VLOOKUP('Données projet'!$B$11,Paramètres!$A$1:$I$89,3,0)*0.475*44/12</f>
        <v>#N/A</v>
      </c>
      <c r="BR76" s="23" t="e">
        <f>EXP(-LN(2)/2)*BR75+(1-EXP(-LN(2)/2))/(LN(2)/2)*BL76*BO76*VLOOKUP('Données projet'!$B$11,Paramètres!$A$1:$I$89,3,0)*0.475*44/12</f>
        <v>#N/A</v>
      </c>
      <c r="BS76" s="24" t="e">
        <f t="shared" si="63"/>
        <v>#N/A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3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36.55599999999999</v>
      </c>
      <c r="D77" s="12">
        <f t="shared" si="86"/>
        <v>11.081086486208886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10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367.72487813915626</v>
      </c>
      <c r="H77" s="70">
        <f t="shared" si="56"/>
        <v>376.30125896348045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-1.1368683772161603E-13</v>
      </c>
      <c r="O77" s="14">
        <f>N77*VLOOKUP('Données projet'!$B$9,Paramètres!$A$1:$I$89,3,0)*VLOOKUP('Données projet'!$B$9,Paramètres!$A$1:$I$89,5,0)</f>
        <v>-6.7984728957526396E-14</v>
      </c>
      <c r="P77" s="14" t="e">
        <f t="shared" si="87"/>
        <v>#NUM!</v>
      </c>
      <c r="Q77" s="22" t="e">
        <f t="shared" si="54"/>
        <v>#NUM!</v>
      </c>
      <c r="R77" s="62" t="e">
        <f t="shared" si="55"/>
        <v>#NUM!</v>
      </c>
      <c r="S77" s="62">
        <f ca="1">AVERAGE(OFFSET($R$3,0,0,'Données projet'!$E$9+1,1))-AVERAGE(OFFSET($H$3,0,0,'Données projet'!$E$9+1,1))</f>
        <v>255.1976414275677</v>
      </c>
      <c r="T77" s="62">
        <f t="shared" si="88"/>
        <v>266.42714758321767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4.898090739893429</v>
      </c>
      <c r="AA77" s="23">
        <f>EXP(-LN(2)/25)*AA76+(1-EXP(-LN(2)/25))/(LN(2)/25)*Calculateur!V77*Calculateur!X77*VLOOKUP('Données projet'!$B$9,Paramètres!$A$1:$I$89,3,0)*0.475*44/12</f>
        <v>3.8919756736092546</v>
      </c>
      <c r="AB77" s="23">
        <f>EXP(-LN(2)/2)*AB76+(1-EXP(-LN(2)/2))/(LN(2)/2)*V77*Y77*VLOOKUP('Données projet'!$B$9,Paramètres!$A$1:$I$89,3,0)*0.475*44/12</f>
        <v>1.4445215582939145E-6</v>
      </c>
      <c r="AC77" s="24">
        <f t="shared" si="57"/>
        <v>8.7900678580242424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0</v>
      </c>
      <c r="AJ77" s="14" t="e">
        <f>AI77*VLOOKUP('Données projet'!$B$10,Paramètres!$A$1:$I$89,3,0)*VLOOKUP('Données projet'!$B$10,Paramètres!$A$1:$I$89,5,0)</f>
        <v>#N/A</v>
      </c>
      <c r="AK77" s="14" t="e">
        <f t="shared" si="89"/>
        <v>#N/A</v>
      </c>
      <c r="AL77" s="22" t="e">
        <f t="shared" si="58"/>
        <v>#N/A</v>
      </c>
      <c r="AM77" s="62" t="e">
        <f t="shared" si="59"/>
        <v>#N/A</v>
      </c>
      <c r="AN77" s="62" t="e">
        <f ca="1">AVERAGE(OFFSET($AM$3,0,0,'Données projet'!$E$10+1,1))-AVERAGE(OFFSET($H$3,0,0,'Données projet'!$E$10+1,1))</f>
        <v>#N/A</v>
      </c>
      <c r="AO77" s="62" t="e">
        <f t="shared" si="90"/>
        <v>#N/A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 t="e">
        <f>EXP(-LN(2)/35)*AU76+(1-EXP(-LN(2)/35))/(LN(2)/35)*AQ77*AR77*VLOOKUP('Données projet'!$B$10,Paramètres!$A$1:$I$89,3,0)*0.475*44/12</f>
        <v>#N/A</v>
      </c>
      <c r="AV77" s="23" t="e">
        <f>EXP(-LN(2)/25)*AV76+(1-EXP(-LN(2)/25))/(LN(2)/25)*Calculateur!AQ77*Calculateur!AS77*VLOOKUP('Données projet'!$B$10,Paramètres!$A$1:$I$89,3,0)*0.475*44/12</f>
        <v>#N/A</v>
      </c>
      <c r="AW77" s="23" t="e">
        <f>EXP(-LN(2)/2)*AW76+(1-EXP(-LN(2)/2))/(LN(2)/2)*AQ77*AT77*VLOOKUP('Données projet'!$B$10,Paramètres!$A$1:$I$89,3,0)*0.475*44/12</f>
        <v>#N/A</v>
      </c>
      <c r="AX77" s="23" t="e">
        <f t="shared" si="60"/>
        <v>#N/A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 t="e">
        <f>BD77*VLOOKUP('Données projet'!$B$11,Paramètres!$A$1:$I$89,3,0)*VLOOKUP('Données projet'!$B$11,Paramètres!$A$1:$I$89,5,0)</f>
        <v>#N/A</v>
      </c>
      <c r="BF77" s="14" t="e">
        <f t="shared" si="91"/>
        <v>#N/A</v>
      </c>
      <c r="BG77" s="22" t="e">
        <f t="shared" si="61"/>
        <v>#N/A</v>
      </c>
      <c r="BH77" s="62" t="e">
        <f t="shared" si="62"/>
        <v>#N/A</v>
      </c>
      <c r="BI77" s="62" t="e">
        <f ca="1">AVERAGE(OFFSET($BH$3,0,0,'Données projet'!$E$11+1,1))-AVERAGE(OFFSET($H$3,0,0,'Données projet'!$E$11+1,1))</f>
        <v>#N/A</v>
      </c>
      <c r="BJ77" s="62" t="e">
        <f t="shared" si="92"/>
        <v>#N/A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 t="e">
        <f>EXP(-LN(2)/35)*BP76+(1-EXP(-LN(2)/35))/(LN(2)/35)*BL77*BM77*VLOOKUP('Données projet'!$B$11,Paramètres!$A$1:$I$89,3,0)*0.475*44/12</f>
        <v>#N/A</v>
      </c>
      <c r="BQ77" s="23" t="e">
        <f>EXP(-LN(2)/25)*BQ76+(1-EXP(-LN(2)/25))/(LN(2)/25)*Calculateur!BL77*Calculateur!BN77*VLOOKUP('Données projet'!$B$11,Paramètres!$A$1:$I$89,3,0)*0.475*44/12</f>
        <v>#N/A</v>
      </c>
      <c r="BR77" s="23" t="e">
        <f>EXP(-LN(2)/2)*BR76+(1-EXP(-LN(2)/2))/(LN(2)/2)*BL77*BO77*VLOOKUP('Données projet'!$B$11,Paramètres!$A$1:$I$89,3,0)*0.475*44/12</f>
        <v>#N/A</v>
      </c>
      <c r="BS77" s="24" t="e">
        <f t="shared" si="63"/>
        <v>#N/A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3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37.04999999999999</v>
      </c>
      <c r="D78" s="12">
        <f t="shared" si="86"/>
        <v>11.21329710493602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10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372.55878466968147</v>
      </c>
      <c r="H78" s="70">
        <f t="shared" si="56"/>
        <v>377.39190912443019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-1.1368683772161603E-13</v>
      </c>
      <c r="O78" s="14">
        <f>N78*VLOOKUP('Données projet'!$B$9,Paramètres!$A$1:$I$89,3,0)*VLOOKUP('Données projet'!$B$9,Paramètres!$A$1:$I$89,5,0)</f>
        <v>-6.7984728957526396E-14</v>
      </c>
      <c r="P78" s="14" t="e">
        <f t="shared" si="87"/>
        <v>#NUM!</v>
      </c>
      <c r="Q78" s="22" t="e">
        <f t="shared" si="54"/>
        <v>#NUM!</v>
      </c>
      <c r="R78" s="62" t="e">
        <f t="shared" si="55"/>
        <v>#NUM!</v>
      </c>
      <c r="S78" s="62">
        <f ca="1">AVERAGE(OFFSET($R$3,0,0,'Données projet'!$E$9+1,1))-AVERAGE(OFFSET($H$3,0,0,'Données projet'!$E$9+1,1))</f>
        <v>255.1976414275677</v>
      </c>
      <c r="T78" s="62">
        <f t="shared" si="88"/>
        <v>266.42714758321767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4.8020421680244754</v>
      </c>
      <c r="AA78" s="23">
        <f>EXP(-LN(2)/25)*AA77+(1-EXP(-LN(2)/25))/(LN(2)/25)*Calculateur!V78*Calculateur!X78*VLOOKUP('Données projet'!$B$9,Paramètres!$A$1:$I$89,3,0)*0.475*44/12</f>
        <v>3.7855493941443039</v>
      </c>
      <c r="AB78" s="23">
        <f>EXP(-LN(2)/2)*AB77+(1-EXP(-LN(2)/2))/(LN(2)/2)*V78*Y78*VLOOKUP('Données projet'!$B$9,Paramètres!$A$1:$I$89,3,0)*0.475*44/12</f>
        <v>1.0214309894397856E-6</v>
      </c>
      <c r="AC78" s="24">
        <f t="shared" si="57"/>
        <v>8.5875925835997684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0</v>
      </c>
      <c r="AJ78" s="14" t="e">
        <f>AI78*VLOOKUP('Données projet'!$B$10,Paramètres!$A$1:$I$89,3,0)*VLOOKUP('Données projet'!$B$10,Paramètres!$A$1:$I$89,5,0)</f>
        <v>#N/A</v>
      </c>
      <c r="AK78" s="14" t="e">
        <f t="shared" si="89"/>
        <v>#N/A</v>
      </c>
      <c r="AL78" s="22" t="e">
        <f t="shared" si="58"/>
        <v>#N/A</v>
      </c>
      <c r="AM78" s="62" t="e">
        <f t="shared" si="59"/>
        <v>#N/A</v>
      </c>
      <c r="AN78" s="62" t="e">
        <f ca="1">AVERAGE(OFFSET($AM$3,0,0,'Données projet'!$E$10+1,1))-AVERAGE(OFFSET($H$3,0,0,'Données projet'!$E$10+1,1))</f>
        <v>#N/A</v>
      </c>
      <c r="AO78" s="62" t="e">
        <f t="shared" si="90"/>
        <v>#N/A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 t="e">
        <f>EXP(-LN(2)/35)*AU77+(1-EXP(-LN(2)/35))/(LN(2)/35)*AQ78*AR78*VLOOKUP('Données projet'!$B$10,Paramètres!$A$1:$I$89,3,0)*0.475*44/12</f>
        <v>#N/A</v>
      </c>
      <c r="AV78" s="23" t="e">
        <f>EXP(-LN(2)/25)*AV77+(1-EXP(-LN(2)/25))/(LN(2)/25)*Calculateur!AQ78*Calculateur!AS78*VLOOKUP('Données projet'!$B$10,Paramètres!$A$1:$I$89,3,0)*0.475*44/12</f>
        <v>#N/A</v>
      </c>
      <c r="AW78" s="23" t="e">
        <f>EXP(-LN(2)/2)*AW77+(1-EXP(-LN(2)/2))/(LN(2)/2)*AQ78*AT78*VLOOKUP('Données projet'!$B$10,Paramètres!$A$1:$I$89,3,0)*0.475*44/12</f>
        <v>#N/A</v>
      </c>
      <c r="AX78" s="23" t="e">
        <f t="shared" si="60"/>
        <v>#N/A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 t="e">
        <f>BD78*VLOOKUP('Données projet'!$B$11,Paramètres!$A$1:$I$89,3,0)*VLOOKUP('Données projet'!$B$11,Paramètres!$A$1:$I$89,5,0)</f>
        <v>#N/A</v>
      </c>
      <c r="BF78" s="14" t="e">
        <f t="shared" si="91"/>
        <v>#N/A</v>
      </c>
      <c r="BG78" s="22" t="e">
        <f t="shared" si="61"/>
        <v>#N/A</v>
      </c>
      <c r="BH78" s="62" t="e">
        <f t="shared" si="62"/>
        <v>#N/A</v>
      </c>
      <c r="BI78" s="62" t="e">
        <f ca="1">AVERAGE(OFFSET($BH$3,0,0,'Données projet'!$E$11+1,1))-AVERAGE(OFFSET($H$3,0,0,'Données projet'!$E$11+1,1))</f>
        <v>#N/A</v>
      </c>
      <c r="BJ78" s="62" t="e">
        <f t="shared" si="92"/>
        <v>#N/A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 t="e">
        <f>EXP(-LN(2)/35)*BP77+(1-EXP(-LN(2)/35))/(LN(2)/35)*BL78*BM78*VLOOKUP('Données projet'!$B$11,Paramètres!$A$1:$I$89,3,0)*0.475*44/12</f>
        <v>#N/A</v>
      </c>
      <c r="BQ78" s="23" t="e">
        <f>EXP(-LN(2)/25)*BQ77+(1-EXP(-LN(2)/25))/(LN(2)/25)*Calculateur!BL78*Calculateur!BN78*VLOOKUP('Données projet'!$B$11,Paramètres!$A$1:$I$89,3,0)*0.475*44/12</f>
        <v>#N/A</v>
      </c>
      <c r="BR78" s="23" t="e">
        <f>EXP(-LN(2)/2)*BR77+(1-EXP(-LN(2)/2))/(LN(2)/2)*BL78*BO78*VLOOKUP('Données projet'!$B$11,Paramètres!$A$1:$I$89,3,0)*0.475*44/12</f>
        <v>#N/A</v>
      </c>
      <c r="BS78" s="24" t="e">
        <f t="shared" si="63"/>
        <v>#N/A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3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37.54399999999999</v>
      </c>
      <c r="D79" s="12">
        <f t="shared" si="86"/>
        <v>11.345302685504603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10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377.39110844950909</v>
      </c>
      <c r="H79" s="70">
        <f t="shared" si="56"/>
        <v>378.48220217725378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-1.1368683772161603E-13</v>
      </c>
      <c r="O79" s="14">
        <f>N79*VLOOKUP('Données projet'!$B$9,Paramètres!$A$1:$I$89,3,0)*VLOOKUP('Données projet'!$B$9,Paramètres!$A$1:$I$89,5,0)</f>
        <v>-6.7984728957526396E-14</v>
      </c>
      <c r="P79" s="14" t="e">
        <f t="shared" si="87"/>
        <v>#NUM!</v>
      </c>
      <c r="Q79" s="22" t="e">
        <f t="shared" si="54"/>
        <v>#NUM!</v>
      </c>
      <c r="R79" s="62" t="e">
        <f t="shared" si="55"/>
        <v>#NUM!</v>
      </c>
      <c r="S79" s="62">
        <f ca="1">AVERAGE(OFFSET($R$3,0,0,'Données projet'!$E$9+1,1))-AVERAGE(OFFSET($H$3,0,0,'Données projet'!$E$9+1,1))</f>
        <v>255.1976414275677</v>
      </c>
      <c r="T79" s="62">
        <f t="shared" si="88"/>
        <v>266.42714758321767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4.7078770500660276</v>
      </c>
      <c r="AA79" s="23">
        <f>EXP(-LN(2)/25)*AA78+(1-EXP(-LN(2)/25))/(LN(2)/25)*Calculateur!V79*Calculateur!X79*VLOOKUP('Données projet'!$B$9,Paramètres!$A$1:$I$89,3,0)*0.475*44/12</f>
        <v>3.6820333468880371</v>
      </c>
      <c r="AB79" s="23">
        <f>EXP(-LN(2)/2)*AB78+(1-EXP(-LN(2)/2))/(LN(2)/2)*V79*Y79*VLOOKUP('Données projet'!$B$9,Paramètres!$A$1:$I$89,3,0)*0.475*44/12</f>
        <v>7.2226077914695723E-7</v>
      </c>
      <c r="AC79" s="24">
        <f t="shared" si="57"/>
        <v>8.3899111192148439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0</v>
      </c>
      <c r="AJ79" s="14" t="e">
        <f>AI79*VLOOKUP('Données projet'!$B$10,Paramètres!$A$1:$I$89,3,0)*VLOOKUP('Données projet'!$B$10,Paramètres!$A$1:$I$89,5,0)</f>
        <v>#N/A</v>
      </c>
      <c r="AK79" s="14" t="e">
        <f t="shared" si="89"/>
        <v>#N/A</v>
      </c>
      <c r="AL79" s="22" t="e">
        <f t="shared" si="58"/>
        <v>#N/A</v>
      </c>
      <c r="AM79" s="62" t="e">
        <f t="shared" si="59"/>
        <v>#N/A</v>
      </c>
      <c r="AN79" s="62" t="e">
        <f ca="1">AVERAGE(OFFSET($AM$3,0,0,'Données projet'!$E$10+1,1))-AVERAGE(OFFSET($H$3,0,0,'Données projet'!$E$10+1,1))</f>
        <v>#N/A</v>
      </c>
      <c r="AO79" s="62" t="e">
        <f t="shared" si="90"/>
        <v>#N/A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 t="e">
        <f>EXP(-LN(2)/35)*AU78+(1-EXP(-LN(2)/35))/(LN(2)/35)*AQ79*AR79*VLOOKUP('Données projet'!$B$10,Paramètres!$A$1:$I$89,3,0)*0.475*44/12</f>
        <v>#N/A</v>
      </c>
      <c r="AV79" s="23" t="e">
        <f>EXP(-LN(2)/25)*AV78+(1-EXP(-LN(2)/25))/(LN(2)/25)*Calculateur!AQ79*Calculateur!AS79*VLOOKUP('Données projet'!$B$10,Paramètres!$A$1:$I$89,3,0)*0.475*44/12</f>
        <v>#N/A</v>
      </c>
      <c r="AW79" s="23" t="e">
        <f>EXP(-LN(2)/2)*AW78+(1-EXP(-LN(2)/2))/(LN(2)/2)*AQ79*AT79*VLOOKUP('Données projet'!$B$10,Paramètres!$A$1:$I$89,3,0)*0.475*44/12</f>
        <v>#N/A</v>
      </c>
      <c r="AX79" s="23" t="e">
        <f t="shared" si="60"/>
        <v>#N/A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 t="e">
        <f>BD79*VLOOKUP('Données projet'!$B$11,Paramètres!$A$1:$I$89,3,0)*VLOOKUP('Données projet'!$B$11,Paramètres!$A$1:$I$89,5,0)</f>
        <v>#N/A</v>
      </c>
      <c r="BF79" s="14" t="e">
        <f t="shared" si="91"/>
        <v>#N/A</v>
      </c>
      <c r="BG79" s="22" t="e">
        <f t="shared" si="61"/>
        <v>#N/A</v>
      </c>
      <c r="BH79" s="62" t="e">
        <f t="shared" si="62"/>
        <v>#N/A</v>
      </c>
      <c r="BI79" s="62" t="e">
        <f ca="1">AVERAGE(OFFSET($BH$3,0,0,'Données projet'!$E$11+1,1))-AVERAGE(OFFSET($H$3,0,0,'Données projet'!$E$11+1,1))</f>
        <v>#N/A</v>
      </c>
      <c r="BJ79" s="62" t="e">
        <f t="shared" si="92"/>
        <v>#N/A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 t="e">
        <f>EXP(-LN(2)/35)*BP78+(1-EXP(-LN(2)/35))/(LN(2)/35)*BL79*BM79*VLOOKUP('Données projet'!$B$11,Paramètres!$A$1:$I$89,3,0)*0.475*44/12</f>
        <v>#N/A</v>
      </c>
      <c r="BQ79" s="23" t="e">
        <f>EXP(-LN(2)/25)*BQ78+(1-EXP(-LN(2)/25))/(LN(2)/25)*Calculateur!BL79*Calculateur!BN79*VLOOKUP('Données projet'!$B$11,Paramètres!$A$1:$I$89,3,0)*0.475*44/12</f>
        <v>#N/A</v>
      </c>
      <c r="BR79" s="23" t="e">
        <f>EXP(-LN(2)/2)*BR78+(1-EXP(-LN(2)/2))/(LN(2)/2)*BL79*BO79*VLOOKUP('Données projet'!$B$11,Paramètres!$A$1:$I$89,3,0)*0.475*44/12</f>
        <v>#N/A</v>
      </c>
      <c r="BS79" s="24" t="e">
        <f t="shared" si="63"/>
        <v>#N/A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3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38.03799999999999</v>
      </c>
      <c r="D80" s="12">
        <f t="shared" si="86"/>
        <v>11.47710623768668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10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382.22187271196725</v>
      </c>
      <c r="H80" s="70">
        <f t="shared" si="56"/>
        <v>379.57214336397089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-1.1368683772161603E-13</v>
      </c>
      <c r="O80" s="14">
        <f>N80*VLOOKUP('Données projet'!$B$9,Paramètres!$A$1:$I$89,3,0)*VLOOKUP('Données projet'!$B$9,Paramètres!$A$1:$I$89,5,0)</f>
        <v>-6.7984728957526396E-14</v>
      </c>
      <c r="P80" s="14" t="e">
        <f t="shared" si="87"/>
        <v>#NUM!</v>
      </c>
      <c r="Q80" s="22" t="e">
        <f t="shared" si="54"/>
        <v>#NUM!</v>
      </c>
      <c r="R80" s="62" t="e">
        <f t="shared" si="55"/>
        <v>#NUM!</v>
      </c>
      <c r="S80" s="62">
        <f ca="1">AVERAGE(OFFSET($R$3,0,0,'Données projet'!$E$9+1,1))-AVERAGE(OFFSET($H$3,0,0,'Données projet'!$E$9+1,1))</f>
        <v>255.1976414275677</v>
      </c>
      <c r="T80" s="62">
        <f t="shared" si="88"/>
        <v>266.42714758321767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4.6155584526356943</v>
      </c>
      <c r="AA80" s="23">
        <f>EXP(-LN(2)/25)*AA79+(1-EXP(-LN(2)/25))/(LN(2)/25)*Calculateur!V80*Calculateur!X80*VLOOKUP('Données projet'!$B$9,Paramètres!$A$1:$I$89,3,0)*0.475*44/12</f>
        <v>3.5813479513876656</v>
      </c>
      <c r="AB80" s="23">
        <f>EXP(-LN(2)/2)*AB79+(1-EXP(-LN(2)/2))/(LN(2)/2)*V80*Y80*VLOOKUP('Données projet'!$B$9,Paramètres!$A$1:$I$89,3,0)*0.475*44/12</f>
        <v>5.107154947198928E-7</v>
      </c>
      <c r="AC80" s="24">
        <f t="shared" si="57"/>
        <v>8.1969069147388538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0</v>
      </c>
      <c r="AJ80" s="14" t="e">
        <f>AI80*VLOOKUP('Données projet'!$B$10,Paramètres!$A$1:$I$89,3,0)*VLOOKUP('Données projet'!$B$10,Paramètres!$A$1:$I$89,5,0)</f>
        <v>#N/A</v>
      </c>
      <c r="AK80" s="14" t="e">
        <f t="shared" si="89"/>
        <v>#N/A</v>
      </c>
      <c r="AL80" s="22" t="e">
        <f t="shared" si="58"/>
        <v>#N/A</v>
      </c>
      <c r="AM80" s="62" t="e">
        <f t="shared" si="59"/>
        <v>#N/A</v>
      </c>
      <c r="AN80" s="62" t="e">
        <f ca="1">AVERAGE(OFFSET($AM$3,0,0,'Données projet'!$E$10+1,1))-AVERAGE(OFFSET($H$3,0,0,'Données projet'!$E$10+1,1))</f>
        <v>#N/A</v>
      </c>
      <c r="AO80" s="62" t="e">
        <f t="shared" si="90"/>
        <v>#N/A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 t="e">
        <f>EXP(-LN(2)/35)*AU79+(1-EXP(-LN(2)/35))/(LN(2)/35)*AQ80*AR80*VLOOKUP('Données projet'!$B$10,Paramètres!$A$1:$I$89,3,0)*0.475*44/12</f>
        <v>#N/A</v>
      </c>
      <c r="AV80" s="23" t="e">
        <f>EXP(-LN(2)/25)*AV79+(1-EXP(-LN(2)/25))/(LN(2)/25)*Calculateur!AQ80*Calculateur!AS80*VLOOKUP('Données projet'!$B$10,Paramètres!$A$1:$I$89,3,0)*0.475*44/12</f>
        <v>#N/A</v>
      </c>
      <c r="AW80" s="23" t="e">
        <f>EXP(-LN(2)/2)*AW79+(1-EXP(-LN(2)/2))/(LN(2)/2)*AQ80*AT80*VLOOKUP('Données projet'!$B$10,Paramètres!$A$1:$I$89,3,0)*0.475*44/12</f>
        <v>#N/A</v>
      </c>
      <c r="AX80" s="23" t="e">
        <f t="shared" si="60"/>
        <v>#N/A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 t="e">
        <f>BD80*VLOOKUP('Données projet'!$B$11,Paramètres!$A$1:$I$89,3,0)*VLOOKUP('Données projet'!$B$11,Paramètres!$A$1:$I$89,5,0)</f>
        <v>#N/A</v>
      </c>
      <c r="BF80" s="14" t="e">
        <f t="shared" si="91"/>
        <v>#N/A</v>
      </c>
      <c r="BG80" s="22" t="e">
        <f t="shared" si="61"/>
        <v>#N/A</v>
      </c>
      <c r="BH80" s="62" t="e">
        <f t="shared" si="62"/>
        <v>#N/A</v>
      </c>
      <c r="BI80" s="62" t="e">
        <f ca="1">AVERAGE(OFFSET($BH$3,0,0,'Données projet'!$E$11+1,1))-AVERAGE(OFFSET($H$3,0,0,'Données projet'!$E$11+1,1))</f>
        <v>#N/A</v>
      </c>
      <c r="BJ80" s="62" t="e">
        <f t="shared" si="92"/>
        <v>#N/A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 t="e">
        <f>EXP(-LN(2)/35)*BP79+(1-EXP(-LN(2)/35))/(LN(2)/35)*BL80*BM80*VLOOKUP('Données projet'!$B$11,Paramètres!$A$1:$I$89,3,0)*0.475*44/12</f>
        <v>#N/A</v>
      </c>
      <c r="BQ80" s="23" t="e">
        <f>EXP(-LN(2)/25)*BQ79+(1-EXP(-LN(2)/25))/(LN(2)/25)*Calculateur!BL80*Calculateur!BN80*VLOOKUP('Données projet'!$B$11,Paramètres!$A$1:$I$89,3,0)*0.475*44/12</f>
        <v>#N/A</v>
      </c>
      <c r="BR80" s="23" t="e">
        <f>EXP(-LN(2)/2)*BR79+(1-EXP(-LN(2)/2))/(LN(2)/2)*BL80*BO80*VLOOKUP('Données projet'!$B$11,Paramètres!$A$1:$I$89,3,0)*0.475*44/12</f>
        <v>#N/A</v>
      </c>
      <c r="BS80" s="24" t="e">
        <f t="shared" si="63"/>
        <v>#N/A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3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38.531999999999989</v>
      </c>
      <c r="D81" s="12">
        <f t="shared" si="86"/>
        <v>11.60871068858415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10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387.05110005222849</v>
      </c>
      <c r="H81" s="70">
        <f t="shared" si="56"/>
        <v>380.66173778261737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-1.1368683772161603E-13</v>
      </c>
      <c r="O81" s="14">
        <f>N81*VLOOKUP('Données projet'!$B$9,Paramètres!$A$1:$I$89,3,0)*VLOOKUP('Données projet'!$B$9,Paramètres!$A$1:$I$89,5,0)</f>
        <v>-6.7984728957526396E-14</v>
      </c>
      <c r="P81" s="14" t="e">
        <f t="shared" si="87"/>
        <v>#NUM!</v>
      </c>
      <c r="Q81" s="22" t="e">
        <f t="shared" si="54"/>
        <v>#NUM!</v>
      </c>
      <c r="R81" s="62" t="e">
        <f t="shared" si="55"/>
        <v>#NUM!</v>
      </c>
      <c r="S81" s="62">
        <f ca="1">AVERAGE(OFFSET($R$3,0,0,'Données projet'!$E$9+1,1))-AVERAGE(OFFSET($H$3,0,0,'Données projet'!$E$9+1,1))</f>
        <v>255.1976414275677</v>
      </c>
      <c r="T81" s="62">
        <f t="shared" si="88"/>
        <v>266.42714758321767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4.5250501665921856</v>
      </c>
      <c r="AA81" s="23">
        <f>EXP(-LN(2)/25)*AA80+(1-EXP(-LN(2)/25))/(LN(2)/25)*Calculateur!V81*Calculateur!X81*VLOOKUP('Données projet'!$B$9,Paramètres!$A$1:$I$89,3,0)*0.475*44/12</f>
        <v>3.4834158033220666</v>
      </c>
      <c r="AB81" s="23">
        <f>EXP(-LN(2)/2)*AB80+(1-EXP(-LN(2)/2))/(LN(2)/2)*V81*Y81*VLOOKUP('Données projet'!$B$9,Paramètres!$A$1:$I$89,3,0)*0.475*44/12</f>
        <v>3.6113038957347861E-7</v>
      </c>
      <c r="AC81" s="24">
        <f t="shared" si="57"/>
        <v>8.0084663310446409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0</v>
      </c>
      <c r="AJ81" s="14" t="e">
        <f>AI81*VLOOKUP('Données projet'!$B$10,Paramètres!$A$1:$I$89,3,0)*VLOOKUP('Données projet'!$B$10,Paramètres!$A$1:$I$89,5,0)</f>
        <v>#N/A</v>
      </c>
      <c r="AK81" s="14" t="e">
        <f t="shared" si="89"/>
        <v>#N/A</v>
      </c>
      <c r="AL81" s="22" t="e">
        <f t="shared" si="58"/>
        <v>#N/A</v>
      </c>
      <c r="AM81" s="62" t="e">
        <f t="shared" si="59"/>
        <v>#N/A</v>
      </c>
      <c r="AN81" s="62" t="e">
        <f ca="1">AVERAGE(OFFSET($AM$3,0,0,'Données projet'!$E$10+1,1))-AVERAGE(OFFSET($H$3,0,0,'Données projet'!$E$10+1,1))</f>
        <v>#N/A</v>
      </c>
      <c r="AO81" s="62" t="e">
        <f t="shared" si="90"/>
        <v>#N/A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 t="e">
        <f>EXP(-LN(2)/35)*AU80+(1-EXP(-LN(2)/35))/(LN(2)/35)*AQ81*AR81*VLOOKUP('Données projet'!$B$10,Paramètres!$A$1:$I$89,3,0)*0.475*44/12</f>
        <v>#N/A</v>
      </c>
      <c r="AV81" s="23" t="e">
        <f>EXP(-LN(2)/25)*AV80+(1-EXP(-LN(2)/25))/(LN(2)/25)*Calculateur!AQ81*Calculateur!AS81*VLOOKUP('Données projet'!$B$10,Paramètres!$A$1:$I$89,3,0)*0.475*44/12</f>
        <v>#N/A</v>
      </c>
      <c r="AW81" s="23" t="e">
        <f>EXP(-LN(2)/2)*AW80+(1-EXP(-LN(2)/2))/(LN(2)/2)*AQ81*AT81*VLOOKUP('Données projet'!$B$10,Paramètres!$A$1:$I$89,3,0)*0.475*44/12</f>
        <v>#N/A</v>
      </c>
      <c r="AX81" s="23" t="e">
        <f t="shared" si="60"/>
        <v>#N/A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 t="e">
        <f>BD81*VLOOKUP('Données projet'!$B$11,Paramètres!$A$1:$I$89,3,0)*VLOOKUP('Données projet'!$B$11,Paramètres!$A$1:$I$89,5,0)</f>
        <v>#N/A</v>
      </c>
      <c r="BF81" s="14" t="e">
        <f t="shared" si="91"/>
        <v>#N/A</v>
      </c>
      <c r="BG81" s="22" t="e">
        <f t="shared" si="61"/>
        <v>#N/A</v>
      </c>
      <c r="BH81" s="62" t="e">
        <f t="shared" si="62"/>
        <v>#N/A</v>
      </c>
      <c r="BI81" s="62" t="e">
        <f ca="1">AVERAGE(OFFSET($BH$3,0,0,'Données projet'!$E$11+1,1))-AVERAGE(OFFSET($H$3,0,0,'Données projet'!$E$11+1,1))</f>
        <v>#N/A</v>
      </c>
      <c r="BJ81" s="62" t="e">
        <f t="shared" si="92"/>
        <v>#N/A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 t="e">
        <f>EXP(-LN(2)/35)*BP80+(1-EXP(-LN(2)/35))/(LN(2)/35)*BL81*BM81*VLOOKUP('Données projet'!$B$11,Paramètres!$A$1:$I$89,3,0)*0.475*44/12</f>
        <v>#N/A</v>
      </c>
      <c r="BQ81" s="23" t="e">
        <f>EXP(-LN(2)/25)*BQ80+(1-EXP(-LN(2)/25))/(LN(2)/25)*Calculateur!BL81*Calculateur!BN81*VLOOKUP('Données projet'!$B$11,Paramètres!$A$1:$I$89,3,0)*0.475*44/12</f>
        <v>#N/A</v>
      </c>
      <c r="BR81" s="23" t="e">
        <f>EXP(-LN(2)/2)*BR80+(1-EXP(-LN(2)/2))/(LN(2)/2)*BL81*BO81*VLOOKUP('Données projet'!$B$11,Paramètres!$A$1:$I$89,3,0)*0.475*44/12</f>
        <v>#N/A</v>
      </c>
      <c r="BS81" s="24" t="e">
        <f t="shared" si="63"/>
        <v>#N/A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3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39.025999999999989</v>
      </c>
      <c r="D82" s="12">
        <f t="shared" si="86"/>
        <v>11.740118885929625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10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391.87881245279004</v>
      </c>
      <c r="H82" s="70">
        <f t="shared" si="56"/>
        <v>381.75099039299408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-1.1368683772161603E-13</v>
      </c>
      <c r="O82" s="14">
        <f>N82*VLOOKUP('Données projet'!$B$9,Paramètres!$A$1:$I$89,3,0)*VLOOKUP('Données projet'!$B$9,Paramètres!$A$1:$I$89,5,0)</f>
        <v>-6.7984728957526396E-14</v>
      </c>
      <c r="P82" s="14" t="e">
        <f t="shared" si="87"/>
        <v>#NUM!</v>
      </c>
      <c r="Q82" s="22" t="e">
        <f t="shared" si="54"/>
        <v>#NUM!</v>
      </c>
      <c r="R82" s="62" t="e">
        <f t="shared" si="55"/>
        <v>#NUM!</v>
      </c>
      <c r="S82" s="62">
        <f ca="1">AVERAGE(OFFSET($R$3,0,0,'Données projet'!$E$9+1,1))-AVERAGE(OFFSET($H$3,0,0,'Données projet'!$E$9+1,1))</f>
        <v>255.1976414275677</v>
      </c>
      <c r="T82" s="62">
        <f t="shared" si="88"/>
        <v>266.42714758321767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4.4363166928333859</v>
      </c>
      <c r="AA82" s="23">
        <f>EXP(-LN(2)/25)*AA81+(1-EXP(-LN(2)/25))/(LN(2)/25)*Calculateur!V82*Calculateur!X82*VLOOKUP('Données projet'!$B$9,Paramètres!$A$1:$I$89,3,0)*0.475*44/12</f>
        <v>3.3881616149953491</v>
      </c>
      <c r="AB82" s="23">
        <f>EXP(-LN(2)/2)*AB81+(1-EXP(-LN(2)/2))/(LN(2)/2)*V82*Y82*VLOOKUP('Données projet'!$B$9,Paramètres!$A$1:$I$89,3,0)*0.475*44/12</f>
        <v>2.553577473599464E-7</v>
      </c>
      <c r="AC82" s="24">
        <f t="shared" si="57"/>
        <v>7.8244785631864824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0</v>
      </c>
      <c r="AJ82" s="14" t="e">
        <f>AI82*VLOOKUP('Données projet'!$B$10,Paramètres!$A$1:$I$89,3,0)*VLOOKUP('Données projet'!$B$10,Paramètres!$A$1:$I$89,5,0)</f>
        <v>#N/A</v>
      </c>
      <c r="AK82" s="14" t="e">
        <f t="shared" si="89"/>
        <v>#N/A</v>
      </c>
      <c r="AL82" s="22" t="e">
        <f t="shared" si="58"/>
        <v>#N/A</v>
      </c>
      <c r="AM82" s="62" t="e">
        <f t="shared" si="59"/>
        <v>#N/A</v>
      </c>
      <c r="AN82" s="62" t="e">
        <f ca="1">AVERAGE(OFFSET($AM$3,0,0,'Données projet'!$E$10+1,1))-AVERAGE(OFFSET($H$3,0,0,'Données projet'!$E$10+1,1))</f>
        <v>#N/A</v>
      </c>
      <c r="AO82" s="62" t="e">
        <f t="shared" si="90"/>
        <v>#N/A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 t="e">
        <f>EXP(-LN(2)/35)*AU81+(1-EXP(-LN(2)/35))/(LN(2)/35)*AQ82*AR82*VLOOKUP('Données projet'!$B$10,Paramètres!$A$1:$I$89,3,0)*0.475*44/12</f>
        <v>#N/A</v>
      </c>
      <c r="AV82" s="23" t="e">
        <f>EXP(-LN(2)/25)*AV81+(1-EXP(-LN(2)/25))/(LN(2)/25)*Calculateur!AQ82*Calculateur!AS82*VLOOKUP('Données projet'!$B$10,Paramètres!$A$1:$I$89,3,0)*0.475*44/12</f>
        <v>#N/A</v>
      </c>
      <c r="AW82" s="23" t="e">
        <f>EXP(-LN(2)/2)*AW81+(1-EXP(-LN(2)/2))/(LN(2)/2)*AQ82*AT82*VLOOKUP('Données projet'!$B$10,Paramètres!$A$1:$I$89,3,0)*0.475*44/12</f>
        <v>#N/A</v>
      </c>
      <c r="AX82" s="23" t="e">
        <f t="shared" si="60"/>
        <v>#N/A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 t="e">
        <f>BD82*VLOOKUP('Données projet'!$B$11,Paramètres!$A$1:$I$89,3,0)*VLOOKUP('Données projet'!$B$11,Paramètres!$A$1:$I$89,5,0)</f>
        <v>#N/A</v>
      </c>
      <c r="BF82" s="14" t="e">
        <f t="shared" si="91"/>
        <v>#N/A</v>
      </c>
      <c r="BG82" s="22" t="e">
        <f t="shared" si="61"/>
        <v>#N/A</v>
      </c>
      <c r="BH82" s="62" t="e">
        <f t="shared" si="62"/>
        <v>#N/A</v>
      </c>
      <c r="BI82" s="62" t="e">
        <f ca="1">AVERAGE(OFFSET($BH$3,0,0,'Données projet'!$E$11+1,1))-AVERAGE(OFFSET($H$3,0,0,'Données projet'!$E$11+1,1))</f>
        <v>#N/A</v>
      </c>
      <c r="BJ82" s="62" t="e">
        <f t="shared" si="92"/>
        <v>#N/A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 t="e">
        <f>EXP(-LN(2)/35)*BP81+(1-EXP(-LN(2)/35))/(LN(2)/35)*BL82*BM82*VLOOKUP('Données projet'!$B$11,Paramètres!$A$1:$I$89,3,0)*0.475*44/12</f>
        <v>#N/A</v>
      </c>
      <c r="BQ82" s="23" t="e">
        <f>EXP(-LN(2)/25)*BQ81+(1-EXP(-LN(2)/25))/(LN(2)/25)*Calculateur!BL82*Calculateur!BN82*VLOOKUP('Données projet'!$B$11,Paramètres!$A$1:$I$89,3,0)*0.475*44/12</f>
        <v>#N/A</v>
      </c>
      <c r="BR82" s="23" t="e">
        <f>EXP(-LN(2)/2)*BR81+(1-EXP(-LN(2)/2))/(LN(2)/2)*BL82*BO82*VLOOKUP('Données projet'!$B$11,Paramètres!$A$1:$I$89,3,0)*0.475*44/12</f>
        <v>#N/A</v>
      </c>
      <c r="BS82" s="24" t="e">
        <f t="shared" si="63"/>
        <v>#N/A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3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39.519999999999989</v>
      </c>
      <c r="D83" s="12">
        <f t="shared" si="86"/>
        <v>11.87133360121544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10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396.70503130762791</v>
      </c>
      <c r="H83" s="70">
        <f t="shared" si="56"/>
        <v>382.83990602211685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-1.1368683772161603E-13</v>
      </c>
      <c r="O83" s="14">
        <f>N83*VLOOKUP('Données projet'!$B$9,Paramètres!$A$1:$I$89,3,0)*VLOOKUP('Données projet'!$B$9,Paramètres!$A$1:$I$89,5,0)</f>
        <v>-6.7984728957526396E-14</v>
      </c>
      <c r="P83" s="14" t="e">
        <f t="shared" si="87"/>
        <v>#NUM!</v>
      </c>
      <c r="Q83" s="22" t="e">
        <f t="shared" si="54"/>
        <v>#NUM!</v>
      </c>
      <c r="R83" s="62" t="e">
        <f t="shared" si="55"/>
        <v>#NUM!</v>
      </c>
      <c r="S83" s="62">
        <f ca="1">AVERAGE(OFFSET($R$3,0,0,'Données projet'!$E$9+1,1))-AVERAGE(OFFSET($H$3,0,0,'Données projet'!$E$9+1,1))</f>
        <v>255.1976414275677</v>
      </c>
      <c r="T83" s="62">
        <f t="shared" si="88"/>
        <v>266.42714758321767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4.3493232283729215</v>
      </c>
      <c r="AA83" s="23">
        <f>EXP(-LN(2)/25)*AA82+(1-EXP(-LN(2)/25))/(LN(2)/25)*Calculateur!V83*Calculateur!X83*VLOOKUP('Données projet'!$B$9,Paramètres!$A$1:$I$89,3,0)*0.475*44/12</f>
        <v>3.2955121574576256</v>
      </c>
      <c r="AB83" s="23">
        <f>EXP(-LN(2)/2)*AB82+(1-EXP(-LN(2)/2))/(LN(2)/2)*V83*Y83*VLOOKUP('Données projet'!$B$9,Paramètres!$A$1:$I$89,3,0)*0.475*44/12</f>
        <v>1.8056519478673931E-7</v>
      </c>
      <c r="AC83" s="24">
        <f t="shared" si="57"/>
        <v>7.6448355663957415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0</v>
      </c>
      <c r="AJ83" s="14" t="e">
        <f>AI83*VLOOKUP('Données projet'!$B$10,Paramètres!$A$1:$I$89,3,0)*VLOOKUP('Données projet'!$B$10,Paramètres!$A$1:$I$89,5,0)</f>
        <v>#N/A</v>
      </c>
      <c r="AK83" s="14" t="e">
        <f t="shared" si="89"/>
        <v>#N/A</v>
      </c>
      <c r="AL83" s="22" t="e">
        <f t="shared" si="58"/>
        <v>#N/A</v>
      </c>
      <c r="AM83" s="62" t="e">
        <f t="shared" si="59"/>
        <v>#N/A</v>
      </c>
      <c r="AN83" s="62" t="e">
        <f ca="1">AVERAGE(OFFSET($AM$3,0,0,'Données projet'!$E$10+1,1))-AVERAGE(OFFSET($H$3,0,0,'Données projet'!$E$10+1,1))</f>
        <v>#N/A</v>
      </c>
      <c r="AO83" s="62" t="e">
        <f t="shared" si="90"/>
        <v>#N/A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 t="e">
        <f>EXP(-LN(2)/35)*AU82+(1-EXP(-LN(2)/35))/(LN(2)/35)*AQ83*AR83*VLOOKUP('Données projet'!$B$10,Paramètres!$A$1:$I$89,3,0)*0.475*44/12</f>
        <v>#N/A</v>
      </c>
      <c r="AV83" s="23" t="e">
        <f>EXP(-LN(2)/25)*AV82+(1-EXP(-LN(2)/25))/(LN(2)/25)*Calculateur!AQ83*Calculateur!AS83*VLOOKUP('Données projet'!$B$10,Paramètres!$A$1:$I$89,3,0)*0.475*44/12</f>
        <v>#N/A</v>
      </c>
      <c r="AW83" s="23" t="e">
        <f>EXP(-LN(2)/2)*AW82+(1-EXP(-LN(2)/2))/(LN(2)/2)*AQ83*AT83*VLOOKUP('Données projet'!$B$10,Paramètres!$A$1:$I$89,3,0)*0.475*44/12</f>
        <v>#N/A</v>
      </c>
      <c r="AX83" s="23" t="e">
        <f t="shared" si="60"/>
        <v>#N/A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 t="e">
        <f>BD83*VLOOKUP('Données projet'!$B$11,Paramètres!$A$1:$I$89,3,0)*VLOOKUP('Données projet'!$B$11,Paramètres!$A$1:$I$89,5,0)</f>
        <v>#N/A</v>
      </c>
      <c r="BF83" s="14" t="e">
        <f t="shared" si="91"/>
        <v>#N/A</v>
      </c>
      <c r="BG83" s="22" t="e">
        <f t="shared" si="61"/>
        <v>#N/A</v>
      </c>
      <c r="BH83" s="62" t="e">
        <f t="shared" si="62"/>
        <v>#N/A</v>
      </c>
      <c r="BI83" s="62" t="e">
        <f ca="1">AVERAGE(OFFSET($BH$3,0,0,'Données projet'!$E$11+1,1))-AVERAGE(OFFSET($H$3,0,0,'Données projet'!$E$11+1,1))</f>
        <v>#N/A</v>
      </c>
      <c r="BJ83" s="62" t="e">
        <f t="shared" si="92"/>
        <v>#N/A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 t="e">
        <f>EXP(-LN(2)/35)*BP82+(1-EXP(-LN(2)/35))/(LN(2)/35)*BL83*BM83*VLOOKUP('Données projet'!$B$11,Paramètres!$A$1:$I$89,3,0)*0.475*44/12</f>
        <v>#N/A</v>
      </c>
      <c r="BQ83" s="23" t="e">
        <f>EXP(-LN(2)/25)*BQ82+(1-EXP(-LN(2)/25))/(LN(2)/25)*Calculateur!BL83*Calculateur!BN83*VLOOKUP('Données projet'!$B$11,Paramètres!$A$1:$I$89,3,0)*0.475*44/12</f>
        <v>#N/A</v>
      </c>
      <c r="BR83" s="23" t="e">
        <f>EXP(-LN(2)/2)*BR82+(1-EXP(-LN(2)/2))/(LN(2)/2)*BL83*BO83*VLOOKUP('Données projet'!$B$11,Paramètres!$A$1:$I$89,3,0)*0.475*44/12</f>
        <v>#N/A</v>
      </c>
      <c r="BS83" s="24" t="e">
        <f t="shared" si="63"/>
        <v>#N/A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3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40.013999999999989</v>
      </c>
      <c r="D84" s="12">
        <f t="shared" si="86"/>
        <v>12.002357532661732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10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401.52977744510804</v>
      </c>
      <c r="H84" s="70">
        <f t="shared" si="56"/>
        <v>383.92848936938583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-1.1368683772161603E-13</v>
      </c>
      <c r="O84" s="14">
        <f>N84*VLOOKUP('Données projet'!$B$9,Paramètres!$A$1:$I$89,3,0)*VLOOKUP('Données projet'!$B$9,Paramètres!$A$1:$I$89,5,0)</f>
        <v>-6.7984728957526396E-14</v>
      </c>
      <c r="P84" s="14" t="e">
        <f t="shared" si="87"/>
        <v>#NUM!</v>
      </c>
      <c r="Q84" s="22" t="e">
        <f t="shared" si="54"/>
        <v>#NUM!</v>
      </c>
      <c r="R84" s="62" t="e">
        <f t="shared" si="55"/>
        <v>#NUM!</v>
      </c>
      <c r="S84" s="62">
        <f ca="1">AVERAGE(OFFSET($R$3,0,0,'Données projet'!$E$9+1,1))-AVERAGE(OFFSET($H$3,0,0,'Données projet'!$E$9+1,1))</f>
        <v>255.1976414275677</v>
      </c>
      <c r="T84" s="62">
        <f t="shared" si="88"/>
        <v>266.42714758321767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4.2640356526897527</v>
      </c>
      <c r="AA84" s="23">
        <f>EXP(-LN(2)/25)*AA83+(1-EXP(-LN(2)/25))/(LN(2)/25)*Calculateur!V84*Calculateur!X84*VLOOKUP('Données projet'!$B$9,Paramètres!$A$1:$I$89,3,0)*0.475*44/12</f>
        <v>3.2053962042084945</v>
      </c>
      <c r="AB84" s="23">
        <f>EXP(-LN(2)/2)*AB83+(1-EXP(-LN(2)/2))/(LN(2)/2)*V84*Y84*VLOOKUP('Données projet'!$B$9,Paramètres!$A$1:$I$89,3,0)*0.475*44/12</f>
        <v>1.276788736799732E-7</v>
      </c>
      <c r="AC84" s="24">
        <f t="shared" si="57"/>
        <v>7.4694319845771204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0</v>
      </c>
      <c r="AJ84" s="14" t="e">
        <f>AI84*VLOOKUP('Données projet'!$B$10,Paramètres!$A$1:$I$89,3,0)*VLOOKUP('Données projet'!$B$10,Paramètres!$A$1:$I$89,5,0)</f>
        <v>#N/A</v>
      </c>
      <c r="AK84" s="14" t="e">
        <f t="shared" si="89"/>
        <v>#N/A</v>
      </c>
      <c r="AL84" s="22" t="e">
        <f t="shared" si="58"/>
        <v>#N/A</v>
      </c>
      <c r="AM84" s="62" t="e">
        <f t="shared" si="59"/>
        <v>#N/A</v>
      </c>
      <c r="AN84" s="62" t="e">
        <f ca="1">AVERAGE(OFFSET($AM$3,0,0,'Données projet'!$E$10+1,1))-AVERAGE(OFFSET($H$3,0,0,'Données projet'!$E$10+1,1))</f>
        <v>#N/A</v>
      </c>
      <c r="AO84" s="62" t="e">
        <f t="shared" si="90"/>
        <v>#N/A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 t="e">
        <f>EXP(-LN(2)/35)*AU83+(1-EXP(-LN(2)/35))/(LN(2)/35)*AQ84*AR84*VLOOKUP('Données projet'!$B$10,Paramètres!$A$1:$I$89,3,0)*0.475*44/12</f>
        <v>#N/A</v>
      </c>
      <c r="AV84" s="23" t="e">
        <f>EXP(-LN(2)/25)*AV83+(1-EXP(-LN(2)/25))/(LN(2)/25)*Calculateur!AQ84*Calculateur!AS84*VLOOKUP('Données projet'!$B$10,Paramètres!$A$1:$I$89,3,0)*0.475*44/12</f>
        <v>#N/A</v>
      </c>
      <c r="AW84" s="23" t="e">
        <f>EXP(-LN(2)/2)*AW83+(1-EXP(-LN(2)/2))/(LN(2)/2)*AQ84*AT84*VLOOKUP('Données projet'!$B$10,Paramètres!$A$1:$I$89,3,0)*0.475*44/12</f>
        <v>#N/A</v>
      </c>
      <c r="AX84" s="23" t="e">
        <f t="shared" si="60"/>
        <v>#N/A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 t="e">
        <f>BD84*VLOOKUP('Données projet'!$B$11,Paramètres!$A$1:$I$89,3,0)*VLOOKUP('Données projet'!$B$11,Paramètres!$A$1:$I$89,5,0)</f>
        <v>#N/A</v>
      </c>
      <c r="BF84" s="14" t="e">
        <f t="shared" si="91"/>
        <v>#N/A</v>
      </c>
      <c r="BG84" s="22" t="e">
        <f t="shared" si="61"/>
        <v>#N/A</v>
      </c>
      <c r="BH84" s="62" t="e">
        <f t="shared" si="62"/>
        <v>#N/A</v>
      </c>
      <c r="BI84" s="62" t="e">
        <f ca="1">AVERAGE(OFFSET($BH$3,0,0,'Données projet'!$E$11+1,1))-AVERAGE(OFFSET($H$3,0,0,'Données projet'!$E$11+1,1))</f>
        <v>#N/A</v>
      </c>
      <c r="BJ84" s="62" t="e">
        <f t="shared" si="92"/>
        <v>#N/A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 t="e">
        <f>EXP(-LN(2)/35)*BP83+(1-EXP(-LN(2)/35))/(LN(2)/35)*BL84*BM84*VLOOKUP('Données projet'!$B$11,Paramètres!$A$1:$I$89,3,0)*0.475*44/12</f>
        <v>#N/A</v>
      </c>
      <c r="BQ84" s="23" t="e">
        <f>EXP(-LN(2)/25)*BQ83+(1-EXP(-LN(2)/25))/(LN(2)/25)*Calculateur!BL84*Calculateur!BN84*VLOOKUP('Données projet'!$B$11,Paramètres!$A$1:$I$89,3,0)*0.475*44/12</f>
        <v>#N/A</v>
      </c>
      <c r="BR84" s="23" t="e">
        <f>EXP(-LN(2)/2)*BR83+(1-EXP(-LN(2)/2))/(LN(2)/2)*BL84*BO84*VLOOKUP('Données projet'!$B$11,Paramètres!$A$1:$I$89,3,0)*0.475*44/12</f>
        <v>#N/A</v>
      </c>
      <c r="BS84" s="24" t="e">
        <f t="shared" si="63"/>
        <v>#N/A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3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40.507999999999988</v>
      </c>
      <c r="D85" s="12">
        <f t="shared" si="86"/>
        <v>12.133193308033777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10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406.35307114973438</v>
      </c>
      <c r="H85" s="70">
        <f t="shared" si="56"/>
        <v>385.01674501149211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-1.1368683772161603E-13</v>
      </c>
      <c r="O85" s="14">
        <f>N85*VLOOKUP('Données projet'!$B$9,Paramètres!$A$1:$I$89,3,0)*VLOOKUP('Données projet'!$B$9,Paramètres!$A$1:$I$89,5,0)</f>
        <v>-6.7984728957526396E-14</v>
      </c>
      <c r="P85" s="14" t="e">
        <f t="shared" si="87"/>
        <v>#NUM!</v>
      </c>
      <c r="Q85" s="22" t="e">
        <f t="shared" si="54"/>
        <v>#NUM!</v>
      </c>
      <c r="R85" s="62" t="e">
        <f t="shared" si="55"/>
        <v>#NUM!</v>
      </c>
      <c r="S85" s="62">
        <f ca="1">AVERAGE(OFFSET($R$3,0,0,'Données projet'!$E$9+1,1))-AVERAGE(OFFSET($H$3,0,0,'Données projet'!$E$9+1,1))</f>
        <v>255.1976414275677</v>
      </c>
      <c r="T85" s="62">
        <f t="shared" si="88"/>
        <v>266.42714758321767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4.1804205143454469</v>
      </c>
      <c r="AA85" s="23">
        <f>EXP(-LN(2)/25)*AA84+(1-EXP(-LN(2)/25))/(LN(2)/25)*Calculateur!V85*Calculateur!X85*VLOOKUP('Données projet'!$B$9,Paramètres!$A$1:$I$89,3,0)*0.475*44/12</f>
        <v>3.1177444764399529</v>
      </c>
      <c r="AB85" s="23">
        <f>EXP(-LN(2)/2)*AB84+(1-EXP(-LN(2)/2))/(LN(2)/2)*V85*Y85*VLOOKUP('Données projet'!$B$9,Paramètres!$A$1:$I$89,3,0)*0.475*44/12</f>
        <v>9.0282597393369654E-8</v>
      </c>
      <c r="AC85" s="24">
        <f t="shared" si="57"/>
        <v>7.2981650810679977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0</v>
      </c>
      <c r="AJ85" s="14" t="e">
        <f>AI85*VLOOKUP('Données projet'!$B$10,Paramètres!$A$1:$I$89,3,0)*VLOOKUP('Données projet'!$B$10,Paramètres!$A$1:$I$89,5,0)</f>
        <v>#N/A</v>
      </c>
      <c r="AK85" s="14" t="e">
        <f t="shared" si="89"/>
        <v>#N/A</v>
      </c>
      <c r="AL85" s="22" t="e">
        <f t="shared" si="58"/>
        <v>#N/A</v>
      </c>
      <c r="AM85" s="62" t="e">
        <f t="shared" si="59"/>
        <v>#N/A</v>
      </c>
      <c r="AN85" s="62" t="e">
        <f ca="1">AVERAGE(OFFSET($AM$3,0,0,'Données projet'!$E$10+1,1))-AVERAGE(OFFSET($H$3,0,0,'Données projet'!$E$10+1,1))</f>
        <v>#N/A</v>
      </c>
      <c r="AO85" s="62" t="e">
        <f t="shared" si="90"/>
        <v>#N/A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 t="e">
        <f>EXP(-LN(2)/35)*AU84+(1-EXP(-LN(2)/35))/(LN(2)/35)*AQ85*AR85*VLOOKUP('Données projet'!$B$10,Paramètres!$A$1:$I$89,3,0)*0.475*44/12</f>
        <v>#N/A</v>
      </c>
      <c r="AV85" s="23" t="e">
        <f>EXP(-LN(2)/25)*AV84+(1-EXP(-LN(2)/25))/(LN(2)/25)*Calculateur!AQ85*Calculateur!AS85*VLOOKUP('Données projet'!$B$10,Paramètres!$A$1:$I$89,3,0)*0.475*44/12</f>
        <v>#N/A</v>
      </c>
      <c r="AW85" s="23" t="e">
        <f>EXP(-LN(2)/2)*AW84+(1-EXP(-LN(2)/2))/(LN(2)/2)*AQ85*AT85*VLOOKUP('Données projet'!$B$10,Paramètres!$A$1:$I$89,3,0)*0.475*44/12</f>
        <v>#N/A</v>
      </c>
      <c r="AX85" s="23" t="e">
        <f t="shared" si="60"/>
        <v>#N/A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 t="e">
        <f>BD85*VLOOKUP('Données projet'!$B$11,Paramètres!$A$1:$I$89,3,0)*VLOOKUP('Données projet'!$B$11,Paramètres!$A$1:$I$89,5,0)</f>
        <v>#N/A</v>
      </c>
      <c r="BF85" s="14" t="e">
        <f t="shared" si="91"/>
        <v>#N/A</v>
      </c>
      <c r="BG85" s="22" t="e">
        <f t="shared" si="61"/>
        <v>#N/A</v>
      </c>
      <c r="BH85" s="62" t="e">
        <f t="shared" si="62"/>
        <v>#N/A</v>
      </c>
      <c r="BI85" s="62" t="e">
        <f ca="1">AVERAGE(OFFSET($BH$3,0,0,'Données projet'!$E$11+1,1))-AVERAGE(OFFSET($H$3,0,0,'Données projet'!$E$11+1,1))</f>
        <v>#N/A</v>
      </c>
      <c r="BJ85" s="62" t="e">
        <f t="shared" si="92"/>
        <v>#N/A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 t="e">
        <f>EXP(-LN(2)/35)*BP84+(1-EXP(-LN(2)/35))/(LN(2)/35)*BL85*BM85*VLOOKUP('Données projet'!$B$11,Paramètres!$A$1:$I$89,3,0)*0.475*44/12</f>
        <v>#N/A</v>
      </c>
      <c r="BQ85" s="23" t="e">
        <f>EXP(-LN(2)/25)*BQ84+(1-EXP(-LN(2)/25))/(LN(2)/25)*Calculateur!BL85*Calculateur!BN85*VLOOKUP('Données projet'!$B$11,Paramètres!$A$1:$I$89,3,0)*0.475*44/12</f>
        <v>#N/A</v>
      </c>
      <c r="BR85" s="23" t="e">
        <f>EXP(-LN(2)/2)*BR84+(1-EXP(-LN(2)/2))/(LN(2)/2)*BL85*BO85*VLOOKUP('Données projet'!$B$11,Paramètres!$A$1:$I$89,3,0)*0.475*44/12</f>
        <v>#N/A</v>
      </c>
      <c r="BS85" s="24" t="e">
        <f t="shared" si="63"/>
        <v>#N/A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3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41.001999999999988</v>
      </c>
      <c r="D86" s="12">
        <f t="shared" si="86"/>
        <v>12.263843487317986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10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411.17493218280543</v>
      </c>
      <c r="H86" s="70">
        <f t="shared" si="56"/>
        <v>386.10467740707878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-1.1368683772161603E-13</v>
      </c>
      <c r="O86" s="14">
        <f>N86*VLOOKUP('Données projet'!$B$9,Paramètres!$A$1:$I$89,3,0)*VLOOKUP('Données projet'!$B$9,Paramètres!$A$1:$I$89,5,0)</f>
        <v>-6.7984728957526396E-14</v>
      </c>
      <c r="P86" s="14" t="e">
        <f t="shared" si="87"/>
        <v>#NUM!</v>
      </c>
      <c r="Q86" s="22" t="e">
        <f t="shared" si="54"/>
        <v>#NUM!</v>
      </c>
      <c r="R86" s="62" t="e">
        <f t="shared" si="55"/>
        <v>#NUM!</v>
      </c>
      <c r="S86" s="62">
        <f ca="1">AVERAGE(OFFSET($R$3,0,0,'Données projet'!$E$9+1,1))-AVERAGE(OFFSET($H$3,0,0,'Données projet'!$E$9+1,1))</f>
        <v>255.1976414275677</v>
      </c>
      <c r="T86" s="62">
        <f t="shared" si="88"/>
        <v>266.42714758321767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4.0984450178638738</v>
      </c>
      <c r="AA86" s="23">
        <f>EXP(-LN(2)/25)*AA85+(1-EXP(-LN(2)/25))/(LN(2)/25)*Calculateur!V86*Calculateur!X86*VLOOKUP('Données projet'!$B$9,Paramètres!$A$1:$I$89,3,0)*0.475*44/12</f>
        <v>3.0324895897766462</v>
      </c>
      <c r="AB86" s="23">
        <f>EXP(-LN(2)/2)*AB85+(1-EXP(-LN(2)/2))/(LN(2)/2)*V86*Y86*VLOOKUP('Données projet'!$B$9,Paramètres!$A$1:$I$89,3,0)*0.475*44/12</f>
        <v>6.3839436839986599E-8</v>
      </c>
      <c r="AC86" s="24">
        <f t="shared" si="57"/>
        <v>7.1309346714799569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0</v>
      </c>
      <c r="AJ86" s="14" t="e">
        <f>AI86*VLOOKUP('Données projet'!$B$10,Paramètres!$A$1:$I$89,3,0)*VLOOKUP('Données projet'!$B$10,Paramètres!$A$1:$I$89,5,0)</f>
        <v>#N/A</v>
      </c>
      <c r="AK86" s="14" t="e">
        <f t="shared" si="89"/>
        <v>#N/A</v>
      </c>
      <c r="AL86" s="22" t="e">
        <f t="shared" si="58"/>
        <v>#N/A</v>
      </c>
      <c r="AM86" s="62" t="e">
        <f t="shared" si="59"/>
        <v>#N/A</v>
      </c>
      <c r="AN86" s="62" t="e">
        <f ca="1">AVERAGE(OFFSET($AM$3,0,0,'Données projet'!$E$10+1,1))-AVERAGE(OFFSET($H$3,0,0,'Données projet'!$E$10+1,1))</f>
        <v>#N/A</v>
      </c>
      <c r="AO86" s="62" t="e">
        <f t="shared" si="90"/>
        <v>#N/A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 t="e">
        <f>EXP(-LN(2)/35)*AU85+(1-EXP(-LN(2)/35))/(LN(2)/35)*AQ86*AR86*VLOOKUP('Données projet'!$B$10,Paramètres!$A$1:$I$89,3,0)*0.475*44/12</f>
        <v>#N/A</v>
      </c>
      <c r="AV86" s="23" t="e">
        <f>EXP(-LN(2)/25)*AV85+(1-EXP(-LN(2)/25))/(LN(2)/25)*Calculateur!AQ86*Calculateur!AS86*VLOOKUP('Données projet'!$B$10,Paramètres!$A$1:$I$89,3,0)*0.475*44/12</f>
        <v>#N/A</v>
      </c>
      <c r="AW86" s="23" t="e">
        <f>EXP(-LN(2)/2)*AW85+(1-EXP(-LN(2)/2))/(LN(2)/2)*AQ86*AT86*VLOOKUP('Données projet'!$B$10,Paramètres!$A$1:$I$89,3,0)*0.475*44/12</f>
        <v>#N/A</v>
      </c>
      <c r="AX86" s="23" t="e">
        <f t="shared" si="60"/>
        <v>#N/A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 t="e">
        <f>BD86*VLOOKUP('Données projet'!$B$11,Paramètres!$A$1:$I$89,3,0)*VLOOKUP('Données projet'!$B$11,Paramètres!$A$1:$I$89,5,0)</f>
        <v>#N/A</v>
      </c>
      <c r="BF86" s="14" t="e">
        <f t="shared" si="91"/>
        <v>#N/A</v>
      </c>
      <c r="BG86" s="22" t="e">
        <f t="shared" si="61"/>
        <v>#N/A</v>
      </c>
      <c r="BH86" s="62" t="e">
        <f t="shared" si="62"/>
        <v>#N/A</v>
      </c>
      <c r="BI86" s="62" t="e">
        <f ca="1">AVERAGE(OFFSET($BH$3,0,0,'Données projet'!$E$11+1,1))-AVERAGE(OFFSET($H$3,0,0,'Données projet'!$E$11+1,1))</f>
        <v>#N/A</v>
      </c>
      <c r="BJ86" s="62" t="e">
        <f t="shared" si="92"/>
        <v>#N/A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 t="e">
        <f>EXP(-LN(2)/35)*BP85+(1-EXP(-LN(2)/35))/(LN(2)/35)*BL86*BM86*VLOOKUP('Données projet'!$B$11,Paramètres!$A$1:$I$89,3,0)*0.475*44/12</f>
        <v>#N/A</v>
      </c>
      <c r="BQ86" s="23" t="e">
        <f>EXP(-LN(2)/25)*BQ85+(1-EXP(-LN(2)/25))/(LN(2)/25)*Calculateur!BL86*Calculateur!BN86*VLOOKUP('Données projet'!$B$11,Paramètres!$A$1:$I$89,3,0)*0.475*44/12</f>
        <v>#N/A</v>
      </c>
      <c r="BR86" s="23" t="e">
        <f>EXP(-LN(2)/2)*BR85+(1-EXP(-LN(2)/2))/(LN(2)/2)*BL86*BO86*VLOOKUP('Données projet'!$B$11,Paramètres!$A$1:$I$89,3,0)*0.475*44/12</f>
        <v>#N/A</v>
      </c>
      <c r="BS86" s="24" t="e">
        <f t="shared" si="63"/>
        <v>#N/A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3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41.495999999999988</v>
      </c>
      <c r="D87" s="12">
        <f t="shared" si="86"/>
        <v>12.394310565265267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10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415.99537980204758</v>
      </c>
      <c r="H87" s="70">
        <f t="shared" si="56"/>
        <v>387.19229090117028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-1.1368683772161603E-13</v>
      </c>
      <c r="O87" s="14">
        <f>N87*VLOOKUP('Données projet'!$B$9,Paramètres!$A$1:$I$89,3,0)*VLOOKUP('Données projet'!$B$9,Paramètres!$A$1:$I$89,5,0)</f>
        <v>-6.7984728957526396E-14</v>
      </c>
      <c r="P87" s="14" t="e">
        <f t="shared" si="87"/>
        <v>#NUM!</v>
      </c>
      <c r="Q87" s="22" t="e">
        <f t="shared" si="54"/>
        <v>#NUM!</v>
      </c>
      <c r="R87" s="62" t="e">
        <f t="shared" si="55"/>
        <v>#NUM!</v>
      </c>
      <c r="S87" s="62">
        <f ca="1">AVERAGE(OFFSET($R$3,0,0,'Données projet'!$E$9+1,1))-AVERAGE(OFFSET($H$3,0,0,'Données projet'!$E$9+1,1))</f>
        <v>255.1976414275677</v>
      </c>
      <c r="T87" s="62">
        <f t="shared" si="88"/>
        <v>266.42714758321767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4.0180770108681889</v>
      </c>
      <c r="AA87" s="23">
        <f>EXP(-LN(2)/25)*AA86+(1-EXP(-LN(2)/25))/(LN(2)/25)*Calculateur!V87*Calculateur!X87*VLOOKUP('Données projet'!$B$9,Paramètres!$A$1:$I$89,3,0)*0.475*44/12</f>
        <v>2.949566002472507</v>
      </c>
      <c r="AB87" s="23">
        <f>EXP(-LN(2)/2)*AB86+(1-EXP(-LN(2)/2))/(LN(2)/2)*V87*Y87*VLOOKUP('Données projet'!$B$9,Paramètres!$A$1:$I$89,3,0)*0.475*44/12</f>
        <v>4.5141298696684827E-8</v>
      </c>
      <c r="AC87" s="24">
        <f t="shared" si="57"/>
        <v>6.9676430584819951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0</v>
      </c>
      <c r="AJ87" s="14" t="e">
        <f>AI87*VLOOKUP('Données projet'!$B$10,Paramètres!$A$1:$I$89,3,0)*VLOOKUP('Données projet'!$B$10,Paramètres!$A$1:$I$89,5,0)</f>
        <v>#N/A</v>
      </c>
      <c r="AK87" s="14" t="e">
        <f t="shared" si="89"/>
        <v>#N/A</v>
      </c>
      <c r="AL87" s="22" t="e">
        <f t="shared" si="58"/>
        <v>#N/A</v>
      </c>
      <c r="AM87" s="62" t="e">
        <f t="shared" si="59"/>
        <v>#N/A</v>
      </c>
      <c r="AN87" s="62" t="e">
        <f ca="1">AVERAGE(OFFSET($AM$3,0,0,'Données projet'!$E$10+1,1))-AVERAGE(OFFSET($H$3,0,0,'Données projet'!$E$10+1,1))</f>
        <v>#N/A</v>
      </c>
      <c r="AO87" s="62" t="e">
        <f t="shared" si="90"/>
        <v>#N/A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 t="e">
        <f>EXP(-LN(2)/35)*AU86+(1-EXP(-LN(2)/35))/(LN(2)/35)*AQ87*AR87*VLOOKUP('Données projet'!$B$10,Paramètres!$A$1:$I$89,3,0)*0.475*44/12</f>
        <v>#N/A</v>
      </c>
      <c r="AV87" s="23" t="e">
        <f>EXP(-LN(2)/25)*AV86+(1-EXP(-LN(2)/25))/(LN(2)/25)*Calculateur!AQ87*Calculateur!AS87*VLOOKUP('Données projet'!$B$10,Paramètres!$A$1:$I$89,3,0)*0.475*44/12</f>
        <v>#N/A</v>
      </c>
      <c r="AW87" s="23" t="e">
        <f>EXP(-LN(2)/2)*AW86+(1-EXP(-LN(2)/2))/(LN(2)/2)*AQ87*AT87*VLOOKUP('Données projet'!$B$10,Paramètres!$A$1:$I$89,3,0)*0.475*44/12</f>
        <v>#N/A</v>
      </c>
      <c r="AX87" s="23" t="e">
        <f t="shared" si="60"/>
        <v>#N/A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 t="e">
        <f>BD87*VLOOKUP('Données projet'!$B$11,Paramètres!$A$1:$I$89,3,0)*VLOOKUP('Données projet'!$B$11,Paramètres!$A$1:$I$89,5,0)</f>
        <v>#N/A</v>
      </c>
      <c r="BF87" s="14" t="e">
        <f t="shared" si="91"/>
        <v>#N/A</v>
      </c>
      <c r="BG87" s="22" t="e">
        <f t="shared" si="61"/>
        <v>#N/A</v>
      </c>
      <c r="BH87" s="62" t="e">
        <f t="shared" si="62"/>
        <v>#N/A</v>
      </c>
      <c r="BI87" s="62" t="e">
        <f ca="1">AVERAGE(OFFSET($BH$3,0,0,'Données projet'!$E$11+1,1))-AVERAGE(OFFSET($H$3,0,0,'Données projet'!$E$11+1,1))</f>
        <v>#N/A</v>
      </c>
      <c r="BJ87" s="62" t="e">
        <f t="shared" si="92"/>
        <v>#N/A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 t="e">
        <f>EXP(-LN(2)/35)*BP86+(1-EXP(-LN(2)/35))/(LN(2)/35)*BL87*BM87*VLOOKUP('Données projet'!$B$11,Paramètres!$A$1:$I$89,3,0)*0.475*44/12</f>
        <v>#N/A</v>
      </c>
      <c r="BQ87" s="23" t="e">
        <f>EXP(-LN(2)/25)*BQ86+(1-EXP(-LN(2)/25))/(LN(2)/25)*Calculateur!BL87*Calculateur!BN87*VLOOKUP('Données projet'!$B$11,Paramètres!$A$1:$I$89,3,0)*0.475*44/12</f>
        <v>#N/A</v>
      </c>
      <c r="BR87" s="23" t="e">
        <f>EXP(-LN(2)/2)*BR86+(1-EXP(-LN(2)/2))/(LN(2)/2)*BL87*BO87*VLOOKUP('Données projet'!$B$11,Paramètres!$A$1:$I$89,3,0)*0.475*44/12</f>
        <v>#N/A</v>
      </c>
      <c r="BS87" s="24" t="e">
        <f t="shared" si="63"/>
        <v>#N/A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3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41.989999999999988</v>
      </c>
      <c r="D88" s="12">
        <f t="shared" si="86"/>
        <v>12.524596973809777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10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420.81443278028593</v>
      </c>
      <c r="H88" s="70">
        <f t="shared" si="56"/>
        <v>388.27958972938529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-1.1368683772161603E-13</v>
      </c>
      <c r="O88" s="14">
        <f>N88*VLOOKUP('Données projet'!$B$9,Paramètres!$A$1:$I$89,3,0)*VLOOKUP('Données projet'!$B$9,Paramètres!$A$1:$I$89,5,0)</f>
        <v>-6.7984728957526396E-14</v>
      </c>
      <c r="P88" s="14" t="e">
        <f t="shared" si="87"/>
        <v>#NUM!</v>
      </c>
      <c r="Q88" s="22" t="e">
        <f t="shared" si="54"/>
        <v>#NUM!</v>
      </c>
      <c r="R88" s="62" t="e">
        <f t="shared" si="55"/>
        <v>#NUM!</v>
      </c>
      <c r="S88" s="62">
        <f ca="1">AVERAGE(OFFSET($R$3,0,0,'Données projet'!$E$9+1,1))-AVERAGE(OFFSET($H$3,0,0,'Données projet'!$E$9+1,1))</f>
        <v>255.1976414275677</v>
      </c>
      <c r="T88" s="62">
        <f t="shared" si="88"/>
        <v>266.42714758321767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3.9392849714700455</v>
      </c>
      <c r="AA88" s="23">
        <f>EXP(-LN(2)/25)*AA87+(1-EXP(-LN(2)/25))/(LN(2)/25)*Calculateur!V88*Calculateur!X88*VLOOKUP('Données projet'!$B$9,Paramètres!$A$1:$I$89,3,0)*0.475*44/12</f>
        <v>2.8689099650239616</v>
      </c>
      <c r="AB88" s="23">
        <f>EXP(-LN(2)/2)*AB87+(1-EXP(-LN(2)/2))/(LN(2)/2)*V88*Y88*VLOOKUP('Données projet'!$B$9,Paramètres!$A$1:$I$89,3,0)*0.475*44/12</f>
        <v>3.19197184199933E-8</v>
      </c>
      <c r="AC88" s="24">
        <f t="shared" si="57"/>
        <v>6.8081949684137255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0</v>
      </c>
      <c r="AJ88" s="14" t="e">
        <f>AI88*VLOOKUP('Données projet'!$B$10,Paramètres!$A$1:$I$89,3,0)*VLOOKUP('Données projet'!$B$10,Paramètres!$A$1:$I$89,5,0)</f>
        <v>#N/A</v>
      </c>
      <c r="AK88" s="14" t="e">
        <f t="shared" si="89"/>
        <v>#N/A</v>
      </c>
      <c r="AL88" s="22" t="e">
        <f t="shared" si="58"/>
        <v>#N/A</v>
      </c>
      <c r="AM88" s="62" t="e">
        <f t="shared" si="59"/>
        <v>#N/A</v>
      </c>
      <c r="AN88" s="62" t="e">
        <f ca="1">AVERAGE(OFFSET($AM$3,0,0,'Données projet'!$E$10+1,1))-AVERAGE(OFFSET($H$3,0,0,'Données projet'!$E$10+1,1))</f>
        <v>#N/A</v>
      </c>
      <c r="AO88" s="62" t="e">
        <f t="shared" si="90"/>
        <v>#N/A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 t="e">
        <f>EXP(-LN(2)/35)*AU87+(1-EXP(-LN(2)/35))/(LN(2)/35)*AQ88*AR88*VLOOKUP('Données projet'!$B$10,Paramètres!$A$1:$I$89,3,0)*0.475*44/12</f>
        <v>#N/A</v>
      </c>
      <c r="AV88" s="23" t="e">
        <f>EXP(-LN(2)/25)*AV87+(1-EXP(-LN(2)/25))/(LN(2)/25)*Calculateur!AQ88*Calculateur!AS88*VLOOKUP('Données projet'!$B$10,Paramètres!$A$1:$I$89,3,0)*0.475*44/12</f>
        <v>#N/A</v>
      </c>
      <c r="AW88" s="23" t="e">
        <f>EXP(-LN(2)/2)*AW87+(1-EXP(-LN(2)/2))/(LN(2)/2)*AQ88*AT88*VLOOKUP('Données projet'!$B$10,Paramètres!$A$1:$I$89,3,0)*0.475*44/12</f>
        <v>#N/A</v>
      </c>
      <c r="AX88" s="23" t="e">
        <f t="shared" si="60"/>
        <v>#N/A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 t="e">
        <f>BD88*VLOOKUP('Données projet'!$B$11,Paramètres!$A$1:$I$89,3,0)*VLOOKUP('Données projet'!$B$11,Paramètres!$A$1:$I$89,5,0)</f>
        <v>#N/A</v>
      </c>
      <c r="BF88" s="14" t="e">
        <f t="shared" si="91"/>
        <v>#N/A</v>
      </c>
      <c r="BG88" s="22" t="e">
        <f t="shared" si="61"/>
        <v>#N/A</v>
      </c>
      <c r="BH88" s="62" t="e">
        <f t="shared" si="62"/>
        <v>#N/A</v>
      </c>
      <c r="BI88" s="62" t="e">
        <f ca="1">AVERAGE(OFFSET($BH$3,0,0,'Données projet'!$E$11+1,1))-AVERAGE(OFFSET($H$3,0,0,'Données projet'!$E$11+1,1))</f>
        <v>#N/A</v>
      </c>
      <c r="BJ88" s="62" t="e">
        <f t="shared" si="92"/>
        <v>#N/A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 t="e">
        <f>EXP(-LN(2)/35)*BP87+(1-EXP(-LN(2)/35))/(LN(2)/35)*BL88*BM88*VLOOKUP('Données projet'!$B$11,Paramètres!$A$1:$I$89,3,0)*0.475*44/12</f>
        <v>#N/A</v>
      </c>
      <c r="BQ88" s="23" t="e">
        <f>EXP(-LN(2)/25)*BQ87+(1-EXP(-LN(2)/25))/(LN(2)/25)*Calculateur!BL88*Calculateur!BN88*VLOOKUP('Données projet'!$B$11,Paramètres!$A$1:$I$89,3,0)*0.475*44/12</f>
        <v>#N/A</v>
      </c>
      <c r="BR88" s="23" t="e">
        <f>EXP(-LN(2)/2)*BR87+(1-EXP(-LN(2)/2))/(LN(2)/2)*BL88*BO88*VLOOKUP('Données projet'!$B$11,Paramètres!$A$1:$I$89,3,0)*0.475*44/12</f>
        <v>#N/A</v>
      </c>
      <c r="BS88" s="24" t="e">
        <f t="shared" si="63"/>
        <v>#N/A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3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42.483999999999988</v>
      </c>
      <c r="D89" s="12">
        <f t="shared" si="86"/>
        <v>12.654705084370677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10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425.63210942321211</v>
      </c>
      <c r="H89" s="70">
        <f t="shared" si="56"/>
        <v>389.36657802194554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-1.1368683772161603E-13</v>
      </c>
      <c r="O89" s="14">
        <f>N89*VLOOKUP('Données projet'!$B$9,Paramètres!$A$1:$I$89,3,0)*VLOOKUP('Données projet'!$B$9,Paramètres!$A$1:$I$89,5,0)</f>
        <v>-6.7984728957526396E-14</v>
      </c>
      <c r="P89" s="14" t="e">
        <f t="shared" si="87"/>
        <v>#NUM!</v>
      </c>
      <c r="Q89" s="22" t="e">
        <f t="shared" si="54"/>
        <v>#NUM!</v>
      </c>
      <c r="R89" s="62" t="e">
        <f t="shared" si="55"/>
        <v>#NUM!</v>
      </c>
      <c r="S89" s="62">
        <f ca="1">AVERAGE(OFFSET($R$3,0,0,'Données projet'!$E$9+1,1))-AVERAGE(OFFSET($H$3,0,0,'Données projet'!$E$9+1,1))</f>
        <v>255.1976414275677</v>
      </c>
      <c r="T89" s="62">
        <f t="shared" si="88"/>
        <v>266.42714758321767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3.8620379959061011</v>
      </c>
      <c r="AA89" s="23">
        <f>EXP(-LN(2)/25)*AA88+(1-EXP(-LN(2)/25))/(LN(2)/25)*Calculateur!V89*Calculateur!X89*VLOOKUP('Données projet'!$B$9,Paramètres!$A$1:$I$89,3,0)*0.475*44/12</f>
        <v>2.7904594711609634</v>
      </c>
      <c r="AB89" s="23">
        <f>EXP(-LN(2)/2)*AB88+(1-EXP(-LN(2)/2))/(LN(2)/2)*V89*Y89*VLOOKUP('Données projet'!$B$9,Paramètres!$A$1:$I$89,3,0)*0.475*44/12</f>
        <v>2.2570649348342413E-8</v>
      </c>
      <c r="AC89" s="24">
        <f t="shared" si="57"/>
        <v>6.6524974896377138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0</v>
      </c>
      <c r="AJ89" s="14" t="e">
        <f>AI89*VLOOKUP('Données projet'!$B$10,Paramètres!$A$1:$I$89,3,0)*VLOOKUP('Données projet'!$B$10,Paramètres!$A$1:$I$89,5,0)</f>
        <v>#N/A</v>
      </c>
      <c r="AK89" s="14" t="e">
        <f t="shared" si="89"/>
        <v>#N/A</v>
      </c>
      <c r="AL89" s="22" t="e">
        <f t="shared" si="58"/>
        <v>#N/A</v>
      </c>
      <c r="AM89" s="62" t="e">
        <f t="shared" si="59"/>
        <v>#N/A</v>
      </c>
      <c r="AN89" s="62" t="e">
        <f ca="1">AVERAGE(OFFSET($AM$3,0,0,'Données projet'!$E$10+1,1))-AVERAGE(OFFSET($H$3,0,0,'Données projet'!$E$10+1,1))</f>
        <v>#N/A</v>
      </c>
      <c r="AO89" s="62" t="e">
        <f t="shared" si="90"/>
        <v>#N/A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 t="e">
        <f>EXP(-LN(2)/35)*AU88+(1-EXP(-LN(2)/35))/(LN(2)/35)*AQ89*AR89*VLOOKUP('Données projet'!$B$10,Paramètres!$A$1:$I$89,3,0)*0.475*44/12</f>
        <v>#N/A</v>
      </c>
      <c r="AV89" s="23" t="e">
        <f>EXP(-LN(2)/25)*AV88+(1-EXP(-LN(2)/25))/(LN(2)/25)*Calculateur!AQ89*Calculateur!AS89*VLOOKUP('Données projet'!$B$10,Paramètres!$A$1:$I$89,3,0)*0.475*44/12</f>
        <v>#N/A</v>
      </c>
      <c r="AW89" s="23" t="e">
        <f>EXP(-LN(2)/2)*AW88+(1-EXP(-LN(2)/2))/(LN(2)/2)*AQ89*AT89*VLOOKUP('Données projet'!$B$10,Paramètres!$A$1:$I$89,3,0)*0.475*44/12</f>
        <v>#N/A</v>
      </c>
      <c r="AX89" s="23" t="e">
        <f t="shared" si="60"/>
        <v>#N/A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 t="e">
        <f>BD89*VLOOKUP('Données projet'!$B$11,Paramètres!$A$1:$I$89,3,0)*VLOOKUP('Données projet'!$B$11,Paramètres!$A$1:$I$89,5,0)</f>
        <v>#N/A</v>
      </c>
      <c r="BF89" s="14" t="e">
        <f t="shared" si="91"/>
        <v>#N/A</v>
      </c>
      <c r="BG89" s="22" t="e">
        <f t="shared" si="61"/>
        <v>#N/A</v>
      </c>
      <c r="BH89" s="62" t="e">
        <f t="shared" si="62"/>
        <v>#N/A</v>
      </c>
      <c r="BI89" s="62" t="e">
        <f ca="1">AVERAGE(OFFSET($BH$3,0,0,'Données projet'!$E$11+1,1))-AVERAGE(OFFSET($H$3,0,0,'Données projet'!$E$11+1,1))</f>
        <v>#N/A</v>
      </c>
      <c r="BJ89" s="62" t="e">
        <f t="shared" si="92"/>
        <v>#N/A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 t="e">
        <f>EXP(-LN(2)/35)*BP88+(1-EXP(-LN(2)/35))/(LN(2)/35)*BL89*BM89*VLOOKUP('Données projet'!$B$11,Paramètres!$A$1:$I$89,3,0)*0.475*44/12</f>
        <v>#N/A</v>
      </c>
      <c r="BQ89" s="23" t="e">
        <f>EXP(-LN(2)/25)*BQ88+(1-EXP(-LN(2)/25))/(LN(2)/25)*Calculateur!BL89*Calculateur!BN89*VLOOKUP('Données projet'!$B$11,Paramètres!$A$1:$I$89,3,0)*0.475*44/12</f>
        <v>#N/A</v>
      </c>
      <c r="BR89" s="23" t="e">
        <f>EXP(-LN(2)/2)*BR88+(1-EXP(-LN(2)/2))/(LN(2)/2)*BL89*BO89*VLOOKUP('Données projet'!$B$11,Paramètres!$A$1:$I$89,3,0)*0.475*44/12</f>
        <v>#N/A</v>
      </c>
      <c r="BS89" s="24" t="e">
        <f t="shared" si="63"/>
        <v>#N/A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3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42.977999999999987</v>
      </c>
      <c r="D90" s="12">
        <f t="shared" si="86"/>
        <v>12.784637210043719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10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430.44842758630233</v>
      </c>
      <c r="H90" s="70">
        <f t="shared" si="56"/>
        <v>390.45325980749277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-1.1368683772161603E-13</v>
      </c>
      <c r="O90" s="14">
        <f>N90*VLOOKUP('Données projet'!$B$9,Paramètres!$A$1:$I$89,3,0)*VLOOKUP('Données projet'!$B$9,Paramètres!$A$1:$I$89,5,0)</f>
        <v>-6.7984728957526396E-14</v>
      </c>
      <c r="P90" s="14" t="e">
        <f t="shared" si="87"/>
        <v>#NUM!</v>
      </c>
      <c r="Q90" s="22" t="e">
        <f t="shared" si="54"/>
        <v>#NUM!</v>
      </c>
      <c r="R90" s="62" t="e">
        <f t="shared" si="55"/>
        <v>#NUM!</v>
      </c>
      <c r="S90" s="62">
        <f ca="1">AVERAGE(OFFSET($R$3,0,0,'Données projet'!$E$9+1,1))-AVERAGE(OFFSET($H$3,0,0,'Données projet'!$E$9+1,1))</f>
        <v>255.1976414275677</v>
      </c>
      <c r="T90" s="62">
        <f t="shared" si="88"/>
        <v>266.42714758321767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3.7863057864169627</v>
      </c>
      <c r="AA90" s="23">
        <f>EXP(-LN(2)/25)*AA89+(1-EXP(-LN(2)/25))/(LN(2)/25)*Calculateur!V90*Calculateur!X90*VLOOKUP('Données projet'!$B$9,Paramètres!$A$1:$I$89,3,0)*0.475*44/12</f>
        <v>2.7141542101781808</v>
      </c>
      <c r="AB90" s="23">
        <f>EXP(-LN(2)/2)*AB89+(1-EXP(-LN(2)/2))/(LN(2)/2)*V90*Y90*VLOOKUP('Données projet'!$B$9,Paramètres!$A$1:$I$89,3,0)*0.475*44/12</f>
        <v>1.595985920999665E-8</v>
      </c>
      <c r="AC90" s="24">
        <f t="shared" si="57"/>
        <v>6.5004600125550027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0</v>
      </c>
      <c r="AJ90" s="14" t="e">
        <f>AI90*VLOOKUP('Données projet'!$B$10,Paramètres!$A$1:$I$89,3,0)*VLOOKUP('Données projet'!$B$10,Paramètres!$A$1:$I$89,5,0)</f>
        <v>#N/A</v>
      </c>
      <c r="AK90" s="14" t="e">
        <f t="shared" si="89"/>
        <v>#N/A</v>
      </c>
      <c r="AL90" s="22" t="e">
        <f t="shared" si="58"/>
        <v>#N/A</v>
      </c>
      <c r="AM90" s="62" t="e">
        <f t="shared" si="59"/>
        <v>#N/A</v>
      </c>
      <c r="AN90" s="62" t="e">
        <f ca="1">AVERAGE(OFFSET($AM$3,0,0,'Données projet'!$E$10+1,1))-AVERAGE(OFFSET($H$3,0,0,'Données projet'!$E$10+1,1))</f>
        <v>#N/A</v>
      </c>
      <c r="AO90" s="62" t="e">
        <f t="shared" si="90"/>
        <v>#N/A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 t="e">
        <f>EXP(-LN(2)/35)*AU89+(1-EXP(-LN(2)/35))/(LN(2)/35)*AQ90*AR90*VLOOKUP('Données projet'!$B$10,Paramètres!$A$1:$I$89,3,0)*0.475*44/12</f>
        <v>#N/A</v>
      </c>
      <c r="AV90" s="23" t="e">
        <f>EXP(-LN(2)/25)*AV89+(1-EXP(-LN(2)/25))/(LN(2)/25)*Calculateur!AQ90*Calculateur!AS90*VLOOKUP('Données projet'!$B$10,Paramètres!$A$1:$I$89,3,0)*0.475*44/12</f>
        <v>#N/A</v>
      </c>
      <c r="AW90" s="23" t="e">
        <f>EXP(-LN(2)/2)*AW89+(1-EXP(-LN(2)/2))/(LN(2)/2)*AQ90*AT90*VLOOKUP('Données projet'!$B$10,Paramètres!$A$1:$I$89,3,0)*0.475*44/12</f>
        <v>#N/A</v>
      </c>
      <c r="AX90" s="23" t="e">
        <f t="shared" si="60"/>
        <v>#N/A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 t="e">
        <f>BD90*VLOOKUP('Données projet'!$B$11,Paramètres!$A$1:$I$89,3,0)*VLOOKUP('Données projet'!$B$11,Paramètres!$A$1:$I$89,5,0)</f>
        <v>#N/A</v>
      </c>
      <c r="BF90" s="14" t="e">
        <f t="shared" si="91"/>
        <v>#N/A</v>
      </c>
      <c r="BG90" s="22" t="e">
        <f t="shared" si="61"/>
        <v>#N/A</v>
      </c>
      <c r="BH90" s="62" t="e">
        <f t="shared" si="62"/>
        <v>#N/A</v>
      </c>
      <c r="BI90" s="62" t="e">
        <f ca="1">AVERAGE(OFFSET($BH$3,0,0,'Données projet'!$E$11+1,1))-AVERAGE(OFFSET($H$3,0,0,'Données projet'!$E$11+1,1))</f>
        <v>#N/A</v>
      </c>
      <c r="BJ90" s="62" t="e">
        <f t="shared" si="92"/>
        <v>#N/A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 t="e">
        <f>EXP(-LN(2)/35)*BP89+(1-EXP(-LN(2)/35))/(LN(2)/35)*BL90*BM90*VLOOKUP('Données projet'!$B$11,Paramètres!$A$1:$I$89,3,0)*0.475*44/12</f>
        <v>#N/A</v>
      </c>
      <c r="BQ90" s="23" t="e">
        <f>EXP(-LN(2)/25)*BQ89+(1-EXP(-LN(2)/25))/(LN(2)/25)*Calculateur!BL90*Calculateur!BN90*VLOOKUP('Données projet'!$B$11,Paramètres!$A$1:$I$89,3,0)*0.475*44/12</f>
        <v>#N/A</v>
      </c>
      <c r="BR90" s="23" t="e">
        <f>EXP(-LN(2)/2)*BR89+(1-EXP(-LN(2)/2))/(LN(2)/2)*BL90*BO90*VLOOKUP('Données projet'!$B$11,Paramètres!$A$1:$I$89,3,0)*0.475*44/12</f>
        <v>#N/A</v>
      </c>
      <c r="BS90" s="24" t="e">
        <f t="shared" si="63"/>
        <v>#N/A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3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43.471999999999987</v>
      </c>
      <c r="D91" s="12">
        <f t="shared" si="86"/>
        <v>12.914395607689229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10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435.26340469093435</v>
      </c>
      <c r="H91" s="70">
        <f t="shared" si="56"/>
        <v>391.53963901672535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-1.1368683772161603E-13</v>
      </c>
      <c r="O91" s="14">
        <f>N91*VLOOKUP('Données projet'!$B$9,Paramètres!$A$1:$I$89,3,0)*VLOOKUP('Données projet'!$B$9,Paramètres!$A$1:$I$89,5,0)</f>
        <v>-6.7984728957526396E-14</v>
      </c>
      <c r="P91" s="14" t="e">
        <f t="shared" si="87"/>
        <v>#NUM!</v>
      </c>
      <c r="Q91" s="22" t="e">
        <f t="shared" si="54"/>
        <v>#NUM!</v>
      </c>
      <c r="R91" s="62" t="e">
        <f t="shared" si="55"/>
        <v>#NUM!</v>
      </c>
      <c r="S91" s="62">
        <f ca="1">AVERAGE(OFFSET($R$3,0,0,'Données projet'!$E$9+1,1))-AVERAGE(OFFSET($H$3,0,0,'Données projet'!$E$9+1,1))</f>
        <v>255.1976414275677</v>
      </c>
      <c r="T91" s="62">
        <f t="shared" si="88"/>
        <v>266.42714758321767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3.7120586393638195</v>
      </c>
      <c r="AA91" s="23">
        <f>EXP(-LN(2)/25)*AA90+(1-EXP(-LN(2)/25))/(LN(2)/25)*Calculateur!V91*Calculateur!X91*VLOOKUP('Données projet'!$B$9,Paramètres!$A$1:$I$89,3,0)*0.475*44/12</f>
        <v>2.6399355205696917</v>
      </c>
      <c r="AB91" s="23">
        <f>EXP(-LN(2)/2)*AB90+(1-EXP(-LN(2)/2))/(LN(2)/2)*V91*Y91*VLOOKUP('Données projet'!$B$9,Paramètres!$A$1:$I$89,3,0)*0.475*44/12</f>
        <v>1.1285324674171207E-8</v>
      </c>
      <c r="AC91" s="24">
        <f t="shared" si="57"/>
        <v>6.3519941712188359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0</v>
      </c>
      <c r="AJ91" s="14" t="e">
        <f>AI91*VLOOKUP('Données projet'!$B$10,Paramètres!$A$1:$I$89,3,0)*VLOOKUP('Données projet'!$B$10,Paramètres!$A$1:$I$89,5,0)</f>
        <v>#N/A</v>
      </c>
      <c r="AK91" s="14" t="e">
        <f t="shared" si="89"/>
        <v>#N/A</v>
      </c>
      <c r="AL91" s="22" t="e">
        <f t="shared" si="58"/>
        <v>#N/A</v>
      </c>
      <c r="AM91" s="62" t="e">
        <f t="shared" si="59"/>
        <v>#N/A</v>
      </c>
      <c r="AN91" s="62" t="e">
        <f ca="1">AVERAGE(OFFSET($AM$3,0,0,'Données projet'!$E$10+1,1))-AVERAGE(OFFSET($H$3,0,0,'Données projet'!$E$10+1,1))</f>
        <v>#N/A</v>
      </c>
      <c r="AO91" s="62" t="e">
        <f t="shared" si="90"/>
        <v>#N/A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 t="e">
        <f>EXP(-LN(2)/35)*AU90+(1-EXP(-LN(2)/35))/(LN(2)/35)*AQ91*AR91*VLOOKUP('Données projet'!$B$10,Paramètres!$A$1:$I$89,3,0)*0.475*44/12</f>
        <v>#N/A</v>
      </c>
      <c r="AV91" s="23" t="e">
        <f>EXP(-LN(2)/25)*AV90+(1-EXP(-LN(2)/25))/(LN(2)/25)*Calculateur!AQ91*Calculateur!AS91*VLOOKUP('Données projet'!$B$10,Paramètres!$A$1:$I$89,3,0)*0.475*44/12</f>
        <v>#N/A</v>
      </c>
      <c r="AW91" s="23" t="e">
        <f>EXP(-LN(2)/2)*AW90+(1-EXP(-LN(2)/2))/(LN(2)/2)*AQ91*AT91*VLOOKUP('Données projet'!$B$10,Paramètres!$A$1:$I$89,3,0)*0.475*44/12</f>
        <v>#N/A</v>
      </c>
      <c r="AX91" s="23" t="e">
        <f t="shared" si="60"/>
        <v>#N/A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 t="e">
        <f>BD91*VLOOKUP('Données projet'!$B$11,Paramètres!$A$1:$I$89,3,0)*VLOOKUP('Données projet'!$B$11,Paramètres!$A$1:$I$89,5,0)</f>
        <v>#N/A</v>
      </c>
      <c r="BF91" s="14" t="e">
        <f t="shared" si="91"/>
        <v>#N/A</v>
      </c>
      <c r="BG91" s="22" t="e">
        <f t="shared" si="61"/>
        <v>#N/A</v>
      </c>
      <c r="BH91" s="62" t="e">
        <f t="shared" si="62"/>
        <v>#N/A</v>
      </c>
      <c r="BI91" s="62" t="e">
        <f ca="1">AVERAGE(OFFSET($BH$3,0,0,'Données projet'!$E$11+1,1))-AVERAGE(OFFSET($H$3,0,0,'Données projet'!$E$11+1,1))</f>
        <v>#N/A</v>
      </c>
      <c r="BJ91" s="62" t="e">
        <f t="shared" si="92"/>
        <v>#N/A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 t="e">
        <f>EXP(-LN(2)/35)*BP90+(1-EXP(-LN(2)/35))/(LN(2)/35)*BL91*BM91*VLOOKUP('Données projet'!$B$11,Paramètres!$A$1:$I$89,3,0)*0.475*44/12</f>
        <v>#N/A</v>
      </c>
      <c r="BQ91" s="23" t="e">
        <f>EXP(-LN(2)/25)*BQ90+(1-EXP(-LN(2)/25))/(LN(2)/25)*Calculateur!BL91*Calculateur!BN91*VLOOKUP('Données projet'!$B$11,Paramètres!$A$1:$I$89,3,0)*0.475*44/12</f>
        <v>#N/A</v>
      </c>
      <c r="BR91" s="23" t="e">
        <f>EXP(-LN(2)/2)*BR90+(1-EXP(-LN(2)/2))/(LN(2)/2)*BL91*BO91*VLOOKUP('Données projet'!$B$11,Paramètres!$A$1:$I$89,3,0)*0.475*44/12</f>
        <v>#N/A</v>
      </c>
      <c r="BS91" s="24" t="e">
        <f t="shared" si="63"/>
        <v>#N/A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3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43.965999999999987</v>
      </c>
      <c r="D92" s="12">
        <f t="shared" si="86"/>
        <v>13.043982479922438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10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440.07705773975209</v>
      </c>
      <c r="H92" s="70">
        <f t="shared" si="56"/>
        <v>392.62571948586486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-1.1368683772161603E-13</v>
      </c>
      <c r="O92" s="14">
        <f>N92*VLOOKUP('Données projet'!$B$9,Paramètres!$A$1:$I$89,3,0)*VLOOKUP('Données projet'!$B$9,Paramètres!$A$1:$I$89,5,0)</f>
        <v>-6.7984728957526396E-14</v>
      </c>
      <c r="P92" s="14" t="e">
        <f t="shared" si="87"/>
        <v>#NUM!</v>
      </c>
      <c r="Q92" s="22" t="e">
        <f t="shared" si="54"/>
        <v>#NUM!</v>
      </c>
      <c r="R92" s="62" t="e">
        <f t="shared" si="55"/>
        <v>#NUM!</v>
      </c>
      <c r="S92" s="62">
        <f ca="1">AVERAGE(OFFSET($R$3,0,0,'Données projet'!$E$9+1,1))-AVERAGE(OFFSET($H$3,0,0,'Données projet'!$E$9+1,1))</f>
        <v>255.1976414275677</v>
      </c>
      <c r="T92" s="62">
        <f t="shared" si="88"/>
        <v>266.42714758321767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3.6392674335781003</v>
      </c>
      <c r="AA92" s="23">
        <f>EXP(-LN(2)/25)*AA91+(1-EXP(-LN(2)/25))/(LN(2)/25)*Calculateur!V92*Calculateur!X92*VLOOKUP('Données projet'!$B$9,Paramètres!$A$1:$I$89,3,0)*0.475*44/12</f>
        <v>2.5677463449315381</v>
      </c>
      <c r="AB92" s="23">
        <f>EXP(-LN(2)/2)*AB91+(1-EXP(-LN(2)/2))/(LN(2)/2)*V92*Y92*VLOOKUP('Données projet'!$B$9,Paramètres!$A$1:$I$89,3,0)*0.475*44/12</f>
        <v>7.9799296049983249E-9</v>
      </c>
      <c r="AC92" s="24">
        <f t="shared" si="57"/>
        <v>6.2070137864895685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0</v>
      </c>
      <c r="AJ92" s="14" t="e">
        <f>AI92*VLOOKUP('Données projet'!$B$10,Paramètres!$A$1:$I$89,3,0)*VLOOKUP('Données projet'!$B$10,Paramètres!$A$1:$I$89,5,0)</f>
        <v>#N/A</v>
      </c>
      <c r="AK92" s="14" t="e">
        <f t="shared" si="89"/>
        <v>#N/A</v>
      </c>
      <c r="AL92" s="22" t="e">
        <f t="shared" si="58"/>
        <v>#N/A</v>
      </c>
      <c r="AM92" s="62" t="e">
        <f t="shared" si="59"/>
        <v>#N/A</v>
      </c>
      <c r="AN92" s="62" t="e">
        <f ca="1">AVERAGE(OFFSET($AM$3,0,0,'Données projet'!$E$10+1,1))-AVERAGE(OFFSET($H$3,0,0,'Données projet'!$E$10+1,1))</f>
        <v>#N/A</v>
      </c>
      <c r="AO92" s="62" t="e">
        <f t="shared" si="90"/>
        <v>#N/A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 t="e">
        <f>EXP(-LN(2)/35)*AU91+(1-EXP(-LN(2)/35))/(LN(2)/35)*AQ92*AR92*VLOOKUP('Données projet'!$B$10,Paramètres!$A$1:$I$89,3,0)*0.475*44/12</f>
        <v>#N/A</v>
      </c>
      <c r="AV92" s="23" t="e">
        <f>EXP(-LN(2)/25)*AV91+(1-EXP(-LN(2)/25))/(LN(2)/25)*Calculateur!AQ92*Calculateur!AS92*VLOOKUP('Données projet'!$B$10,Paramètres!$A$1:$I$89,3,0)*0.475*44/12</f>
        <v>#N/A</v>
      </c>
      <c r="AW92" s="23" t="e">
        <f>EXP(-LN(2)/2)*AW91+(1-EXP(-LN(2)/2))/(LN(2)/2)*AQ92*AT92*VLOOKUP('Données projet'!$B$10,Paramètres!$A$1:$I$89,3,0)*0.475*44/12</f>
        <v>#N/A</v>
      </c>
      <c r="AX92" s="23" t="e">
        <f t="shared" si="60"/>
        <v>#N/A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 t="e">
        <f>BD92*VLOOKUP('Données projet'!$B$11,Paramètres!$A$1:$I$89,3,0)*VLOOKUP('Données projet'!$B$11,Paramètres!$A$1:$I$89,5,0)</f>
        <v>#N/A</v>
      </c>
      <c r="BF92" s="14" t="e">
        <f t="shared" si="91"/>
        <v>#N/A</v>
      </c>
      <c r="BG92" s="22" t="e">
        <f t="shared" si="61"/>
        <v>#N/A</v>
      </c>
      <c r="BH92" s="62" t="e">
        <f t="shared" si="62"/>
        <v>#N/A</v>
      </c>
      <c r="BI92" s="62" t="e">
        <f ca="1">AVERAGE(OFFSET($BH$3,0,0,'Données projet'!$E$11+1,1))-AVERAGE(OFFSET($H$3,0,0,'Données projet'!$E$11+1,1))</f>
        <v>#N/A</v>
      </c>
      <c r="BJ92" s="62" t="e">
        <f t="shared" si="92"/>
        <v>#N/A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 t="e">
        <f>EXP(-LN(2)/35)*BP91+(1-EXP(-LN(2)/35))/(LN(2)/35)*BL92*BM92*VLOOKUP('Données projet'!$B$11,Paramètres!$A$1:$I$89,3,0)*0.475*44/12</f>
        <v>#N/A</v>
      </c>
      <c r="BQ92" s="23" t="e">
        <f>EXP(-LN(2)/25)*BQ91+(1-EXP(-LN(2)/25))/(LN(2)/25)*Calculateur!BL92*Calculateur!BN92*VLOOKUP('Données projet'!$B$11,Paramètres!$A$1:$I$89,3,0)*0.475*44/12</f>
        <v>#N/A</v>
      </c>
      <c r="BR92" s="23" t="e">
        <f>EXP(-LN(2)/2)*BR91+(1-EXP(-LN(2)/2))/(LN(2)/2)*BL92*BO92*VLOOKUP('Données projet'!$B$11,Paramètres!$A$1:$I$89,3,0)*0.475*44/12</f>
        <v>#N/A</v>
      </c>
      <c r="BS92" s="24" t="e">
        <f t="shared" si="63"/>
        <v>#N/A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3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44.459999999999987</v>
      </c>
      <c r="D93" s="12">
        <f t="shared" si="86"/>
        <v>13.173399977011854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10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444.8894033313195</v>
      </c>
      <c r="H93" s="70">
        <f t="shared" si="56"/>
        <v>393.71150495996227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-1.1368683772161603E-13</v>
      </c>
      <c r="O93" s="14">
        <f>N93*VLOOKUP('Données projet'!$B$9,Paramètres!$A$1:$I$89,3,0)*VLOOKUP('Données projet'!$B$9,Paramètres!$A$1:$I$89,5,0)</f>
        <v>-6.7984728957526396E-14</v>
      </c>
      <c r="P93" s="14" t="e">
        <f t="shared" si="87"/>
        <v>#NUM!</v>
      </c>
      <c r="Q93" s="22" t="e">
        <f t="shared" si="54"/>
        <v>#NUM!</v>
      </c>
      <c r="R93" s="62" t="e">
        <f t="shared" si="55"/>
        <v>#NUM!</v>
      </c>
      <c r="S93" s="62">
        <f ca="1">AVERAGE(OFFSET($R$3,0,0,'Données projet'!$E$9+1,1))-AVERAGE(OFFSET($H$3,0,0,'Données projet'!$E$9+1,1))</f>
        <v>255.1976414275677</v>
      </c>
      <c r="T93" s="62">
        <f t="shared" si="88"/>
        <v>266.42714758321767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3.5679036189395879</v>
      </c>
      <c r="AA93" s="23">
        <f>EXP(-LN(2)/25)*AA92+(1-EXP(-LN(2)/25))/(LN(2)/25)*Calculateur!V93*Calculateur!X93*VLOOKUP('Données projet'!$B$9,Paramètres!$A$1:$I$89,3,0)*0.475*44/12</f>
        <v>2.4975311860974734</v>
      </c>
      <c r="AB93" s="23">
        <f>EXP(-LN(2)/2)*AB92+(1-EXP(-LN(2)/2))/(LN(2)/2)*V93*Y93*VLOOKUP('Données projet'!$B$9,Paramètres!$A$1:$I$89,3,0)*0.475*44/12</f>
        <v>5.6426623370856034E-9</v>
      </c>
      <c r="AC93" s="24">
        <f t="shared" si="57"/>
        <v>6.0654348106797231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0</v>
      </c>
      <c r="AJ93" s="14" t="e">
        <f>AI93*VLOOKUP('Données projet'!$B$10,Paramètres!$A$1:$I$89,3,0)*VLOOKUP('Données projet'!$B$10,Paramètres!$A$1:$I$89,5,0)</f>
        <v>#N/A</v>
      </c>
      <c r="AK93" s="14" t="e">
        <f t="shared" si="89"/>
        <v>#N/A</v>
      </c>
      <c r="AL93" s="22" t="e">
        <f t="shared" si="58"/>
        <v>#N/A</v>
      </c>
      <c r="AM93" s="62" t="e">
        <f t="shared" si="59"/>
        <v>#N/A</v>
      </c>
      <c r="AN93" s="62" t="e">
        <f ca="1">AVERAGE(OFFSET($AM$3,0,0,'Données projet'!$E$10+1,1))-AVERAGE(OFFSET($H$3,0,0,'Données projet'!$E$10+1,1))</f>
        <v>#N/A</v>
      </c>
      <c r="AO93" s="62" t="e">
        <f t="shared" si="90"/>
        <v>#N/A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 t="e">
        <f>EXP(-LN(2)/35)*AU92+(1-EXP(-LN(2)/35))/(LN(2)/35)*AQ93*AR93*VLOOKUP('Données projet'!$B$10,Paramètres!$A$1:$I$89,3,0)*0.475*44/12</f>
        <v>#N/A</v>
      </c>
      <c r="AV93" s="23" t="e">
        <f>EXP(-LN(2)/25)*AV92+(1-EXP(-LN(2)/25))/(LN(2)/25)*Calculateur!AQ93*Calculateur!AS93*VLOOKUP('Données projet'!$B$10,Paramètres!$A$1:$I$89,3,0)*0.475*44/12</f>
        <v>#N/A</v>
      </c>
      <c r="AW93" s="23" t="e">
        <f>EXP(-LN(2)/2)*AW92+(1-EXP(-LN(2)/2))/(LN(2)/2)*AQ93*AT93*VLOOKUP('Données projet'!$B$10,Paramètres!$A$1:$I$89,3,0)*0.475*44/12</f>
        <v>#N/A</v>
      </c>
      <c r="AX93" s="23" t="e">
        <f t="shared" si="60"/>
        <v>#N/A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 t="e">
        <f>BD93*VLOOKUP('Données projet'!$B$11,Paramètres!$A$1:$I$89,3,0)*VLOOKUP('Données projet'!$B$11,Paramètres!$A$1:$I$89,5,0)</f>
        <v>#N/A</v>
      </c>
      <c r="BF93" s="14" t="e">
        <f t="shared" si="91"/>
        <v>#N/A</v>
      </c>
      <c r="BG93" s="22" t="e">
        <f t="shared" si="61"/>
        <v>#N/A</v>
      </c>
      <c r="BH93" s="62" t="e">
        <f t="shared" si="62"/>
        <v>#N/A</v>
      </c>
      <c r="BI93" s="62" t="e">
        <f ca="1">AVERAGE(OFFSET($BH$3,0,0,'Données projet'!$E$11+1,1))-AVERAGE(OFFSET($H$3,0,0,'Données projet'!$E$11+1,1))</f>
        <v>#N/A</v>
      </c>
      <c r="BJ93" s="62" t="e">
        <f t="shared" si="92"/>
        <v>#N/A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 t="e">
        <f>EXP(-LN(2)/35)*BP92+(1-EXP(-LN(2)/35))/(LN(2)/35)*BL93*BM93*VLOOKUP('Données projet'!$B$11,Paramètres!$A$1:$I$89,3,0)*0.475*44/12</f>
        <v>#N/A</v>
      </c>
      <c r="BQ93" s="23" t="e">
        <f>EXP(-LN(2)/25)*BQ92+(1-EXP(-LN(2)/25))/(LN(2)/25)*Calculateur!BL93*Calculateur!BN93*VLOOKUP('Données projet'!$B$11,Paramètres!$A$1:$I$89,3,0)*0.475*44/12</f>
        <v>#N/A</v>
      </c>
      <c r="BR93" s="23" t="e">
        <f>EXP(-LN(2)/2)*BR92+(1-EXP(-LN(2)/2))/(LN(2)/2)*BL93*BO93*VLOOKUP('Données projet'!$B$11,Paramètres!$A$1:$I$89,3,0)*0.475*44/12</f>
        <v>#N/A</v>
      </c>
      <c r="BS93" s="24" t="e">
        <f t="shared" si="63"/>
        <v>#N/A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3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44.953999999999986</v>
      </c>
      <c r="D94" s="12">
        <f t="shared" si="86"/>
        <v>13.302650198690802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10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449.70045767410437</v>
      </c>
      <c r="H94" s="70">
        <f t="shared" si="56"/>
        <v>394.79699909605313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-1.1368683772161603E-13</v>
      </c>
      <c r="O94" s="14">
        <f>N94*VLOOKUP('Données projet'!$B$9,Paramètres!$A$1:$I$89,3,0)*VLOOKUP('Données projet'!$B$9,Paramètres!$A$1:$I$89,5,0)</f>
        <v>-6.7984728957526396E-14</v>
      </c>
      <c r="P94" s="14" t="e">
        <f t="shared" si="87"/>
        <v>#NUM!</v>
      </c>
      <c r="Q94" s="22" t="e">
        <f t="shared" si="54"/>
        <v>#NUM!</v>
      </c>
      <c r="R94" s="62" t="e">
        <f t="shared" si="55"/>
        <v>#NUM!</v>
      </c>
      <c r="S94" s="62">
        <f ca="1">AVERAGE(OFFSET($R$3,0,0,'Données projet'!$E$9+1,1))-AVERAGE(OFFSET($H$3,0,0,'Données projet'!$E$9+1,1))</f>
        <v>255.1976414275677</v>
      </c>
      <c r="T94" s="62">
        <f t="shared" si="88"/>
        <v>266.42714758321767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3.4979392051785076</v>
      </c>
      <c r="AA94" s="23">
        <f>EXP(-LN(2)/25)*AA93+(1-EXP(-LN(2)/25))/(LN(2)/25)*Calculateur!V94*Calculateur!X94*VLOOKUP('Données projet'!$B$9,Paramètres!$A$1:$I$89,3,0)*0.475*44/12</f>
        <v>2.4292360644741811</v>
      </c>
      <c r="AB94" s="23">
        <f>EXP(-LN(2)/2)*AB93+(1-EXP(-LN(2)/2))/(LN(2)/2)*V94*Y94*VLOOKUP('Données projet'!$B$9,Paramètres!$A$1:$I$89,3,0)*0.475*44/12</f>
        <v>3.9899648024991625E-9</v>
      </c>
      <c r="AC94" s="24">
        <f t="shared" si="57"/>
        <v>5.9271752736426535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0</v>
      </c>
      <c r="AJ94" s="14" t="e">
        <f>AI94*VLOOKUP('Données projet'!$B$10,Paramètres!$A$1:$I$89,3,0)*VLOOKUP('Données projet'!$B$10,Paramètres!$A$1:$I$89,5,0)</f>
        <v>#N/A</v>
      </c>
      <c r="AK94" s="14" t="e">
        <f t="shared" si="89"/>
        <v>#N/A</v>
      </c>
      <c r="AL94" s="22" t="e">
        <f t="shared" si="58"/>
        <v>#N/A</v>
      </c>
      <c r="AM94" s="62" t="e">
        <f t="shared" si="59"/>
        <v>#N/A</v>
      </c>
      <c r="AN94" s="62" t="e">
        <f ca="1">AVERAGE(OFFSET($AM$3,0,0,'Données projet'!$E$10+1,1))-AVERAGE(OFFSET($H$3,0,0,'Données projet'!$E$10+1,1))</f>
        <v>#N/A</v>
      </c>
      <c r="AO94" s="62" t="e">
        <f t="shared" si="90"/>
        <v>#N/A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 t="e">
        <f>EXP(-LN(2)/35)*AU93+(1-EXP(-LN(2)/35))/(LN(2)/35)*AQ94*AR94*VLOOKUP('Données projet'!$B$10,Paramètres!$A$1:$I$89,3,0)*0.475*44/12</f>
        <v>#N/A</v>
      </c>
      <c r="AV94" s="23" t="e">
        <f>EXP(-LN(2)/25)*AV93+(1-EXP(-LN(2)/25))/(LN(2)/25)*Calculateur!AQ94*Calculateur!AS94*VLOOKUP('Données projet'!$B$10,Paramètres!$A$1:$I$89,3,0)*0.475*44/12</f>
        <v>#N/A</v>
      </c>
      <c r="AW94" s="23" t="e">
        <f>EXP(-LN(2)/2)*AW93+(1-EXP(-LN(2)/2))/(LN(2)/2)*AQ94*AT94*VLOOKUP('Données projet'!$B$10,Paramètres!$A$1:$I$89,3,0)*0.475*44/12</f>
        <v>#N/A</v>
      </c>
      <c r="AX94" s="23" t="e">
        <f t="shared" si="60"/>
        <v>#N/A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 t="e">
        <f>BD94*VLOOKUP('Données projet'!$B$11,Paramètres!$A$1:$I$89,3,0)*VLOOKUP('Données projet'!$B$11,Paramètres!$A$1:$I$89,5,0)</f>
        <v>#N/A</v>
      </c>
      <c r="BF94" s="14" t="e">
        <f t="shared" si="91"/>
        <v>#N/A</v>
      </c>
      <c r="BG94" s="22" t="e">
        <f t="shared" si="61"/>
        <v>#N/A</v>
      </c>
      <c r="BH94" s="62" t="e">
        <f t="shared" si="62"/>
        <v>#N/A</v>
      </c>
      <c r="BI94" s="62" t="e">
        <f ca="1">AVERAGE(OFFSET($BH$3,0,0,'Données projet'!$E$11+1,1))-AVERAGE(OFFSET($H$3,0,0,'Données projet'!$E$11+1,1))</f>
        <v>#N/A</v>
      </c>
      <c r="BJ94" s="62" t="e">
        <f t="shared" si="92"/>
        <v>#N/A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 t="e">
        <f>EXP(-LN(2)/35)*BP93+(1-EXP(-LN(2)/35))/(LN(2)/35)*BL94*BM94*VLOOKUP('Données projet'!$B$11,Paramètres!$A$1:$I$89,3,0)*0.475*44/12</f>
        <v>#N/A</v>
      </c>
      <c r="BQ94" s="23" t="e">
        <f>EXP(-LN(2)/25)*BQ93+(1-EXP(-LN(2)/25))/(LN(2)/25)*Calculateur!BL94*Calculateur!BN94*VLOOKUP('Données projet'!$B$11,Paramètres!$A$1:$I$89,3,0)*0.475*44/12</f>
        <v>#N/A</v>
      </c>
      <c r="BR94" s="23" t="e">
        <f>EXP(-LN(2)/2)*BR93+(1-EXP(-LN(2)/2))/(LN(2)/2)*BL94*BO94*VLOOKUP('Données projet'!$B$11,Paramètres!$A$1:$I$89,3,0)*0.475*44/12</f>
        <v>#N/A</v>
      </c>
      <c r="BS94" s="24" t="e">
        <f t="shared" si="63"/>
        <v>#N/A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3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45.447999999999986</v>
      </c>
      <c r="D95" s="12">
        <f t="shared" si="86"/>
        <v>13.431735195887134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10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454.51023659983042</v>
      </c>
      <c r="H95" s="70">
        <f t="shared" si="56"/>
        <v>395.88220546617003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-1.1368683772161603E-13</v>
      </c>
      <c r="O95" s="14">
        <f>N95*VLOOKUP('Données projet'!$B$9,Paramètres!$A$1:$I$89,3,0)*VLOOKUP('Données projet'!$B$9,Paramètres!$A$1:$I$89,5,0)</f>
        <v>-6.7984728957526396E-14</v>
      </c>
      <c r="P95" s="14" t="e">
        <f t="shared" si="87"/>
        <v>#NUM!</v>
      </c>
      <c r="Q95" s="22" t="e">
        <f t="shared" si="54"/>
        <v>#NUM!</v>
      </c>
      <c r="R95" s="62" t="e">
        <f t="shared" si="55"/>
        <v>#NUM!</v>
      </c>
      <c r="S95" s="62">
        <f ca="1">AVERAGE(OFFSET($R$3,0,0,'Données projet'!$E$9+1,1))-AVERAGE(OFFSET($H$3,0,0,'Données projet'!$E$9+1,1))</f>
        <v>255.1976414275677</v>
      </c>
      <c r="T95" s="62">
        <f t="shared" si="88"/>
        <v>266.42714758321767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3.4293467508972033</v>
      </c>
      <c r="AA95" s="23">
        <f>EXP(-LN(2)/25)*AA94+(1-EXP(-LN(2)/25))/(LN(2)/25)*Calculateur!V95*Calculateur!X95*VLOOKUP('Données projet'!$B$9,Paramètres!$A$1:$I$89,3,0)*0.475*44/12</f>
        <v>2.3628084765431621</v>
      </c>
      <c r="AB95" s="23">
        <f>EXP(-LN(2)/2)*AB94+(1-EXP(-LN(2)/2))/(LN(2)/2)*V95*Y95*VLOOKUP('Données projet'!$B$9,Paramètres!$A$1:$I$89,3,0)*0.475*44/12</f>
        <v>2.8213311685428017E-9</v>
      </c>
      <c r="AC95" s="24">
        <f t="shared" si="57"/>
        <v>5.792155230261697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0</v>
      </c>
      <c r="AJ95" s="14" t="e">
        <f>AI95*VLOOKUP('Données projet'!$B$10,Paramètres!$A$1:$I$89,3,0)*VLOOKUP('Données projet'!$B$10,Paramètres!$A$1:$I$89,5,0)</f>
        <v>#N/A</v>
      </c>
      <c r="AK95" s="14" t="e">
        <f t="shared" si="89"/>
        <v>#N/A</v>
      </c>
      <c r="AL95" s="22" t="e">
        <f t="shared" si="58"/>
        <v>#N/A</v>
      </c>
      <c r="AM95" s="62" t="e">
        <f t="shared" si="59"/>
        <v>#N/A</v>
      </c>
      <c r="AN95" s="62" t="e">
        <f ca="1">AVERAGE(OFFSET($AM$3,0,0,'Données projet'!$E$10+1,1))-AVERAGE(OFFSET($H$3,0,0,'Données projet'!$E$10+1,1))</f>
        <v>#N/A</v>
      </c>
      <c r="AO95" s="62" t="e">
        <f t="shared" si="90"/>
        <v>#N/A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 t="e">
        <f>EXP(-LN(2)/35)*AU94+(1-EXP(-LN(2)/35))/(LN(2)/35)*AQ95*AR95*VLOOKUP('Données projet'!$B$10,Paramètres!$A$1:$I$89,3,0)*0.475*44/12</f>
        <v>#N/A</v>
      </c>
      <c r="AV95" s="23" t="e">
        <f>EXP(-LN(2)/25)*AV94+(1-EXP(-LN(2)/25))/(LN(2)/25)*Calculateur!AQ95*Calculateur!AS95*VLOOKUP('Données projet'!$B$10,Paramètres!$A$1:$I$89,3,0)*0.475*44/12</f>
        <v>#N/A</v>
      </c>
      <c r="AW95" s="23" t="e">
        <f>EXP(-LN(2)/2)*AW94+(1-EXP(-LN(2)/2))/(LN(2)/2)*AQ95*AT95*VLOOKUP('Données projet'!$B$10,Paramètres!$A$1:$I$89,3,0)*0.475*44/12</f>
        <v>#N/A</v>
      </c>
      <c r="AX95" s="23" t="e">
        <f t="shared" si="60"/>
        <v>#N/A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 t="e">
        <f>BD95*VLOOKUP('Données projet'!$B$11,Paramètres!$A$1:$I$89,3,0)*VLOOKUP('Données projet'!$B$11,Paramètres!$A$1:$I$89,5,0)</f>
        <v>#N/A</v>
      </c>
      <c r="BF95" s="14" t="e">
        <f t="shared" si="91"/>
        <v>#N/A</v>
      </c>
      <c r="BG95" s="22" t="e">
        <f t="shared" si="61"/>
        <v>#N/A</v>
      </c>
      <c r="BH95" s="62" t="e">
        <f t="shared" si="62"/>
        <v>#N/A</v>
      </c>
      <c r="BI95" s="62" t="e">
        <f ca="1">AVERAGE(OFFSET($BH$3,0,0,'Données projet'!$E$11+1,1))-AVERAGE(OFFSET($H$3,0,0,'Données projet'!$E$11+1,1))</f>
        <v>#N/A</v>
      </c>
      <c r="BJ95" s="62" t="e">
        <f t="shared" si="92"/>
        <v>#N/A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 t="e">
        <f>EXP(-LN(2)/35)*BP94+(1-EXP(-LN(2)/35))/(LN(2)/35)*BL95*BM95*VLOOKUP('Données projet'!$B$11,Paramètres!$A$1:$I$89,3,0)*0.475*44/12</f>
        <v>#N/A</v>
      </c>
      <c r="BQ95" s="23" t="e">
        <f>EXP(-LN(2)/25)*BQ94+(1-EXP(-LN(2)/25))/(LN(2)/25)*Calculateur!BL95*Calculateur!BN95*VLOOKUP('Données projet'!$B$11,Paramètres!$A$1:$I$89,3,0)*0.475*44/12</f>
        <v>#N/A</v>
      </c>
      <c r="BR95" s="23" t="e">
        <f>EXP(-LN(2)/2)*BR94+(1-EXP(-LN(2)/2))/(LN(2)/2)*BL95*BO95*VLOOKUP('Données projet'!$B$11,Paramètres!$A$1:$I$89,3,0)*0.475*44/12</f>
        <v>#N/A</v>
      </c>
      <c r="BS95" s="24" t="e">
        <f t="shared" si="63"/>
        <v>#N/A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3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45.941999999999986</v>
      </c>
      <c r="D96" s="12">
        <f t="shared" si="86"/>
        <v>13.560656972375495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10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459.31875557623181</v>
      </c>
      <c r="H96" s="70">
        <f t="shared" si="56"/>
        <v>396.9671275602206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-1.1368683772161603E-13</v>
      </c>
      <c r="O96" s="14">
        <f>N96*VLOOKUP('Données projet'!$B$9,Paramètres!$A$1:$I$89,3,0)*VLOOKUP('Données projet'!$B$9,Paramètres!$A$1:$I$89,5,0)</f>
        <v>-6.7984728957526396E-14</v>
      </c>
      <c r="P96" s="14" t="e">
        <f t="shared" si="87"/>
        <v>#NUM!</v>
      </c>
      <c r="Q96" s="22" t="e">
        <f t="shared" si="54"/>
        <v>#NUM!</v>
      </c>
      <c r="R96" s="62" t="e">
        <f t="shared" si="55"/>
        <v>#NUM!</v>
      </c>
      <c r="S96" s="62">
        <f ca="1">AVERAGE(OFFSET($R$3,0,0,'Données projet'!$E$9+1,1))-AVERAGE(OFFSET($H$3,0,0,'Données projet'!$E$9+1,1))</f>
        <v>255.1976414275677</v>
      </c>
      <c r="T96" s="62">
        <f t="shared" si="88"/>
        <v>266.42714758321767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3.3620993528070895</v>
      </c>
      <c r="AA96" s="23">
        <f>EXP(-LN(2)/25)*AA95+(1-EXP(-LN(2)/25))/(LN(2)/25)*Calculateur!V96*Calculateur!X96*VLOOKUP('Données projet'!$B$9,Paramètres!$A$1:$I$89,3,0)*0.475*44/12</f>
        <v>2.2981973544973919</v>
      </c>
      <c r="AB96" s="23">
        <f>EXP(-LN(2)/2)*AB95+(1-EXP(-LN(2)/2))/(LN(2)/2)*V96*Y96*VLOOKUP('Données projet'!$B$9,Paramètres!$A$1:$I$89,3,0)*0.475*44/12</f>
        <v>1.9949824012495812E-9</v>
      </c>
      <c r="AC96" s="24">
        <f t="shared" si="57"/>
        <v>5.6602967092994634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0</v>
      </c>
      <c r="AJ96" s="14" t="e">
        <f>AI96*VLOOKUP('Données projet'!$B$10,Paramètres!$A$1:$I$89,3,0)*VLOOKUP('Données projet'!$B$10,Paramètres!$A$1:$I$89,5,0)</f>
        <v>#N/A</v>
      </c>
      <c r="AK96" s="14" t="e">
        <f t="shared" si="89"/>
        <v>#N/A</v>
      </c>
      <c r="AL96" s="22" t="e">
        <f t="shared" si="58"/>
        <v>#N/A</v>
      </c>
      <c r="AM96" s="62" t="e">
        <f t="shared" si="59"/>
        <v>#N/A</v>
      </c>
      <c r="AN96" s="62" t="e">
        <f ca="1">AVERAGE(OFFSET($AM$3,0,0,'Données projet'!$E$10+1,1))-AVERAGE(OFFSET($H$3,0,0,'Données projet'!$E$10+1,1))</f>
        <v>#N/A</v>
      </c>
      <c r="AO96" s="62" t="e">
        <f t="shared" si="90"/>
        <v>#N/A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 t="e">
        <f>EXP(-LN(2)/35)*AU95+(1-EXP(-LN(2)/35))/(LN(2)/35)*AQ96*AR96*VLOOKUP('Données projet'!$B$10,Paramètres!$A$1:$I$89,3,0)*0.475*44/12</f>
        <v>#N/A</v>
      </c>
      <c r="AV96" s="23" t="e">
        <f>EXP(-LN(2)/25)*AV95+(1-EXP(-LN(2)/25))/(LN(2)/25)*Calculateur!AQ96*Calculateur!AS96*VLOOKUP('Données projet'!$B$10,Paramètres!$A$1:$I$89,3,0)*0.475*44/12</f>
        <v>#N/A</v>
      </c>
      <c r="AW96" s="23" t="e">
        <f>EXP(-LN(2)/2)*AW95+(1-EXP(-LN(2)/2))/(LN(2)/2)*AQ96*AT96*VLOOKUP('Données projet'!$B$10,Paramètres!$A$1:$I$89,3,0)*0.475*44/12</f>
        <v>#N/A</v>
      </c>
      <c r="AX96" s="23" t="e">
        <f t="shared" si="60"/>
        <v>#N/A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 t="e">
        <f>BD96*VLOOKUP('Données projet'!$B$11,Paramètres!$A$1:$I$89,3,0)*VLOOKUP('Données projet'!$B$11,Paramètres!$A$1:$I$89,5,0)</f>
        <v>#N/A</v>
      </c>
      <c r="BF96" s="14" t="e">
        <f t="shared" si="91"/>
        <v>#N/A</v>
      </c>
      <c r="BG96" s="22" t="e">
        <f t="shared" si="61"/>
        <v>#N/A</v>
      </c>
      <c r="BH96" s="62" t="e">
        <f t="shared" si="62"/>
        <v>#N/A</v>
      </c>
      <c r="BI96" s="62" t="e">
        <f ca="1">AVERAGE(OFFSET($BH$3,0,0,'Données projet'!$E$11+1,1))-AVERAGE(OFFSET($H$3,0,0,'Données projet'!$E$11+1,1))</f>
        <v>#N/A</v>
      </c>
      <c r="BJ96" s="62" t="e">
        <f t="shared" si="92"/>
        <v>#N/A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 t="e">
        <f>EXP(-LN(2)/35)*BP95+(1-EXP(-LN(2)/35))/(LN(2)/35)*BL96*BM96*VLOOKUP('Données projet'!$B$11,Paramètres!$A$1:$I$89,3,0)*0.475*44/12</f>
        <v>#N/A</v>
      </c>
      <c r="BQ96" s="23" t="e">
        <f>EXP(-LN(2)/25)*BQ95+(1-EXP(-LN(2)/25))/(LN(2)/25)*Calculateur!BL96*Calculateur!BN96*VLOOKUP('Données projet'!$B$11,Paramètres!$A$1:$I$89,3,0)*0.475*44/12</f>
        <v>#N/A</v>
      </c>
      <c r="BR96" s="23" t="e">
        <f>EXP(-LN(2)/2)*BR95+(1-EXP(-LN(2)/2))/(LN(2)/2)*BL96*BO96*VLOOKUP('Données projet'!$B$11,Paramètres!$A$1:$I$89,3,0)*0.475*44/12</f>
        <v>#N/A</v>
      </c>
      <c r="BS96" s="24" t="e">
        <f t="shared" si="63"/>
        <v>#N/A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3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46.435999999999986</v>
      </c>
      <c r="D97" s="12">
        <f t="shared" si="86"/>
        <v>13.689417486356579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10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464.12602971924372</v>
      </c>
      <c r="H97" s="70">
        <f t="shared" si="56"/>
        <v>398.05176878873766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-1.1368683772161603E-13</v>
      </c>
      <c r="O97" s="14">
        <f>N97*VLOOKUP('Données projet'!$B$9,Paramètres!$A$1:$I$89,3,0)*VLOOKUP('Données projet'!$B$9,Paramètres!$A$1:$I$89,5,0)</f>
        <v>-6.7984728957526396E-14</v>
      </c>
      <c r="P97" s="14" t="e">
        <f t="shared" si="87"/>
        <v>#NUM!</v>
      </c>
      <c r="Q97" s="22" t="e">
        <f t="shared" si="54"/>
        <v>#NUM!</v>
      </c>
      <c r="R97" s="62" t="e">
        <f t="shared" si="55"/>
        <v>#NUM!</v>
      </c>
      <c r="S97" s="62">
        <f ca="1">AVERAGE(OFFSET($R$3,0,0,'Données projet'!$E$9+1,1))-AVERAGE(OFFSET($H$3,0,0,'Données projet'!$E$9+1,1))</f>
        <v>255.1976414275677</v>
      </c>
      <c r="T97" s="62">
        <f t="shared" si="88"/>
        <v>266.42714758321767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3.2961706351766602</v>
      </c>
      <c r="AA97" s="23">
        <f>EXP(-LN(2)/25)*AA96+(1-EXP(-LN(2)/25))/(LN(2)/25)*Calculateur!V97*Calculateur!X97*VLOOKUP('Données projet'!$B$9,Paramètres!$A$1:$I$89,3,0)*0.475*44/12</f>
        <v>2.2353530269817146</v>
      </c>
      <c r="AB97" s="23">
        <f>EXP(-LN(2)/2)*AB96+(1-EXP(-LN(2)/2))/(LN(2)/2)*V97*Y97*VLOOKUP('Données projet'!$B$9,Paramètres!$A$1:$I$89,3,0)*0.475*44/12</f>
        <v>1.4106655842714008E-9</v>
      </c>
      <c r="AC97" s="24">
        <f t="shared" si="57"/>
        <v>5.5315236635690397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0</v>
      </c>
      <c r="AJ97" s="14" t="e">
        <f>AI97*VLOOKUP('Données projet'!$B$10,Paramètres!$A$1:$I$89,3,0)*VLOOKUP('Données projet'!$B$10,Paramètres!$A$1:$I$89,5,0)</f>
        <v>#N/A</v>
      </c>
      <c r="AK97" s="14" t="e">
        <f t="shared" si="89"/>
        <v>#N/A</v>
      </c>
      <c r="AL97" s="22" t="e">
        <f t="shared" si="58"/>
        <v>#N/A</v>
      </c>
      <c r="AM97" s="62" t="e">
        <f t="shared" si="59"/>
        <v>#N/A</v>
      </c>
      <c r="AN97" s="62" t="e">
        <f ca="1">AVERAGE(OFFSET($AM$3,0,0,'Données projet'!$E$10+1,1))-AVERAGE(OFFSET($H$3,0,0,'Données projet'!$E$10+1,1))</f>
        <v>#N/A</v>
      </c>
      <c r="AO97" s="62" t="e">
        <f t="shared" si="90"/>
        <v>#N/A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 t="e">
        <f>EXP(-LN(2)/35)*AU96+(1-EXP(-LN(2)/35))/(LN(2)/35)*AQ97*AR97*VLOOKUP('Données projet'!$B$10,Paramètres!$A$1:$I$89,3,0)*0.475*44/12</f>
        <v>#N/A</v>
      </c>
      <c r="AV97" s="23" t="e">
        <f>EXP(-LN(2)/25)*AV96+(1-EXP(-LN(2)/25))/(LN(2)/25)*Calculateur!AQ97*Calculateur!AS97*VLOOKUP('Données projet'!$B$10,Paramètres!$A$1:$I$89,3,0)*0.475*44/12</f>
        <v>#N/A</v>
      </c>
      <c r="AW97" s="23" t="e">
        <f>EXP(-LN(2)/2)*AW96+(1-EXP(-LN(2)/2))/(LN(2)/2)*AQ97*AT97*VLOOKUP('Données projet'!$B$10,Paramètres!$A$1:$I$89,3,0)*0.475*44/12</f>
        <v>#N/A</v>
      </c>
      <c r="AX97" s="23" t="e">
        <f t="shared" si="60"/>
        <v>#N/A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 t="e">
        <f>BD97*VLOOKUP('Données projet'!$B$11,Paramètres!$A$1:$I$89,3,0)*VLOOKUP('Données projet'!$B$11,Paramètres!$A$1:$I$89,5,0)</f>
        <v>#N/A</v>
      </c>
      <c r="BF97" s="14" t="e">
        <f t="shared" si="91"/>
        <v>#N/A</v>
      </c>
      <c r="BG97" s="22" t="e">
        <f t="shared" si="61"/>
        <v>#N/A</v>
      </c>
      <c r="BH97" s="62" t="e">
        <f t="shared" si="62"/>
        <v>#N/A</v>
      </c>
      <c r="BI97" s="62" t="e">
        <f ca="1">AVERAGE(OFFSET($BH$3,0,0,'Données projet'!$E$11+1,1))-AVERAGE(OFFSET($H$3,0,0,'Données projet'!$E$11+1,1))</f>
        <v>#N/A</v>
      </c>
      <c r="BJ97" s="62" t="e">
        <f t="shared" si="92"/>
        <v>#N/A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 t="e">
        <f>EXP(-LN(2)/35)*BP96+(1-EXP(-LN(2)/35))/(LN(2)/35)*BL97*BM97*VLOOKUP('Données projet'!$B$11,Paramètres!$A$1:$I$89,3,0)*0.475*44/12</f>
        <v>#N/A</v>
      </c>
      <c r="BQ97" s="23" t="e">
        <f>EXP(-LN(2)/25)*BQ96+(1-EXP(-LN(2)/25))/(LN(2)/25)*Calculateur!BL97*Calculateur!BN97*VLOOKUP('Données projet'!$B$11,Paramètres!$A$1:$I$89,3,0)*0.475*44/12</f>
        <v>#N/A</v>
      </c>
      <c r="BR97" s="23" t="e">
        <f>EXP(-LN(2)/2)*BR96+(1-EXP(-LN(2)/2))/(LN(2)/2)*BL97*BO97*VLOOKUP('Données projet'!$B$11,Paramètres!$A$1:$I$89,3,0)*0.475*44/12</f>
        <v>#N/A</v>
      </c>
      <c r="BS97" s="24" t="e">
        <f t="shared" si="63"/>
        <v>#N/A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3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46.929999999999986</v>
      </c>
      <c r="D98" s="12">
        <f t="shared" si="86"/>
        <v>13.818018651967211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10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468.93207380465907</v>
      </c>
      <c r="H98" s="70">
        <f t="shared" si="56"/>
        <v>399.13613248550951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-1.1368683772161603E-13</v>
      </c>
      <c r="O98" s="14">
        <f>N98*VLOOKUP('Données projet'!$B$9,Paramètres!$A$1:$I$89,3,0)*VLOOKUP('Données projet'!$B$9,Paramètres!$A$1:$I$89,5,0)</f>
        <v>-6.7984728957526396E-14</v>
      </c>
      <c r="P98" s="14" t="e">
        <f t="shared" si="87"/>
        <v>#NUM!</v>
      </c>
      <c r="Q98" s="22" t="e">
        <f t="shared" si="54"/>
        <v>#NUM!</v>
      </c>
      <c r="R98" s="62" t="e">
        <f t="shared" si="55"/>
        <v>#NUM!</v>
      </c>
      <c r="S98" s="62">
        <f ca="1">AVERAGE(OFFSET($R$3,0,0,'Données projet'!$E$9+1,1))-AVERAGE(OFFSET($H$3,0,0,'Données projet'!$E$9+1,1))</f>
        <v>255.1976414275677</v>
      </c>
      <c r="T98" s="62">
        <f t="shared" si="88"/>
        <v>266.42714758321767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3.2315347394864165</v>
      </c>
      <c r="AA98" s="23">
        <f>EXP(-LN(2)/25)*AA97+(1-EXP(-LN(2)/25))/(LN(2)/25)*Calculateur!V98*Calculateur!X98*VLOOKUP('Données projet'!$B$9,Paramètres!$A$1:$I$89,3,0)*0.475*44/12</f>
        <v>2.1742271809067928</v>
      </c>
      <c r="AB98" s="23">
        <f>EXP(-LN(2)/2)*AB97+(1-EXP(-LN(2)/2))/(LN(2)/2)*V98*Y98*VLOOKUP('Données projet'!$B$9,Paramètres!$A$1:$I$89,3,0)*0.475*44/12</f>
        <v>9.9749120062479062E-10</v>
      </c>
      <c r="AC98" s="24">
        <f t="shared" si="57"/>
        <v>5.4057619213906998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0</v>
      </c>
      <c r="AJ98" s="14" t="e">
        <f>AI98*VLOOKUP('Données projet'!$B$10,Paramètres!$A$1:$I$89,3,0)*VLOOKUP('Données projet'!$B$10,Paramètres!$A$1:$I$89,5,0)</f>
        <v>#N/A</v>
      </c>
      <c r="AK98" s="14" t="e">
        <f t="shared" si="89"/>
        <v>#N/A</v>
      </c>
      <c r="AL98" s="22" t="e">
        <f t="shared" si="58"/>
        <v>#N/A</v>
      </c>
      <c r="AM98" s="62" t="e">
        <f t="shared" si="59"/>
        <v>#N/A</v>
      </c>
      <c r="AN98" s="62" t="e">
        <f ca="1">AVERAGE(OFFSET($AM$3,0,0,'Données projet'!$E$10+1,1))-AVERAGE(OFFSET($H$3,0,0,'Données projet'!$E$10+1,1))</f>
        <v>#N/A</v>
      </c>
      <c r="AO98" s="62" t="e">
        <f t="shared" si="90"/>
        <v>#N/A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 t="e">
        <f>EXP(-LN(2)/35)*AU97+(1-EXP(-LN(2)/35))/(LN(2)/35)*AQ98*AR98*VLOOKUP('Données projet'!$B$10,Paramètres!$A$1:$I$89,3,0)*0.475*44/12</f>
        <v>#N/A</v>
      </c>
      <c r="AV98" s="23" t="e">
        <f>EXP(-LN(2)/25)*AV97+(1-EXP(-LN(2)/25))/(LN(2)/25)*Calculateur!AQ98*Calculateur!AS98*VLOOKUP('Données projet'!$B$10,Paramètres!$A$1:$I$89,3,0)*0.475*44/12</f>
        <v>#N/A</v>
      </c>
      <c r="AW98" s="23" t="e">
        <f>EXP(-LN(2)/2)*AW97+(1-EXP(-LN(2)/2))/(LN(2)/2)*AQ98*AT98*VLOOKUP('Données projet'!$B$10,Paramètres!$A$1:$I$89,3,0)*0.475*44/12</f>
        <v>#N/A</v>
      </c>
      <c r="AX98" s="23" t="e">
        <f t="shared" si="60"/>
        <v>#N/A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 t="e">
        <f>BD98*VLOOKUP('Données projet'!$B$11,Paramètres!$A$1:$I$89,3,0)*VLOOKUP('Données projet'!$B$11,Paramètres!$A$1:$I$89,5,0)</f>
        <v>#N/A</v>
      </c>
      <c r="BF98" s="14" t="e">
        <f t="shared" si="91"/>
        <v>#N/A</v>
      </c>
      <c r="BG98" s="22" t="e">
        <f t="shared" si="61"/>
        <v>#N/A</v>
      </c>
      <c r="BH98" s="62" t="e">
        <f t="shared" si="62"/>
        <v>#N/A</v>
      </c>
      <c r="BI98" s="62" t="e">
        <f ca="1">AVERAGE(OFFSET($BH$3,0,0,'Données projet'!$E$11+1,1))-AVERAGE(OFFSET($H$3,0,0,'Données projet'!$E$11+1,1))</f>
        <v>#N/A</v>
      </c>
      <c r="BJ98" s="62" t="e">
        <f t="shared" si="92"/>
        <v>#N/A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 t="e">
        <f>EXP(-LN(2)/35)*BP97+(1-EXP(-LN(2)/35))/(LN(2)/35)*BL98*BM98*VLOOKUP('Données projet'!$B$11,Paramètres!$A$1:$I$89,3,0)*0.475*44/12</f>
        <v>#N/A</v>
      </c>
      <c r="BQ98" s="23" t="e">
        <f>EXP(-LN(2)/25)*BQ97+(1-EXP(-LN(2)/25))/(LN(2)/25)*Calculateur!BL98*Calculateur!BN98*VLOOKUP('Données projet'!$B$11,Paramètres!$A$1:$I$89,3,0)*0.475*44/12</f>
        <v>#N/A</v>
      </c>
      <c r="BR98" s="23" t="e">
        <f>EXP(-LN(2)/2)*BR97+(1-EXP(-LN(2)/2))/(LN(2)/2)*BL98*BO98*VLOOKUP('Données projet'!$B$11,Paramètres!$A$1:$I$89,3,0)*0.475*44/12</f>
        <v>#N/A</v>
      </c>
      <c r="BS98" s="24" t="e">
        <f t="shared" si="63"/>
        <v>#N/A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3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47.423999999999985</v>
      </c>
      <c r="D99" s="12">
        <f t="shared" si="86"/>
        <v>13.946462340725052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10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473.73690227928097</v>
      </c>
      <c r="H99" s="70">
        <f t="shared" si="56"/>
        <v>400.22022191009609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-1.1368683772161603E-13</v>
      </c>
      <c r="O99" s="14">
        <f>N99*VLOOKUP('Données projet'!$B$9,Paramètres!$A$1:$I$89,3,0)*VLOOKUP('Données projet'!$B$9,Paramètres!$A$1:$I$89,5,0)</f>
        <v>-6.7984728957526396E-14</v>
      </c>
      <c r="P99" s="14" t="e">
        <f t="shared" si="87"/>
        <v>#NUM!</v>
      </c>
      <c r="Q99" s="22" t="e">
        <f t="shared" ref="Q99:Q130" si="107">(O99+P99)*0.475*44/12</f>
        <v>#NUM!</v>
      </c>
      <c r="R99" s="62" t="e">
        <f t="shared" si="55"/>
        <v>#NUM!</v>
      </c>
      <c r="S99" s="62">
        <f ca="1">AVERAGE(OFFSET($R$3,0,0,'Données projet'!$E$9+1,1))-AVERAGE(OFFSET($H$3,0,0,'Données projet'!$E$9+1,1))</f>
        <v>255.1976414275677</v>
      </c>
      <c r="T99" s="62">
        <f t="shared" si="88"/>
        <v>266.42714758321767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3.1681663142866547</v>
      </c>
      <c r="AA99" s="23">
        <f>EXP(-LN(2)/25)*AA98+(1-EXP(-LN(2)/25))/(LN(2)/25)*Calculateur!V99*Calculateur!X99*VLOOKUP('Données projet'!$B$9,Paramètres!$A$1:$I$89,3,0)*0.475*44/12</f>
        <v>2.1147728243072583</v>
      </c>
      <c r="AB99" s="23">
        <f>EXP(-LN(2)/2)*AB98+(1-EXP(-LN(2)/2))/(LN(2)/2)*V99*Y99*VLOOKUP('Données projet'!$B$9,Paramètres!$A$1:$I$89,3,0)*0.475*44/12</f>
        <v>7.0533279213570042E-10</v>
      </c>
      <c r="AC99" s="24">
        <f t="shared" si="57"/>
        <v>5.2829391392992457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0</v>
      </c>
      <c r="AJ99" s="14" t="e">
        <f>AI99*VLOOKUP('Données projet'!$B$10,Paramètres!$A$1:$I$89,3,0)*VLOOKUP('Données projet'!$B$10,Paramètres!$A$1:$I$89,5,0)</f>
        <v>#N/A</v>
      </c>
      <c r="AK99" s="14" t="e">
        <f t="shared" si="89"/>
        <v>#N/A</v>
      </c>
      <c r="AL99" s="22" t="e">
        <f t="shared" si="58"/>
        <v>#N/A</v>
      </c>
      <c r="AM99" s="62" t="e">
        <f t="shared" si="59"/>
        <v>#N/A</v>
      </c>
      <c r="AN99" s="62" t="e">
        <f ca="1">AVERAGE(OFFSET($AM$3,0,0,'Données projet'!$E$10+1,1))-AVERAGE(OFFSET($H$3,0,0,'Données projet'!$E$10+1,1))</f>
        <v>#N/A</v>
      </c>
      <c r="AO99" s="62" t="e">
        <f t="shared" si="90"/>
        <v>#N/A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 t="e">
        <f>EXP(-LN(2)/35)*AU98+(1-EXP(-LN(2)/35))/(LN(2)/35)*AQ99*AR99*VLOOKUP('Données projet'!$B$10,Paramètres!$A$1:$I$89,3,0)*0.475*44/12</f>
        <v>#N/A</v>
      </c>
      <c r="AV99" s="23" t="e">
        <f>EXP(-LN(2)/25)*AV98+(1-EXP(-LN(2)/25))/(LN(2)/25)*Calculateur!AQ99*Calculateur!AS99*VLOOKUP('Données projet'!$B$10,Paramètres!$A$1:$I$89,3,0)*0.475*44/12</f>
        <v>#N/A</v>
      </c>
      <c r="AW99" s="23" t="e">
        <f>EXP(-LN(2)/2)*AW98+(1-EXP(-LN(2)/2))/(LN(2)/2)*AQ99*AT99*VLOOKUP('Données projet'!$B$10,Paramètres!$A$1:$I$89,3,0)*0.475*44/12</f>
        <v>#N/A</v>
      </c>
      <c r="AX99" s="23" t="e">
        <f t="shared" si="60"/>
        <v>#N/A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 t="e">
        <f>BD99*VLOOKUP('Données projet'!$B$11,Paramètres!$A$1:$I$89,3,0)*VLOOKUP('Données projet'!$B$11,Paramètres!$A$1:$I$89,5,0)</f>
        <v>#N/A</v>
      </c>
      <c r="BF99" s="14" t="e">
        <f t="shared" si="91"/>
        <v>#N/A</v>
      </c>
      <c r="BG99" s="22" t="e">
        <f t="shared" si="61"/>
        <v>#N/A</v>
      </c>
      <c r="BH99" s="62" t="e">
        <f t="shared" si="62"/>
        <v>#N/A</v>
      </c>
      <c r="BI99" s="62" t="e">
        <f ca="1">AVERAGE(OFFSET($BH$3,0,0,'Données projet'!$E$11+1,1))-AVERAGE(OFFSET($H$3,0,0,'Données projet'!$E$11+1,1))</f>
        <v>#N/A</v>
      </c>
      <c r="BJ99" s="62" t="e">
        <f t="shared" si="92"/>
        <v>#N/A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 t="e">
        <f>EXP(-LN(2)/35)*BP98+(1-EXP(-LN(2)/35))/(LN(2)/35)*BL99*BM99*VLOOKUP('Données projet'!$B$11,Paramètres!$A$1:$I$89,3,0)*0.475*44/12</f>
        <v>#N/A</v>
      </c>
      <c r="BQ99" s="23" t="e">
        <f>EXP(-LN(2)/25)*BQ98+(1-EXP(-LN(2)/25))/(LN(2)/25)*Calculateur!BL99*Calculateur!BN99*VLOOKUP('Données projet'!$B$11,Paramètres!$A$1:$I$89,3,0)*0.475*44/12</f>
        <v>#N/A</v>
      </c>
      <c r="BR99" s="23" t="e">
        <f>EXP(-LN(2)/2)*BR98+(1-EXP(-LN(2)/2))/(LN(2)/2)*BL99*BO99*VLOOKUP('Données projet'!$B$11,Paramètres!$A$1:$I$89,3,0)*0.475*44/12</f>
        <v>#N/A</v>
      </c>
      <c r="BS99" s="24" t="e">
        <f t="shared" si="63"/>
        <v>#N/A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3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47.917999999999985</v>
      </c>
      <c r="D100" s="12">
        <f t="shared" si="86"/>
        <v>14.074750382911397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10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478.5405292715966</v>
      </c>
      <c r="H100" s="70">
        <f t="shared" si="56"/>
        <v>401.30404025023728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-1.1368683772161603E-13</v>
      </c>
      <c r="O100" s="14">
        <f>N100*VLOOKUP('Données projet'!$B$9,Paramètres!$A$1:$I$89,3,0)*VLOOKUP('Données projet'!$B$9,Paramètres!$A$1:$I$89,5,0)</f>
        <v>-6.7984728957526396E-14</v>
      </c>
      <c r="P100" s="14" t="e">
        <f t="shared" si="87"/>
        <v>#NUM!</v>
      </c>
      <c r="Q100" s="22" t="e">
        <f t="shared" si="107"/>
        <v>#NUM!</v>
      </c>
      <c r="R100" s="62" t="e">
        <f t="shared" si="55"/>
        <v>#NUM!</v>
      </c>
      <c r="S100" s="62">
        <f ca="1">AVERAGE(OFFSET($R$3,0,0,'Données projet'!$E$9+1,1))-AVERAGE(OFFSET($H$3,0,0,'Données projet'!$E$9+1,1))</f>
        <v>255.1976414275677</v>
      </c>
      <c r="T100" s="62">
        <f t="shared" si="88"/>
        <v>266.42714758321767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3.1060405052541373</v>
      </c>
      <c r="AA100" s="23">
        <f>EXP(-LN(2)/25)*AA99+(1-EXP(-LN(2)/25))/(LN(2)/25)*Calculateur!V100*Calculateur!X100*VLOOKUP('Données projet'!$B$9,Paramètres!$A$1:$I$89,3,0)*0.475*44/12</f>
        <v>2.0569442502155071</v>
      </c>
      <c r="AB100" s="23">
        <f>EXP(-LN(2)/2)*AB99+(1-EXP(-LN(2)/2))/(LN(2)/2)*V100*Y100*VLOOKUP('Données projet'!$B$9,Paramètres!$A$1:$I$89,3,0)*0.475*44/12</f>
        <v>4.9874560031239531E-10</v>
      </c>
      <c r="AC100" s="24">
        <f t="shared" si="57"/>
        <v>5.1629847559683899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0</v>
      </c>
      <c r="AJ100" s="14" t="e">
        <f>AI100*VLOOKUP('Données projet'!$B$10,Paramètres!$A$1:$I$89,3,0)*VLOOKUP('Données projet'!$B$10,Paramètres!$A$1:$I$89,5,0)</f>
        <v>#N/A</v>
      </c>
      <c r="AK100" s="14" t="e">
        <f t="shared" si="89"/>
        <v>#N/A</v>
      </c>
      <c r="AL100" s="22" t="e">
        <f t="shared" si="58"/>
        <v>#N/A</v>
      </c>
      <c r="AM100" s="62" t="e">
        <f t="shared" si="59"/>
        <v>#N/A</v>
      </c>
      <c r="AN100" s="62" t="e">
        <f ca="1">AVERAGE(OFFSET($AM$3,0,0,'Données projet'!$E$10+1,1))-AVERAGE(OFFSET($H$3,0,0,'Données projet'!$E$10+1,1))</f>
        <v>#N/A</v>
      </c>
      <c r="AO100" s="62" t="e">
        <f t="shared" si="90"/>
        <v>#N/A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 t="e">
        <f>EXP(-LN(2)/35)*AU99+(1-EXP(-LN(2)/35))/(LN(2)/35)*AQ100*AR100*VLOOKUP('Données projet'!$B$10,Paramètres!$A$1:$I$89,3,0)*0.475*44/12</f>
        <v>#N/A</v>
      </c>
      <c r="AV100" s="23" t="e">
        <f>EXP(-LN(2)/25)*AV99+(1-EXP(-LN(2)/25))/(LN(2)/25)*Calculateur!AQ100*Calculateur!AS100*VLOOKUP('Données projet'!$B$10,Paramètres!$A$1:$I$89,3,0)*0.475*44/12</f>
        <v>#N/A</v>
      </c>
      <c r="AW100" s="23" t="e">
        <f>EXP(-LN(2)/2)*AW99+(1-EXP(-LN(2)/2))/(LN(2)/2)*AQ100*AT100*VLOOKUP('Données projet'!$B$10,Paramètres!$A$1:$I$89,3,0)*0.475*44/12</f>
        <v>#N/A</v>
      </c>
      <c r="AX100" s="23" t="e">
        <f t="shared" si="60"/>
        <v>#N/A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 t="e">
        <f>BD100*VLOOKUP('Données projet'!$B$11,Paramètres!$A$1:$I$89,3,0)*VLOOKUP('Données projet'!$B$11,Paramètres!$A$1:$I$89,5,0)</f>
        <v>#N/A</v>
      </c>
      <c r="BF100" s="14" t="e">
        <f t="shared" si="91"/>
        <v>#N/A</v>
      </c>
      <c r="BG100" s="22" t="e">
        <f t="shared" si="61"/>
        <v>#N/A</v>
      </c>
      <c r="BH100" s="62" t="e">
        <f t="shared" si="62"/>
        <v>#N/A</v>
      </c>
      <c r="BI100" s="62" t="e">
        <f ca="1">AVERAGE(OFFSET($BH$3,0,0,'Données projet'!$E$11+1,1))-AVERAGE(OFFSET($H$3,0,0,'Données projet'!$E$11+1,1))</f>
        <v>#N/A</v>
      </c>
      <c r="BJ100" s="62" t="e">
        <f t="shared" si="92"/>
        <v>#N/A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 t="e">
        <f>EXP(-LN(2)/35)*BP99+(1-EXP(-LN(2)/35))/(LN(2)/35)*BL100*BM100*VLOOKUP('Données projet'!$B$11,Paramètres!$A$1:$I$89,3,0)*0.475*44/12</f>
        <v>#N/A</v>
      </c>
      <c r="BQ100" s="23" t="e">
        <f>EXP(-LN(2)/25)*BQ99+(1-EXP(-LN(2)/25))/(LN(2)/25)*Calculateur!BL100*Calculateur!BN100*VLOOKUP('Données projet'!$B$11,Paramètres!$A$1:$I$89,3,0)*0.475*44/12</f>
        <v>#N/A</v>
      </c>
      <c r="BR100" s="23" t="e">
        <f>EXP(-LN(2)/2)*BR99+(1-EXP(-LN(2)/2))/(LN(2)/2)*BL100*BO100*VLOOKUP('Données projet'!$B$11,Paramètres!$A$1:$I$89,3,0)*0.475*44/12</f>
        <v>#N/A</v>
      </c>
      <c r="BS100" s="24" t="e">
        <f t="shared" si="63"/>
        <v>#N/A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3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48.411999999999985</v>
      </c>
      <c r="D101" s="12">
        <f t="shared" si="86"/>
        <v>14.202884568895271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10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483.34296860199851</v>
      </c>
      <c r="H101" s="70">
        <f t="shared" si="56"/>
        <v>402.3875906241592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-1.1368683772161603E-13</v>
      </c>
      <c r="O101" s="14">
        <f>N101*VLOOKUP('Données projet'!$B$9,Paramètres!$A$1:$I$89,3,0)*VLOOKUP('Données projet'!$B$9,Paramètres!$A$1:$I$89,5,0)</f>
        <v>-6.7984728957526396E-14</v>
      </c>
      <c r="P101" s="14" t="e">
        <f t="shared" si="87"/>
        <v>#NUM!</v>
      </c>
      <c r="Q101" s="22" t="e">
        <f t="shared" si="107"/>
        <v>#NUM!</v>
      </c>
      <c r="R101" s="62" t="e">
        <f t="shared" si="55"/>
        <v>#NUM!</v>
      </c>
      <c r="S101" s="62">
        <f ca="1">AVERAGE(OFFSET($R$3,0,0,'Données projet'!$E$9+1,1))-AVERAGE(OFFSET($H$3,0,0,'Données projet'!$E$9+1,1))</f>
        <v>255.1976414275677</v>
      </c>
      <c r="T101" s="62">
        <f t="shared" si="88"/>
        <v>266.42714758321767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3.0451329454437457</v>
      </c>
      <c r="AA101" s="23">
        <f>EXP(-LN(2)/25)*AA100+(1-EXP(-LN(2)/25))/(LN(2)/25)*Calculateur!V101*Calculateur!X101*VLOOKUP('Données projet'!$B$9,Paramètres!$A$1:$I$89,3,0)*0.475*44/12</f>
        <v>2.0006970015233669</v>
      </c>
      <c r="AB101" s="23">
        <f>EXP(-LN(2)/2)*AB100+(1-EXP(-LN(2)/2))/(LN(2)/2)*V101*Y101*VLOOKUP('Données projet'!$B$9,Paramètres!$A$1:$I$89,3,0)*0.475*44/12</f>
        <v>3.5266639606785021E-10</v>
      </c>
      <c r="AC101" s="24">
        <f t="shared" si="57"/>
        <v>5.0458299473197785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0</v>
      </c>
      <c r="AJ101" s="14" t="e">
        <f>AI101*VLOOKUP('Données projet'!$B$10,Paramètres!$A$1:$I$89,3,0)*VLOOKUP('Données projet'!$B$10,Paramètres!$A$1:$I$89,5,0)</f>
        <v>#N/A</v>
      </c>
      <c r="AK101" s="14" t="e">
        <f t="shared" si="89"/>
        <v>#N/A</v>
      </c>
      <c r="AL101" s="22" t="e">
        <f t="shared" si="58"/>
        <v>#N/A</v>
      </c>
      <c r="AM101" s="62" t="e">
        <f t="shared" si="59"/>
        <v>#N/A</v>
      </c>
      <c r="AN101" s="62" t="e">
        <f ca="1">AVERAGE(OFFSET($AM$3,0,0,'Données projet'!$E$10+1,1))-AVERAGE(OFFSET($H$3,0,0,'Données projet'!$E$10+1,1))</f>
        <v>#N/A</v>
      </c>
      <c r="AO101" s="62" t="e">
        <f t="shared" si="90"/>
        <v>#N/A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 t="e">
        <f>EXP(-LN(2)/35)*AU100+(1-EXP(-LN(2)/35))/(LN(2)/35)*AQ101*AR101*VLOOKUP('Données projet'!$B$10,Paramètres!$A$1:$I$89,3,0)*0.475*44/12</f>
        <v>#N/A</v>
      </c>
      <c r="AV101" s="23" t="e">
        <f>EXP(-LN(2)/25)*AV100+(1-EXP(-LN(2)/25))/(LN(2)/25)*Calculateur!AQ101*Calculateur!AS101*VLOOKUP('Données projet'!$B$10,Paramètres!$A$1:$I$89,3,0)*0.475*44/12</f>
        <v>#N/A</v>
      </c>
      <c r="AW101" s="23" t="e">
        <f>EXP(-LN(2)/2)*AW100+(1-EXP(-LN(2)/2))/(LN(2)/2)*AQ101*AT101*VLOOKUP('Données projet'!$B$10,Paramètres!$A$1:$I$89,3,0)*0.475*44/12</f>
        <v>#N/A</v>
      </c>
      <c r="AX101" s="23" t="e">
        <f t="shared" si="60"/>
        <v>#N/A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 t="e">
        <f>BD101*VLOOKUP('Données projet'!$B$11,Paramètres!$A$1:$I$89,3,0)*VLOOKUP('Données projet'!$B$11,Paramètres!$A$1:$I$89,5,0)</f>
        <v>#N/A</v>
      </c>
      <c r="BF101" s="14" t="e">
        <f t="shared" si="91"/>
        <v>#N/A</v>
      </c>
      <c r="BG101" s="22" t="e">
        <f t="shared" si="61"/>
        <v>#N/A</v>
      </c>
      <c r="BH101" s="62" t="e">
        <f t="shared" si="62"/>
        <v>#N/A</v>
      </c>
      <c r="BI101" s="62" t="e">
        <f ca="1">AVERAGE(OFFSET($BH$3,0,0,'Données projet'!$E$11+1,1))-AVERAGE(OFFSET($H$3,0,0,'Données projet'!$E$11+1,1))</f>
        <v>#N/A</v>
      </c>
      <c r="BJ101" s="62" t="e">
        <f t="shared" si="92"/>
        <v>#N/A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 t="e">
        <f>EXP(-LN(2)/35)*BP100+(1-EXP(-LN(2)/35))/(LN(2)/35)*BL101*BM101*VLOOKUP('Données projet'!$B$11,Paramètres!$A$1:$I$89,3,0)*0.475*44/12</f>
        <v>#N/A</v>
      </c>
      <c r="BQ101" s="23" t="e">
        <f>EXP(-LN(2)/25)*BQ100+(1-EXP(-LN(2)/25))/(LN(2)/25)*Calculateur!BL101*Calculateur!BN101*VLOOKUP('Données projet'!$B$11,Paramètres!$A$1:$I$89,3,0)*0.475*44/12</f>
        <v>#N/A</v>
      </c>
      <c r="BR101" s="23" t="e">
        <f>EXP(-LN(2)/2)*BR100+(1-EXP(-LN(2)/2))/(LN(2)/2)*BL101*BO101*VLOOKUP('Données projet'!$B$11,Paramètres!$A$1:$I$89,3,0)*0.475*44/12</f>
        <v>#N/A</v>
      </c>
      <c r="BS101" s="24" t="e">
        <f t="shared" si="63"/>
        <v>#N/A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3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48.905999999999985</v>
      </c>
      <c r="D102" s="12">
        <f t="shared" si="86"/>
        <v>14.330866650402021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10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488.14423379257687</v>
      </c>
      <c r="H102" s="70">
        <f t="shared" si="56"/>
        <v>403.47087608278349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-1.1368683772161603E-13</v>
      </c>
      <c r="O102" s="14">
        <f>N102*VLOOKUP('Données projet'!$B$9,Paramètres!$A$1:$I$89,3,0)*VLOOKUP('Données projet'!$B$9,Paramètres!$A$1:$I$89,5,0)</f>
        <v>-6.7984728957526396E-14</v>
      </c>
      <c r="P102" s="14" t="e">
        <f t="shared" si="87"/>
        <v>#NUM!</v>
      </c>
      <c r="Q102" s="22" t="e">
        <f t="shared" si="107"/>
        <v>#NUM!</v>
      </c>
      <c r="R102" s="62" t="e">
        <f t="shared" si="55"/>
        <v>#NUM!</v>
      </c>
      <c r="S102" s="62">
        <f ca="1">AVERAGE(OFFSET($R$3,0,0,'Données projet'!$E$9+1,1))-AVERAGE(OFFSET($H$3,0,0,'Données projet'!$E$9+1,1))</f>
        <v>255.1976414275677</v>
      </c>
      <c r="T102" s="62">
        <f t="shared" si="88"/>
        <v>266.42714758321767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2.9854197457312925</v>
      </c>
      <c r="AA102" s="23">
        <f>EXP(-LN(2)/25)*AA101+(1-EXP(-LN(2)/25))/(LN(2)/25)*Calculateur!V102*Calculateur!X102*VLOOKUP('Données projet'!$B$9,Paramètres!$A$1:$I$89,3,0)*0.475*44/12</f>
        <v>1.9459878368046277</v>
      </c>
      <c r="AB102" s="23">
        <f>EXP(-LN(2)/2)*AB101+(1-EXP(-LN(2)/2))/(LN(2)/2)*V102*Y102*VLOOKUP('Données projet'!$B$9,Paramètres!$A$1:$I$89,3,0)*0.475*44/12</f>
        <v>2.4937280015619765E-10</v>
      </c>
      <c r="AC102" s="24">
        <f t="shared" si="57"/>
        <v>4.931407582785293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0</v>
      </c>
      <c r="AJ102" s="14" t="e">
        <f>AI102*VLOOKUP('Données projet'!$B$10,Paramètres!$A$1:$I$89,3,0)*VLOOKUP('Données projet'!$B$10,Paramètres!$A$1:$I$89,5,0)</f>
        <v>#N/A</v>
      </c>
      <c r="AK102" s="14" t="e">
        <f t="shared" si="89"/>
        <v>#N/A</v>
      </c>
      <c r="AL102" s="22" t="e">
        <f t="shared" si="58"/>
        <v>#N/A</v>
      </c>
      <c r="AM102" s="62" t="e">
        <f t="shared" si="59"/>
        <v>#N/A</v>
      </c>
      <c r="AN102" s="62" t="e">
        <f ca="1">AVERAGE(OFFSET($AM$3,0,0,'Données projet'!$E$10+1,1))-AVERAGE(OFFSET($H$3,0,0,'Données projet'!$E$10+1,1))</f>
        <v>#N/A</v>
      </c>
      <c r="AO102" s="62" t="e">
        <f t="shared" si="90"/>
        <v>#N/A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 t="e">
        <f>EXP(-LN(2)/35)*AU101+(1-EXP(-LN(2)/35))/(LN(2)/35)*AQ102*AR102*VLOOKUP('Données projet'!$B$10,Paramètres!$A$1:$I$89,3,0)*0.475*44/12</f>
        <v>#N/A</v>
      </c>
      <c r="AV102" s="23" t="e">
        <f>EXP(-LN(2)/25)*AV101+(1-EXP(-LN(2)/25))/(LN(2)/25)*Calculateur!AQ102*Calculateur!AS102*VLOOKUP('Données projet'!$B$10,Paramètres!$A$1:$I$89,3,0)*0.475*44/12</f>
        <v>#N/A</v>
      </c>
      <c r="AW102" s="23" t="e">
        <f>EXP(-LN(2)/2)*AW101+(1-EXP(-LN(2)/2))/(LN(2)/2)*AQ102*AT102*VLOOKUP('Données projet'!$B$10,Paramètres!$A$1:$I$89,3,0)*0.475*44/12</f>
        <v>#N/A</v>
      </c>
      <c r="AX102" s="23" t="e">
        <f t="shared" si="60"/>
        <v>#N/A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 t="e">
        <f>BD102*VLOOKUP('Données projet'!$B$11,Paramètres!$A$1:$I$89,3,0)*VLOOKUP('Données projet'!$B$11,Paramètres!$A$1:$I$89,5,0)</f>
        <v>#N/A</v>
      </c>
      <c r="BF102" s="14" t="e">
        <f t="shared" si="91"/>
        <v>#N/A</v>
      </c>
      <c r="BG102" s="22" t="e">
        <f t="shared" si="61"/>
        <v>#N/A</v>
      </c>
      <c r="BH102" s="62" t="e">
        <f t="shared" si="62"/>
        <v>#N/A</v>
      </c>
      <c r="BI102" s="62" t="e">
        <f ca="1">AVERAGE(OFFSET($BH$3,0,0,'Données projet'!$E$11+1,1))-AVERAGE(OFFSET($H$3,0,0,'Données projet'!$E$11+1,1))</f>
        <v>#N/A</v>
      </c>
      <c r="BJ102" s="62" t="e">
        <f t="shared" si="92"/>
        <v>#N/A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 t="e">
        <f>EXP(-LN(2)/35)*BP101+(1-EXP(-LN(2)/35))/(LN(2)/35)*BL102*BM102*VLOOKUP('Données projet'!$B$11,Paramètres!$A$1:$I$89,3,0)*0.475*44/12</f>
        <v>#N/A</v>
      </c>
      <c r="BQ102" s="23" t="e">
        <f>EXP(-LN(2)/25)*BQ101+(1-EXP(-LN(2)/25))/(LN(2)/25)*Calculateur!BL102*Calculateur!BN102*VLOOKUP('Données projet'!$B$11,Paramètres!$A$1:$I$89,3,0)*0.475*44/12</f>
        <v>#N/A</v>
      </c>
      <c r="BR102" s="23" t="e">
        <f>EXP(-LN(2)/2)*BR101+(1-EXP(-LN(2)/2))/(LN(2)/2)*BL102*BO102*VLOOKUP('Données projet'!$B$11,Paramètres!$A$1:$I$89,3,0)*0.475*44/12</f>
        <v>#N/A</v>
      </c>
      <c r="BS102" s="24" t="e">
        <f t="shared" si="63"/>
        <v>#N/A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3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49.399999999999984</v>
      </c>
      <c r="D103" s="12">
        <f t="shared" si="86"/>
        <v>14.458698341729095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10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492.94433807650518</v>
      </c>
      <c r="H103" s="70">
        <f t="shared" si="56"/>
        <v>404.55389961184477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-1.1368683772161603E-13</v>
      </c>
      <c r="O103" s="14">
        <f>N103*VLOOKUP('Données projet'!$B$9,Paramètres!$A$1:$I$89,3,0)*VLOOKUP('Données projet'!$B$9,Paramètres!$A$1:$I$89,5,0)</f>
        <v>-6.7984728957526396E-14</v>
      </c>
      <c r="P103" s="14" t="e">
        <f t="shared" si="87"/>
        <v>#NUM!</v>
      </c>
      <c r="Q103" s="22" t="e">
        <f t="shared" si="107"/>
        <v>#NUM!</v>
      </c>
      <c r="R103" s="62" t="e">
        <f t="shared" si="55"/>
        <v>#NUM!</v>
      </c>
      <c r="S103" s="62">
        <f ca="1">AVERAGE(OFFSET($R$3,0,0,'Données projet'!$E$9+1,1))-AVERAGE(OFFSET($H$3,0,0,'Données projet'!$E$9+1,1))</f>
        <v>255.1976414275677</v>
      </c>
      <c r="T103" s="62">
        <f t="shared" si="88"/>
        <v>266.42714758321767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2.9268774854437454</v>
      </c>
      <c r="AA103" s="23">
        <f>EXP(-LN(2)/25)*AA102+(1-EXP(-LN(2)/25))/(LN(2)/25)*Calculateur!V103*Calculateur!X103*VLOOKUP('Données projet'!$B$9,Paramètres!$A$1:$I$89,3,0)*0.475*44/12</f>
        <v>1.8927746970721524</v>
      </c>
      <c r="AB103" s="23">
        <f>EXP(-LN(2)/2)*AB102+(1-EXP(-LN(2)/2))/(LN(2)/2)*V103*Y103*VLOOKUP('Données projet'!$B$9,Paramètres!$A$1:$I$89,3,0)*0.475*44/12</f>
        <v>1.763331980339251E-10</v>
      </c>
      <c r="AC103" s="24">
        <f t="shared" si="57"/>
        <v>4.8196521826922316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0</v>
      </c>
      <c r="AJ103" s="14" t="e">
        <f>AI103*VLOOKUP('Données projet'!$B$10,Paramètres!$A$1:$I$89,3,0)*VLOOKUP('Données projet'!$B$10,Paramètres!$A$1:$I$89,5,0)</f>
        <v>#N/A</v>
      </c>
      <c r="AK103" s="14" t="e">
        <f t="shared" si="89"/>
        <v>#N/A</v>
      </c>
      <c r="AL103" s="22" t="e">
        <f t="shared" si="58"/>
        <v>#N/A</v>
      </c>
      <c r="AM103" s="62" t="e">
        <f t="shared" si="59"/>
        <v>#N/A</v>
      </c>
      <c r="AN103" s="62" t="e">
        <f ca="1">AVERAGE(OFFSET($AM$3,0,0,'Données projet'!$E$10+1,1))-AVERAGE(OFFSET($H$3,0,0,'Données projet'!$E$10+1,1))</f>
        <v>#N/A</v>
      </c>
      <c r="AO103" s="62" t="e">
        <f t="shared" si="90"/>
        <v>#N/A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 t="e">
        <f>EXP(-LN(2)/35)*AU102+(1-EXP(-LN(2)/35))/(LN(2)/35)*AQ103*AR103*VLOOKUP('Données projet'!$B$10,Paramètres!$A$1:$I$89,3,0)*0.475*44/12</f>
        <v>#N/A</v>
      </c>
      <c r="AV103" s="23" t="e">
        <f>EXP(-LN(2)/25)*AV102+(1-EXP(-LN(2)/25))/(LN(2)/25)*Calculateur!AQ103*Calculateur!AS103*VLOOKUP('Données projet'!$B$10,Paramètres!$A$1:$I$89,3,0)*0.475*44/12</f>
        <v>#N/A</v>
      </c>
      <c r="AW103" s="23" t="e">
        <f>EXP(-LN(2)/2)*AW102+(1-EXP(-LN(2)/2))/(LN(2)/2)*AQ103*AT103*VLOOKUP('Données projet'!$B$10,Paramètres!$A$1:$I$89,3,0)*0.475*44/12</f>
        <v>#N/A</v>
      </c>
      <c r="AX103" s="23" t="e">
        <f t="shared" si="60"/>
        <v>#N/A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 t="e">
        <f>BD103*VLOOKUP('Données projet'!$B$11,Paramètres!$A$1:$I$89,3,0)*VLOOKUP('Données projet'!$B$11,Paramètres!$A$1:$I$89,5,0)</f>
        <v>#N/A</v>
      </c>
      <c r="BF103" s="14" t="e">
        <f t="shared" si="91"/>
        <v>#N/A</v>
      </c>
      <c r="BG103" s="22" t="e">
        <f t="shared" si="61"/>
        <v>#N/A</v>
      </c>
      <c r="BH103" s="62" t="e">
        <f t="shared" si="62"/>
        <v>#N/A</v>
      </c>
      <c r="BI103" s="62" t="e">
        <f ca="1">AVERAGE(OFFSET($BH$3,0,0,'Données projet'!$E$11+1,1))-AVERAGE(OFFSET($H$3,0,0,'Données projet'!$E$11+1,1))</f>
        <v>#N/A</v>
      </c>
      <c r="BJ103" s="62" t="e">
        <f t="shared" si="92"/>
        <v>#N/A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 t="e">
        <f>EXP(-LN(2)/35)*BP102+(1-EXP(-LN(2)/35))/(LN(2)/35)*BL103*BM103*VLOOKUP('Données projet'!$B$11,Paramètres!$A$1:$I$89,3,0)*0.475*44/12</f>
        <v>#N/A</v>
      </c>
      <c r="BQ103" s="23" t="e">
        <f>EXP(-LN(2)/25)*BQ102+(1-EXP(-LN(2)/25))/(LN(2)/25)*Calculateur!BL103*Calculateur!BN103*VLOOKUP('Données projet'!$B$11,Paramètres!$A$1:$I$89,3,0)*0.475*44/12</f>
        <v>#N/A</v>
      </c>
      <c r="BR103" s="23" t="e">
        <f>EXP(-LN(2)/2)*BR102+(1-EXP(-LN(2)/2))/(LN(2)/2)*BL103*BO103*VLOOKUP('Données projet'!$B$11,Paramètres!$A$1:$I$89,3,0)*0.475*44/12</f>
        <v>#N/A</v>
      </c>
      <c r="BS103" s="24" t="e">
        <f t="shared" si="63"/>
        <v>#N/A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3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49.893999999999984</v>
      </c>
      <c r="D104" s="12">
        <f t="shared" si="86"/>
        <v>14.586381320911869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10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497.74329440703883</v>
      </c>
      <c r="H104" s="70">
        <f t="shared" si="56"/>
        <v>405.63666413392144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-1.1368683772161603E-13</v>
      </c>
      <c r="O104" s="14">
        <f>N104*VLOOKUP('Données projet'!$B$9,Paramètres!$A$1:$I$89,3,0)*VLOOKUP('Données projet'!$B$9,Paramètres!$A$1:$I$89,5,0)</f>
        <v>-6.7984728957526396E-14</v>
      </c>
      <c r="P104" s="14" t="e">
        <f t="shared" si="87"/>
        <v>#NUM!</v>
      </c>
      <c r="Q104" s="22" t="e">
        <f t="shared" si="107"/>
        <v>#NUM!</v>
      </c>
      <c r="R104" s="62" t="e">
        <f t="shared" si="55"/>
        <v>#NUM!</v>
      </c>
      <c r="S104" s="62">
        <f ca="1">AVERAGE(OFFSET($R$3,0,0,'Données projet'!$E$9+1,1))-AVERAGE(OFFSET($H$3,0,0,'Données projet'!$E$9+1,1))</f>
        <v>255.1976414275677</v>
      </c>
      <c r="T104" s="62">
        <f t="shared" si="88"/>
        <v>266.42714758321767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2.8694832031731838</v>
      </c>
      <c r="AA104" s="23">
        <f>EXP(-LN(2)/25)*AA103+(1-EXP(-LN(2)/25))/(LN(2)/25)*Calculateur!V104*Calculateur!X104*VLOOKUP('Données projet'!$B$9,Paramètres!$A$1:$I$89,3,0)*0.475*44/12</f>
        <v>1.841016673444019</v>
      </c>
      <c r="AB104" s="23">
        <f>EXP(-LN(2)/2)*AB103+(1-EXP(-LN(2)/2))/(LN(2)/2)*V104*Y104*VLOOKUP('Données projet'!$B$9,Paramètres!$A$1:$I$89,3,0)*0.475*44/12</f>
        <v>1.2468640007809883E-10</v>
      </c>
      <c r="AC104" s="24">
        <f t="shared" si="57"/>
        <v>4.7104998767418884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0</v>
      </c>
      <c r="AJ104" s="14" t="e">
        <f>AI104*VLOOKUP('Données projet'!$B$10,Paramètres!$A$1:$I$89,3,0)*VLOOKUP('Données projet'!$B$10,Paramètres!$A$1:$I$89,5,0)</f>
        <v>#N/A</v>
      </c>
      <c r="AK104" s="14" t="e">
        <f t="shared" si="89"/>
        <v>#N/A</v>
      </c>
      <c r="AL104" s="22" t="e">
        <f t="shared" si="58"/>
        <v>#N/A</v>
      </c>
      <c r="AM104" s="62" t="e">
        <f t="shared" si="59"/>
        <v>#N/A</v>
      </c>
      <c r="AN104" s="62" t="e">
        <f ca="1">AVERAGE(OFFSET($AM$3,0,0,'Données projet'!$E$10+1,1))-AVERAGE(OFFSET($H$3,0,0,'Données projet'!$E$10+1,1))</f>
        <v>#N/A</v>
      </c>
      <c r="AO104" s="62" t="e">
        <f t="shared" si="90"/>
        <v>#N/A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 t="e">
        <f>EXP(-LN(2)/35)*AU103+(1-EXP(-LN(2)/35))/(LN(2)/35)*AQ104*AR104*VLOOKUP('Données projet'!$B$10,Paramètres!$A$1:$I$89,3,0)*0.475*44/12</f>
        <v>#N/A</v>
      </c>
      <c r="AV104" s="23" t="e">
        <f>EXP(-LN(2)/25)*AV103+(1-EXP(-LN(2)/25))/(LN(2)/25)*Calculateur!AQ104*Calculateur!AS104*VLOOKUP('Données projet'!$B$10,Paramètres!$A$1:$I$89,3,0)*0.475*44/12</f>
        <v>#N/A</v>
      </c>
      <c r="AW104" s="23" t="e">
        <f>EXP(-LN(2)/2)*AW103+(1-EXP(-LN(2)/2))/(LN(2)/2)*AQ104*AT104*VLOOKUP('Données projet'!$B$10,Paramètres!$A$1:$I$89,3,0)*0.475*44/12</f>
        <v>#N/A</v>
      </c>
      <c r="AX104" s="23" t="e">
        <f t="shared" si="60"/>
        <v>#N/A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 t="e">
        <f>BD104*VLOOKUP('Données projet'!$B$11,Paramètres!$A$1:$I$89,3,0)*VLOOKUP('Données projet'!$B$11,Paramètres!$A$1:$I$89,5,0)</f>
        <v>#N/A</v>
      </c>
      <c r="BF104" s="14" t="e">
        <f t="shared" si="91"/>
        <v>#N/A</v>
      </c>
      <c r="BG104" s="22" t="e">
        <f t="shared" si="61"/>
        <v>#N/A</v>
      </c>
      <c r="BH104" s="62" t="e">
        <f t="shared" si="62"/>
        <v>#N/A</v>
      </c>
      <c r="BI104" s="62" t="e">
        <f ca="1">AVERAGE(OFFSET($BH$3,0,0,'Données projet'!$E$11+1,1))-AVERAGE(OFFSET($H$3,0,0,'Données projet'!$E$11+1,1))</f>
        <v>#N/A</v>
      </c>
      <c r="BJ104" s="62" t="e">
        <f t="shared" si="92"/>
        <v>#N/A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 t="e">
        <f>EXP(-LN(2)/35)*BP103+(1-EXP(-LN(2)/35))/(LN(2)/35)*BL104*BM104*VLOOKUP('Données projet'!$B$11,Paramètres!$A$1:$I$89,3,0)*0.475*44/12</f>
        <v>#N/A</v>
      </c>
      <c r="BQ104" s="23" t="e">
        <f>EXP(-LN(2)/25)*BQ103+(1-EXP(-LN(2)/25))/(LN(2)/25)*Calculateur!BL104*Calculateur!BN104*VLOOKUP('Données projet'!$B$11,Paramètres!$A$1:$I$89,3,0)*0.475*44/12</f>
        <v>#N/A</v>
      </c>
      <c r="BR104" s="23" t="e">
        <f>EXP(-LN(2)/2)*BR103+(1-EXP(-LN(2)/2))/(LN(2)/2)*BL104*BO104*VLOOKUP('Données projet'!$B$11,Paramètres!$A$1:$I$89,3,0)*0.475*44/12</f>
        <v>#N/A</v>
      </c>
      <c r="BS104" s="24" t="e">
        <f t="shared" si="63"/>
        <v>#N/A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3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50.387999999999984</v>
      </c>
      <c r="D105" s="12">
        <f t="shared" si="86"/>
        <v>14.713917230841966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10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502.54111546614837</v>
      </c>
      <c r="H105" s="70">
        <f t="shared" si="56"/>
        <v>406.71917251038303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-1.1368683772161603E-13</v>
      </c>
      <c r="O105" s="14">
        <f>N105*VLOOKUP('Données projet'!$B$9,Paramètres!$A$1:$I$89,3,0)*VLOOKUP('Données projet'!$B$9,Paramètres!$A$1:$I$89,5,0)</f>
        <v>-6.7984728957526396E-14</v>
      </c>
      <c r="P105" s="14" t="e">
        <f t="shared" si="87"/>
        <v>#NUM!</v>
      </c>
      <c r="Q105" s="22" t="e">
        <f t="shared" si="107"/>
        <v>#NUM!</v>
      </c>
      <c r="R105" s="62" t="e">
        <f t="shared" si="55"/>
        <v>#NUM!</v>
      </c>
      <c r="S105" s="62">
        <f ca="1">AVERAGE(OFFSET($R$3,0,0,'Données projet'!$E$9+1,1))-AVERAGE(OFFSET($H$3,0,0,'Données projet'!$E$9+1,1))</f>
        <v>255.1976414275677</v>
      </c>
      <c r="T105" s="62">
        <f t="shared" si="88"/>
        <v>266.42714758321767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2.8132143877708926</v>
      </c>
      <c r="AA105" s="23">
        <f>EXP(-LN(2)/25)*AA104+(1-EXP(-LN(2)/25))/(LN(2)/25)*Calculateur!V105*Calculateur!X105*VLOOKUP('Données projet'!$B$9,Paramètres!$A$1:$I$89,3,0)*0.475*44/12</f>
        <v>1.790673975693833</v>
      </c>
      <c r="AB105" s="23">
        <f>EXP(-LN(2)/2)*AB104+(1-EXP(-LN(2)/2))/(LN(2)/2)*V105*Y105*VLOOKUP('Données projet'!$B$9,Paramètres!$A$1:$I$89,3,0)*0.475*44/12</f>
        <v>8.8166599016962552E-11</v>
      </c>
      <c r="AC105" s="24">
        <f t="shared" si="57"/>
        <v>4.6038883635528922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0</v>
      </c>
      <c r="AJ105" s="14" t="e">
        <f>AI105*VLOOKUP('Données projet'!$B$10,Paramètres!$A$1:$I$89,3,0)*VLOOKUP('Données projet'!$B$10,Paramètres!$A$1:$I$89,5,0)</f>
        <v>#N/A</v>
      </c>
      <c r="AK105" s="14" t="e">
        <f t="shared" si="89"/>
        <v>#N/A</v>
      </c>
      <c r="AL105" s="22" t="e">
        <f t="shared" si="58"/>
        <v>#N/A</v>
      </c>
      <c r="AM105" s="62" t="e">
        <f t="shared" si="59"/>
        <v>#N/A</v>
      </c>
      <c r="AN105" s="62" t="e">
        <f ca="1">AVERAGE(OFFSET($AM$3,0,0,'Données projet'!$E$10+1,1))-AVERAGE(OFFSET($H$3,0,0,'Données projet'!$E$10+1,1))</f>
        <v>#N/A</v>
      </c>
      <c r="AO105" s="62" t="e">
        <f t="shared" si="90"/>
        <v>#N/A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 t="e">
        <f>EXP(-LN(2)/35)*AU104+(1-EXP(-LN(2)/35))/(LN(2)/35)*AQ105*AR105*VLOOKUP('Données projet'!$B$10,Paramètres!$A$1:$I$89,3,0)*0.475*44/12</f>
        <v>#N/A</v>
      </c>
      <c r="AV105" s="23" t="e">
        <f>EXP(-LN(2)/25)*AV104+(1-EXP(-LN(2)/25))/(LN(2)/25)*Calculateur!AQ105*Calculateur!AS105*VLOOKUP('Données projet'!$B$10,Paramètres!$A$1:$I$89,3,0)*0.475*44/12</f>
        <v>#N/A</v>
      </c>
      <c r="AW105" s="23" t="e">
        <f>EXP(-LN(2)/2)*AW104+(1-EXP(-LN(2)/2))/(LN(2)/2)*AQ105*AT105*VLOOKUP('Données projet'!$B$10,Paramètres!$A$1:$I$89,3,0)*0.475*44/12</f>
        <v>#N/A</v>
      </c>
      <c r="AX105" s="23" t="e">
        <f t="shared" si="60"/>
        <v>#N/A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 t="e">
        <f>BD105*VLOOKUP('Données projet'!$B$11,Paramètres!$A$1:$I$89,3,0)*VLOOKUP('Données projet'!$B$11,Paramètres!$A$1:$I$89,5,0)</f>
        <v>#N/A</v>
      </c>
      <c r="BF105" s="14" t="e">
        <f t="shared" si="91"/>
        <v>#N/A</v>
      </c>
      <c r="BG105" s="22" t="e">
        <f t="shared" si="61"/>
        <v>#N/A</v>
      </c>
      <c r="BH105" s="62" t="e">
        <f t="shared" si="62"/>
        <v>#N/A</v>
      </c>
      <c r="BI105" s="62" t="e">
        <f ca="1">AVERAGE(OFFSET($BH$3,0,0,'Données projet'!$E$11+1,1))-AVERAGE(OFFSET($H$3,0,0,'Données projet'!$E$11+1,1))</f>
        <v>#N/A</v>
      </c>
      <c r="BJ105" s="62" t="e">
        <f t="shared" si="92"/>
        <v>#N/A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 t="e">
        <f>EXP(-LN(2)/35)*BP104+(1-EXP(-LN(2)/35))/(LN(2)/35)*BL105*BM105*VLOOKUP('Données projet'!$B$11,Paramètres!$A$1:$I$89,3,0)*0.475*44/12</f>
        <v>#N/A</v>
      </c>
      <c r="BQ105" s="23" t="e">
        <f>EXP(-LN(2)/25)*BQ104+(1-EXP(-LN(2)/25))/(LN(2)/25)*Calculateur!BL105*Calculateur!BN105*VLOOKUP('Données projet'!$B$11,Paramètres!$A$1:$I$89,3,0)*0.475*44/12</f>
        <v>#N/A</v>
      </c>
      <c r="BR105" s="23" t="e">
        <f>EXP(-LN(2)/2)*BR104+(1-EXP(-LN(2)/2))/(LN(2)/2)*BL105*BO105*VLOOKUP('Données projet'!$B$11,Paramètres!$A$1:$I$89,3,0)*0.475*44/12</f>
        <v>#N/A</v>
      </c>
      <c r="BS105" s="24" t="e">
        <f t="shared" si="63"/>
        <v>#N/A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3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50.881999999999984</v>
      </c>
      <c r="D106" s="12">
        <f t="shared" si="86"/>
        <v>14.841307680340405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10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507.33781367280295</v>
      </c>
      <c r="H106" s="70">
        <f t="shared" si="56"/>
        <v>407.80142754325948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-1.1368683772161603E-13</v>
      </c>
      <c r="O106" s="14">
        <f>N106*VLOOKUP('Données projet'!$B$9,Paramètres!$A$1:$I$89,3,0)*VLOOKUP('Données projet'!$B$9,Paramètres!$A$1:$I$89,5,0)</f>
        <v>-6.7984728957526396E-14</v>
      </c>
      <c r="P106" s="14" t="e">
        <f t="shared" si="87"/>
        <v>#NUM!</v>
      </c>
      <c r="Q106" s="22" t="e">
        <f t="shared" si="107"/>
        <v>#NUM!</v>
      </c>
      <c r="R106" s="62" t="e">
        <f t="shared" si="55"/>
        <v>#NUM!</v>
      </c>
      <c r="S106" s="62">
        <f ca="1">AVERAGE(OFFSET($R$3,0,0,'Données projet'!$E$9+1,1))-AVERAGE(OFFSET($H$3,0,0,'Données projet'!$E$9+1,1))</f>
        <v>255.1976414275677</v>
      </c>
      <c r="T106" s="62">
        <f t="shared" si="88"/>
        <v>266.42714758321767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2.7580489695180517</v>
      </c>
      <c r="AA106" s="23">
        <f>EXP(-LN(2)/25)*AA105+(1-EXP(-LN(2)/25))/(LN(2)/25)*Calculateur!V106*Calculateur!X106*VLOOKUP('Données projet'!$B$9,Paramètres!$A$1:$I$89,3,0)*0.475*44/12</f>
        <v>1.7417079016610335</v>
      </c>
      <c r="AB106" s="23">
        <f>EXP(-LN(2)/2)*AB105+(1-EXP(-LN(2)/2))/(LN(2)/2)*V106*Y106*VLOOKUP('Données projet'!$B$9,Paramètres!$A$1:$I$89,3,0)*0.475*44/12</f>
        <v>6.2343200039049413E-11</v>
      </c>
      <c r="AC106" s="24">
        <f t="shared" si="57"/>
        <v>4.499756871241428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0</v>
      </c>
      <c r="AJ106" s="14" t="e">
        <f>AI106*VLOOKUP('Données projet'!$B$10,Paramètres!$A$1:$I$89,3,0)*VLOOKUP('Données projet'!$B$10,Paramètres!$A$1:$I$89,5,0)</f>
        <v>#N/A</v>
      </c>
      <c r="AK106" s="14" t="e">
        <f t="shared" si="89"/>
        <v>#N/A</v>
      </c>
      <c r="AL106" s="22" t="e">
        <f t="shared" si="58"/>
        <v>#N/A</v>
      </c>
      <c r="AM106" s="62" t="e">
        <f t="shared" si="59"/>
        <v>#N/A</v>
      </c>
      <c r="AN106" s="62" t="e">
        <f ca="1">AVERAGE(OFFSET($AM$3,0,0,'Données projet'!$E$10+1,1))-AVERAGE(OFFSET($H$3,0,0,'Données projet'!$E$10+1,1))</f>
        <v>#N/A</v>
      </c>
      <c r="AO106" s="62" t="e">
        <f t="shared" si="90"/>
        <v>#N/A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 t="e">
        <f>EXP(-LN(2)/35)*AU105+(1-EXP(-LN(2)/35))/(LN(2)/35)*AQ106*AR106*VLOOKUP('Données projet'!$B$10,Paramètres!$A$1:$I$89,3,0)*0.475*44/12</f>
        <v>#N/A</v>
      </c>
      <c r="AV106" s="23" t="e">
        <f>EXP(-LN(2)/25)*AV105+(1-EXP(-LN(2)/25))/(LN(2)/25)*Calculateur!AQ106*Calculateur!AS106*VLOOKUP('Données projet'!$B$10,Paramètres!$A$1:$I$89,3,0)*0.475*44/12</f>
        <v>#N/A</v>
      </c>
      <c r="AW106" s="23" t="e">
        <f>EXP(-LN(2)/2)*AW105+(1-EXP(-LN(2)/2))/(LN(2)/2)*AQ106*AT106*VLOOKUP('Données projet'!$B$10,Paramètres!$A$1:$I$89,3,0)*0.475*44/12</f>
        <v>#N/A</v>
      </c>
      <c r="AX106" s="23" t="e">
        <f t="shared" si="60"/>
        <v>#N/A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 t="e">
        <f>BD106*VLOOKUP('Données projet'!$B$11,Paramètres!$A$1:$I$89,3,0)*VLOOKUP('Données projet'!$B$11,Paramètres!$A$1:$I$89,5,0)</f>
        <v>#N/A</v>
      </c>
      <c r="BF106" s="14" t="e">
        <f t="shared" si="91"/>
        <v>#N/A</v>
      </c>
      <c r="BG106" s="22" t="e">
        <f t="shared" si="61"/>
        <v>#N/A</v>
      </c>
      <c r="BH106" s="62" t="e">
        <f t="shared" si="62"/>
        <v>#N/A</v>
      </c>
      <c r="BI106" s="62" t="e">
        <f ca="1">AVERAGE(OFFSET($BH$3,0,0,'Données projet'!$E$11+1,1))-AVERAGE(OFFSET($H$3,0,0,'Données projet'!$E$11+1,1))</f>
        <v>#N/A</v>
      </c>
      <c r="BJ106" s="62" t="e">
        <f t="shared" si="92"/>
        <v>#N/A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 t="e">
        <f>EXP(-LN(2)/35)*BP105+(1-EXP(-LN(2)/35))/(LN(2)/35)*BL106*BM106*VLOOKUP('Données projet'!$B$11,Paramètres!$A$1:$I$89,3,0)*0.475*44/12</f>
        <v>#N/A</v>
      </c>
      <c r="BQ106" s="23" t="e">
        <f>EXP(-LN(2)/25)*BQ105+(1-EXP(-LN(2)/25))/(LN(2)/25)*Calculateur!BL106*Calculateur!BN106*VLOOKUP('Données projet'!$B$11,Paramètres!$A$1:$I$89,3,0)*0.475*44/12</f>
        <v>#N/A</v>
      </c>
      <c r="BR106" s="23" t="e">
        <f>EXP(-LN(2)/2)*BR105+(1-EXP(-LN(2)/2))/(LN(2)/2)*BL106*BO106*VLOOKUP('Données projet'!$B$11,Paramètres!$A$1:$I$89,3,0)*0.475*44/12</f>
        <v>#N/A</v>
      </c>
      <c r="BS106" s="24" t="e">
        <f t="shared" si="63"/>
        <v>#N/A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3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51.375999999999983</v>
      </c>
      <c r="D107" s="12">
        <f t="shared" si="86"/>
        <v>14.968554245188011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10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512.13340119092493</v>
      </c>
      <c r="H107" s="70">
        <f t="shared" si="56"/>
        <v>408.88343197703574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-1.1368683772161603E-13</v>
      </c>
      <c r="O107" s="14">
        <f>N107*VLOOKUP('Données projet'!$B$9,Paramètres!$A$1:$I$89,3,0)*VLOOKUP('Données projet'!$B$9,Paramètres!$A$1:$I$89,5,0)</f>
        <v>-6.7984728957526396E-14</v>
      </c>
      <c r="P107" s="14" t="e">
        <f t="shared" si="87"/>
        <v>#NUM!</v>
      </c>
      <c r="Q107" s="22" t="e">
        <f t="shared" si="107"/>
        <v>#NUM!</v>
      </c>
      <c r="R107" s="62" t="e">
        <f t="shared" si="55"/>
        <v>#NUM!</v>
      </c>
      <c r="S107" s="62">
        <f ca="1">AVERAGE(OFFSET($R$3,0,0,'Données projet'!$E$9+1,1))-AVERAGE(OFFSET($H$3,0,0,'Données projet'!$E$9+1,1))</f>
        <v>255.1976414275677</v>
      </c>
      <c r="T107" s="62">
        <f t="shared" si="88"/>
        <v>266.42714758321767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2.7039653114695663</v>
      </c>
      <c r="AA107" s="23">
        <f>EXP(-LN(2)/25)*AA106+(1-EXP(-LN(2)/25))/(LN(2)/25)*Calculateur!V107*Calculateur!X107*VLOOKUP('Données projet'!$B$9,Paramètres!$A$1:$I$89,3,0)*0.475*44/12</f>
        <v>1.6940808074976748</v>
      </c>
      <c r="AB107" s="23">
        <f>EXP(-LN(2)/2)*AB106+(1-EXP(-LN(2)/2))/(LN(2)/2)*V107*Y107*VLOOKUP('Données projet'!$B$9,Paramètres!$A$1:$I$89,3,0)*0.475*44/12</f>
        <v>4.4083299508481276E-11</v>
      </c>
      <c r="AC107" s="24">
        <f t="shared" si="57"/>
        <v>4.3980461190113243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0</v>
      </c>
      <c r="AJ107" s="14" t="e">
        <f>AI107*VLOOKUP('Données projet'!$B$10,Paramètres!$A$1:$I$89,3,0)*VLOOKUP('Données projet'!$B$10,Paramètres!$A$1:$I$89,5,0)</f>
        <v>#N/A</v>
      </c>
      <c r="AK107" s="14" t="e">
        <f t="shared" si="89"/>
        <v>#N/A</v>
      </c>
      <c r="AL107" s="22" t="e">
        <f t="shared" si="58"/>
        <v>#N/A</v>
      </c>
      <c r="AM107" s="62" t="e">
        <f t="shared" si="59"/>
        <v>#N/A</v>
      </c>
      <c r="AN107" s="62" t="e">
        <f ca="1">AVERAGE(OFFSET($AM$3,0,0,'Données projet'!$E$10+1,1))-AVERAGE(OFFSET($H$3,0,0,'Données projet'!$E$10+1,1))</f>
        <v>#N/A</v>
      </c>
      <c r="AO107" s="62" t="e">
        <f t="shared" si="90"/>
        <v>#N/A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 t="e">
        <f>EXP(-LN(2)/35)*AU106+(1-EXP(-LN(2)/35))/(LN(2)/35)*AQ107*AR107*VLOOKUP('Données projet'!$B$10,Paramètres!$A$1:$I$89,3,0)*0.475*44/12</f>
        <v>#N/A</v>
      </c>
      <c r="AV107" s="23" t="e">
        <f>EXP(-LN(2)/25)*AV106+(1-EXP(-LN(2)/25))/(LN(2)/25)*Calculateur!AQ107*Calculateur!AS107*VLOOKUP('Données projet'!$B$10,Paramètres!$A$1:$I$89,3,0)*0.475*44/12</f>
        <v>#N/A</v>
      </c>
      <c r="AW107" s="23" t="e">
        <f>EXP(-LN(2)/2)*AW106+(1-EXP(-LN(2)/2))/(LN(2)/2)*AQ107*AT107*VLOOKUP('Données projet'!$B$10,Paramètres!$A$1:$I$89,3,0)*0.475*44/12</f>
        <v>#N/A</v>
      </c>
      <c r="AX107" s="23" t="e">
        <f t="shared" si="60"/>
        <v>#N/A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 t="e">
        <f>BD107*VLOOKUP('Données projet'!$B$11,Paramètres!$A$1:$I$89,3,0)*VLOOKUP('Données projet'!$B$11,Paramètres!$A$1:$I$89,5,0)</f>
        <v>#N/A</v>
      </c>
      <c r="BF107" s="14" t="e">
        <f t="shared" si="91"/>
        <v>#N/A</v>
      </c>
      <c r="BG107" s="22" t="e">
        <f t="shared" si="61"/>
        <v>#N/A</v>
      </c>
      <c r="BH107" s="62" t="e">
        <f t="shared" si="62"/>
        <v>#N/A</v>
      </c>
      <c r="BI107" s="62" t="e">
        <f ca="1">AVERAGE(OFFSET($BH$3,0,0,'Données projet'!$E$11+1,1))-AVERAGE(OFFSET($H$3,0,0,'Données projet'!$E$11+1,1))</f>
        <v>#N/A</v>
      </c>
      <c r="BJ107" s="62" t="e">
        <f t="shared" si="92"/>
        <v>#N/A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 t="e">
        <f>EXP(-LN(2)/35)*BP106+(1-EXP(-LN(2)/35))/(LN(2)/35)*BL107*BM107*VLOOKUP('Données projet'!$B$11,Paramètres!$A$1:$I$89,3,0)*0.475*44/12</f>
        <v>#N/A</v>
      </c>
      <c r="BQ107" s="23" t="e">
        <f>EXP(-LN(2)/25)*BQ106+(1-EXP(-LN(2)/25))/(LN(2)/25)*Calculateur!BL107*Calculateur!BN107*VLOOKUP('Données projet'!$B$11,Paramètres!$A$1:$I$89,3,0)*0.475*44/12</f>
        <v>#N/A</v>
      </c>
      <c r="BR107" s="23" t="e">
        <f>EXP(-LN(2)/2)*BR106+(1-EXP(-LN(2)/2))/(LN(2)/2)*BL107*BO107*VLOOKUP('Données projet'!$B$11,Paramètres!$A$1:$I$89,3,0)*0.475*44/12</f>
        <v>#N/A</v>
      </c>
      <c r="BS107" s="24" t="e">
        <f t="shared" si="63"/>
        <v>#N/A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3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51.869999999999983</v>
      </c>
      <c r="D108" s="12">
        <f t="shared" si="86"/>
        <v>15.095658469114912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10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516.92788993702732</v>
      </c>
      <c r="H108" s="70">
        <f t="shared" si="56"/>
        <v>409.96518850037506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-1.1368683772161603E-13</v>
      </c>
      <c r="O108" s="14">
        <f>N108*VLOOKUP('Données projet'!$B$9,Paramètres!$A$1:$I$89,3,0)*VLOOKUP('Données projet'!$B$9,Paramètres!$A$1:$I$89,5,0)</f>
        <v>-6.7984728957526396E-14</v>
      </c>
      <c r="P108" s="14" t="e">
        <f t="shared" si="87"/>
        <v>#NUM!</v>
      </c>
      <c r="Q108" s="22" t="e">
        <f t="shared" si="107"/>
        <v>#NUM!</v>
      </c>
      <c r="R108" s="62" t="e">
        <f t="shared" si="55"/>
        <v>#NUM!</v>
      </c>
      <c r="S108" s="62">
        <f ca="1">AVERAGE(OFFSET($R$3,0,0,'Données projet'!$E$9+1,1))-AVERAGE(OFFSET($H$3,0,0,'Données projet'!$E$9+1,1))</f>
        <v>255.1976414275677</v>
      </c>
      <c r="T108" s="62">
        <f t="shared" si="88"/>
        <v>266.42714758321767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2.6509422009676378</v>
      </c>
      <c r="AA108" s="23">
        <f>EXP(-LN(2)/25)*AA107+(1-EXP(-LN(2)/25))/(LN(2)/25)*Calculateur!V108*Calculateur!X108*VLOOKUP('Données projet'!$B$9,Paramètres!$A$1:$I$89,3,0)*0.475*44/12</f>
        <v>1.647756078728813</v>
      </c>
      <c r="AB108" s="23">
        <f>EXP(-LN(2)/2)*AB107+(1-EXP(-LN(2)/2))/(LN(2)/2)*V108*Y108*VLOOKUP('Données projet'!$B$9,Paramètres!$A$1:$I$89,3,0)*0.475*44/12</f>
        <v>3.1171600019524707E-11</v>
      </c>
      <c r="AC108" s="24">
        <f t="shared" si="57"/>
        <v>4.2986982797276223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0</v>
      </c>
      <c r="AJ108" s="14" t="e">
        <f>AI108*VLOOKUP('Données projet'!$B$10,Paramètres!$A$1:$I$89,3,0)*VLOOKUP('Données projet'!$B$10,Paramètres!$A$1:$I$89,5,0)</f>
        <v>#N/A</v>
      </c>
      <c r="AK108" s="14" t="e">
        <f t="shared" si="89"/>
        <v>#N/A</v>
      </c>
      <c r="AL108" s="22" t="e">
        <f t="shared" si="58"/>
        <v>#N/A</v>
      </c>
      <c r="AM108" s="62" t="e">
        <f t="shared" si="59"/>
        <v>#N/A</v>
      </c>
      <c r="AN108" s="62" t="e">
        <f ca="1">AVERAGE(OFFSET($AM$3,0,0,'Données projet'!$E$10+1,1))-AVERAGE(OFFSET($H$3,0,0,'Données projet'!$E$10+1,1))</f>
        <v>#N/A</v>
      </c>
      <c r="AO108" s="62" t="e">
        <f t="shared" si="90"/>
        <v>#N/A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 t="e">
        <f>EXP(-LN(2)/35)*AU107+(1-EXP(-LN(2)/35))/(LN(2)/35)*AQ108*AR108*VLOOKUP('Données projet'!$B$10,Paramètres!$A$1:$I$89,3,0)*0.475*44/12</f>
        <v>#N/A</v>
      </c>
      <c r="AV108" s="23" t="e">
        <f>EXP(-LN(2)/25)*AV107+(1-EXP(-LN(2)/25))/(LN(2)/25)*Calculateur!AQ108*Calculateur!AS108*VLOOKUP('Données projet'!$B$10,Paramètres!$A$1:$I$89,3,0)*0.475*44/12</f>
        <v>#N/A</v>
      </c>
      <c r="AW108" s="23" t="e">
        <f>EXP(-LN(2)/2)*AW107+(1-EXP(-LN(2)/2))/(LN(2)/2)*AQ108*AT108*VLOOKUP('Données projet'!$B$10,Paramètres!$A$1:$I$89,3,0)*0.475*44/12</f>
        <v>#N/A</v>
      </c>
      <c r="AX108" s="23" t="e">
        <f t="shared" si="60"/>
        <v>#N/A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 t="e">
        <f>BD108*VLOOKUP('Données projet'!$B$11,Paramètres!$A$1:$I$89,3,0)*VLOOKUP('Données projet'!$B$11,Paramètres!$A$1:$I$89,5,0)</f>
        <v>#N/A</v>
      </c>
      <c r="BF108" s="14" t="e">
        <f t="shared" si="91"/>
        <v>#N/A</v>
      </c>
      <c r="BG108" s="22" t="e">
        <f t="shared" si="61"/>
        <v>#N/A</v>
      </c>
      <c r="BH108" s="62" t="e">
        <f t="shared" si="62"/>
        <v>#N/A</v>
      </c>
      <c r="BI108" s="62" t="e">
        <f ca="1">AVERAGE(OFFSET($BH$3,0,0,'Données projet'!$E$11+1,1))-AVERAGE(OFFSET($H$3,0,0,'Données projet'!$E$11+1,1))</f>
        <v>#N/A</v>
      </c>
      <c r="BJ108" s="62" t="e">
        <f t="shared" si="92"/>
        <v>#N/A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 t="e">
        <f>EXP(-LN(2)/35)*BP107+(1-EXP(-LN(2)/35))/(LN(2)/35)*BL108*BM108*VLOOKUP('Données projet'!$B$11,Paramètres!$A$1:$I$89,3,0)*0.475*44/12</f>
        <v>#N/A</v>
      </c>
      <c r="BQ108" s="23" t="e">
        <f>EXP(-LN(2)/25)*BQ107+(1-EXP(-LN(2)/25))/(LN(2)/25)*Calculateur!BL108*Calculateur!BN108*VLOOKUP('Données projet'!$B$11,Paramètres!$A$1:$I$89,3,0)*0.475*44/12</f>
        <v>#N/A</v>
      </c>
      <c r="BR108" s="23" t="e">
        <f>EXP(-LN(2)/2)*BR107+(1-EXP(-LN(2)/2))/(LN(2)/2)*BL108*BO108*VLOOKUP('Données projet'!$B$11,Paramètres!$A$1:$I$89,3,0)*0.475*44/12</f>
        <v>#N/A</v>
      </c>
      <c r="BS108" s="24" t="e">
        <f t="shared" si="63"/>
        <v>#N/A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3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52.363999999999983</v>
      </c>
      <c r="D109" s="12">
        <f t="shared" si="86"/>
        <v>15.222621864751364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10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521.72129158755433</v>
      </c>
      <c r="H109" s="70">
        <f t="shared" si="56"/>
        <v>411.04669974777528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-1.1368683772161603E-13</v>
      </c>
      <c r="O109" s="14">
        <f>N109*VLOOKUP('Données projet'!$B$9,Paramètres!$A$1:$I$89,3,0)*VLOOKUP('Données projet'!$B$9,Paramètres!$A$1:$I$89,5,0)</f>
        <v>-6.7984728957526396E-14</v>
      </c>
      <c r="P109" s="14" t="e">
        <f t="shared" si="87"/>
        <v>#NUM!</v>
      </c>
      <c r="Q109" s="22" t="e">
        <f t="shared" si="107"/>
        <v>#NUM!</v>
      </c>
      <c r="R109" s="62" t="e">
        <f t="shared" si="55"/>
        <v>#NUM!</v>
      </c>
      <c r="S109" s="62">
        <f ca="1">AVERAGE(OFFSET($R$3,0,0,'Données projet'!$E$9+1,1))-AVERAGE(OFFSET($H$3,0,0,'Données projet'!$E$9+1,1))</f>
        <v>255.1976414275677</v>
      </c>
      <c r="T109" s="62">
        <f t="shared" si="88"/>
        <v>266.42714758321767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2.5989588413217479</v>
      </c>
      <c r="AA109" s="23">
        <f>EXP(-LN(2)/25)*AA108+(1-EXP(-LN(2)/25))/(LN(2)/25)*Calculateur!V109*Calculateur!X109*VLOOKUP('Données projet'!$B$9,Paramètres!$A$1:$I$89,3,0)*0.475*44/12</f>
        <v>1.6026981021042475</v>
      </c>
      <c r="AB109" s="23">
        <f>EXP(-LN(2)/2)*AB108+(1-EXP(-LN(2)/2))/(LN(2)/2)*V109*Y109*VLOOKUP('Données projet'!$B$9,Paramètres!$A$1:$I$89,3,0)*0.475*44/12</f>
        <v>2.2041649754240638E-11</v>
      </c>
      <c r="AC109" s="24">
        <f t="shared" si="57"/>
        <v>4.2016569434480369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0</v>
      </c>
      <c r="AJ109" s="14" t="e">
        <f>AI109*VLOOKUP('Données projet'!$B$10,Paramètres!$A$1:$I$89,3,0)*VLOOKUP('Données projet'!$B$10,Paramètres!$A$1:$I$89,5,0)</f>
        <v>#N/A</v>
      </c>
      <c r="AK109" s="14" t="e">
        <f t="shared" si="89"/>
        <v>#N/A</v>
      </c>
      <c r="AL109" s="22" t="e">
        <f t="shared" si="58"/>
        <v>#N/A</v>
      </c>
      <c r="AM109" s="62" t="e">
        <f t="shared" si="59"/>
        <v>#N/A</v>
      </c>
      <c r="AN109" s="62" t="e">
        <f ca="1">AVERAGE(OFFSET($AM$3,0,0,'Données projet'!$E$10+1,1))-AVERAGE(OFFSET($H$3,0,0,'Données projet'!$E$10+1,1))</f>
        <v>#N/A</v>
      </c>
      <c r="AO109" s="62" t="e">
        <f t="shared" si="90"/>
        <v>#N/A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 t="e">
        <f>EXP(-LN(2)/35)*AU108+(1-EXP(-LN(2)/35))/(LN(2)/35)*AQ109*AR109*VLOOKUP('Données projet'!$B$10,Paramètres!$A$1:$I$89,3,0)*0.475*44/12</f>
        <v>#N/A</v>
      </c>
      <c r="AV109" s="23" t="e">
        <f>EXP(-LN(2)/25)*AV108+(1-EXP(-LN(2)/25))/(LN(2)/25)*Calculateur!AQ109*Calculateur!AS109*VLOOKUP('Données projet'!$B$10,Paramètres!$A$1:$I$89,3,0)*0.475*44/12</f>
        <v>#N/A</v>
      </c>
      <c r="AW109" s="23" t="e">
        <f>EXP(-LN(2)/2)*AW108+(1-EXP(-LN(2)/2))/(LN(2)/2)*AQ109*AT109*VLOOKUP('Données projet'!$B$10,Paramètres!$A$1:$I$89,3,0)*0.475*44/12</f>
        <v>#N/A</v>
      </c>
      <c r="AX109" s="23" t="e">
        <f t="shared" si="60"/>
        <v>#N/A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 t="e">
        <f>BD109*VLOOKUP('Données projet'!$B$11,Paramètres!$A$1:$I$89,3,0)*VLOOKUP('Données projet'!$B$11,Paramètres!$A$1:$I$89,5,0)</f>
        <v>#N/A</v>
      </c>
      <c r="BF109" s="14" t="e">
        <f t="shared" si="91"/>
        <v>#N/A</v>
      </c>
      <c r="BG109" s="22" t="e">
        <f t="shared" si="61"/>
        <v>#N/A</v>
      </c>
      <c r="BH109" s="62" t="e">
        <f t="shared" si="62"/>
        <v>#N/A</v>
      </c>
      <c r="BI109" s="62" t="e">
        <f ca="1">AVERAGE(OFFSET($BH$3,0,0,'Données projet'!$E$11+1,1))-AVERAGE(OFFSET($H$3,0,0,'Données projet'!$E$11+1,1))</f>
        <v>#N/A</v>
      </c>
      <c r="BJ109" s="62" t="e">
        <f t="shared" si="92"/>
        <v>#N/A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 t="e">
        <f>EXP(-LN(2)/35)*BP108+(1-EXP(-LN(2)/35))/(LN(2)/35)*BL109*BM109*VLOOKUP('Données projet'!$B$11,Paramètres!$A$1:$I$89,3,0)*0.475*44/12</f>
        <v>#N/A</v>
      </c>
      <c r="BQ109" s="23" t="e">
        <f>EXP(-LN(2)/25)*BQ108+(1-EXP(-LN(2)/25))/(LN(2)/25)*Calculateur!BL109*Calculateur!BN109*VLOOKUP('Données projet'!$B$11,Paramètres!$A$1:$I$89,3,0)*0.475*44/12</f>
        <v>#N/A</v>
      </c>
      <c r="BR109" s="23" t="e">
        <f>EXP(-LN(2)/2)*BR108+(1-EXP(-LN(2)/2))/(LN(2)/2)*BL109*BO109*VLOOKUP('Données projet'!$B$11,Paramètres!$A$1:$I$89,3,0)*0.475*44/12</f>
        <v>#N/A</v>
      </c>
      <c r="BS109" s="24" t="e">
        <f t="shared" si="63"/>
        <v>#N/A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3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52.857999999999983</v>
      </c>
      <c r="D110" s="12">
        <f t="shared" si="86"/>
        <v>15.349445914541667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10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526.51361758593555</v>
      </c>
      <c r="H110" s="70">
        <f t="shared" si="56"/>
        <v>412.12796830116002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-1.1368683772161603E-13</v>
      </c>
      <c r="O110" s="14">
        <f>N110*VLOOKUP('Données projet'!$B$9,Paramètres!$A$1:$I$89,3,0)*VLOOKUP('Données projet'!$B$9,Paramètres!$A$1:$I$89,5,0)</f>
        <v>-6.7984728957526396E-14</v>
      </c>
      <c r="P110" s="14" t="e">
        <f t="shared" si="87"/>
        <v>#NUM!</v>
      </c>
      <c r="Q110" s="22" t="e">
        <f t="shared" si="107"/>
        <v>#NUM!</v>
      </c>
      <c r="R110" s="62" t="e">
        <f t="shared" si="55"/>
        <v>#NUM!</v>
      </c>
      <c r="S110" s="62">
        <f ca="1">AVERAGE(OFFSET($R$3,0,0,'Données projet'!$E$9+1,1))-AVERAGE(OFFSET($H$3,0,0,'Données projet'!$E$9+1,1))</f>
        <v>255.1976414275677</v>
      </c>
      <c r="T110" s="62">
        <f t="shared" si="88"/>
        <v>266.42714758321767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2.5479948436517952</v>
      </c>
      <c r="AA110" s="23">
        <f>EXP(-LN(2)/25)*AA109+(1-EXP(-LN(2)/25))/(LN(2)/25)*Calculateur!V110*Calculateur!X110*VLOOKUP('Données projet'!$B$9,Paramètres!$A$1:$I$89,3,0)*0.475*44/12</f>
        <v>1.5588722382199767</v>
      </c>
      <c r="AB110" s="23">
        <f>EXP(-LN(2)/2)*AB109+(1-EXP(-LN(2)/2))/(LN(2)/2)*V110*Y110*VLOOKUP('Données projet'!$B$9,Paramètres!$A$1:$I$89,3,0)*0.475*44/12</f>
        <v>1.5585800009762353E-11</v>
      </c>
      <c r="AC110" s="24">
        <f t="shared" si="57"/>
        <v>4.1068670818873576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0</v>
      </c>
      <c r="AJ110" s="14" t="e">
        <f>AI110*VLOOKUP('Données projet'!$B$10,Paramètres!$A$1:$I$89,3,0)*VLOOKUP('Données projet'!$B$10,Paramètres!$A$1:$I$89,5,0)</f>
        <v>#N/A</v>
      </c>
      <c r="AK110" s="14" t="e">
        <f t="shared" si="89"/>
        <v>#N/A</v>
      </c>
      <c r="AL110" s="22" t="e">
        <f t="shared" si="58"/>
        <v>#N/A</v>
      </c>
      <c r="AM110" s="62" t="e">
        <f t="shared" si="59"/>
        <v>#N/A</v>
      </c>
      <c r="AN110" s="62" t="e">
        <f ca="1">AVERAGE(OFFSET($AM$3,0,0,'Données projet'!$E$10+1,1))-AVERAGE(OFFSET($H$3,0,0,'Données projet'!$E$10+1,1))</f>
        <v>#N/A</v>
      </c>
      <c r="AO110" s="62" t="e">
        <f t="shared" si="90"/>
        <v>#N/A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 t="e">
        <f>EXP(-LN(2)/35)*AU109+(1-EXP(-LN(2)/35))/(LN(2)/35)*AQ110*AR110*VLOOKUP('Données projet'!$B$10,Paramètres!$A$1:$I$89,3,0)*0.475*44/12</f>
        <v>#N/A</v>
      </c>
      <c r="AV110" s="23" t="e">
        <f>EXP(-LN(2)/25)*AV109+(1-EXP(-LN(2)/25))/(LN(2)/25)*Calculateur!AQ110*Calculateur!AS110*VLOOKUP('Données projet'!$B$10,Paramètres!$A$1:$I$89,3,0)*0.475*44/12</f>
        <v>#N/A</v>
      </c>
      <c r="AW110" s="23" t="e">
        <f>EXP(-LN(2)/2)*AW109+(1-EXP(-LN(2)/2))/(LN(2)/2)*AQ110*AT110*VLOOKUP('Données projet'!$B$10,Paramètres!$A$1:$I$89,3,0)*0.475*44/12</f>
        <v>#N/A</v>
      </c>
      <c r="AX110" s="23" t="e">
        <f t="shared" si="60"/>
        <v>#N/A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 t="e">
        <f>BD110*VLOOKUP('Données projet'!$B$11,Paramètres!$A$1:$I$89,3,0)*VLOOKUP('Données projet'!$B$11,Paramètres!$A$1:$I$89,5,0)</f>
        <v>#N/A</v>
      </c>
      <c r="BF110" s="14" t="e">
        <f t="shared" si="91"/>
        <v>#N/A</v>
      </c>
      <c r="BG110" s="22" t="e">
        <f t="shared" si="61"/>
        <v>#N/A</v>
      </c>
      <c r="BH110" s="62" t="e">
        <f t="shared" si="62"/>
        <v>#N/A</v>
      </c>
      <c r="BI110" s="62" t="e">
        <f ca="1">AVERAGE(OFFSET($BH$3,0,0,'Données projet'!$E$11+1,1))-AVERAGE(OFFSET($H$3,0,0,'Données projet'!$E$11+1,1))</f>
        <v>#N/A</v>
      </c>
      <c r="BJ110" s="62" t="e">
        <f t="shared" si="92"/>
        <v>#N/A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 t="e">
        <f>EXP(-LN(2)/35)*BP109+(1-EXP(-LN(2)/35))/(LN(2)/35)*BL110*BM110*VLOOKUP('Données projet'!$B$11,Paramètres!$A$1:$I$89,3,0)*0.475*44/12</f>
        <v>#N/A</v>
      </c>
      <c r="BQ110" s="23" t="e">
        <f>EXP(-LN(2)/25)*BQ109+(1-EXP(-LN(2)/25))/(LN(2)/25)*Calculateur!BL110*Calculateur!BN110*VLOOKUP('Données projet'!$B$11,Paramètres!$A$1:$I$89,3,0)*0.475*44/12</f>
        <v>#N/A</v>
      </c>
      <c r="BR110" s="23" t="e">
        <f>EXP(-LN(2)/2)*BR109+(1-EXP(-LN(2)/2))/(LN(2)/2)*BL110*BO110*VLOOKUP('Données projet'!$B$11,Paramètres!$A$1:$I$89,3,0)*0.475*44/12</f>
        <v>#N/A</v>
      </c>
      <c r="BS110" s="24" t="e">
        <f t="shared" si="63"/>
        <v>#N/A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3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53.351999999999983</v>
      </c>
      <c r="D111" s="12">
        <f t="shared" si="86"/>
        <v>15.476132071622835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10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531.30487914936919</v>
      </c>
      <c r="H111" s="70">
        <f t="shared" si="56"/>
        <v>413.20899669140971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-1.1368683772161603E-13</v>
      </c>
      <c r="O111" s="14">
        <f>N111*VLOOKUP('Données projet'!$B$9,Paramètres!$A$1:$I$89,3,0)*VLOOKUP('Données projet'!$B$9,Paramètres!$A$1:$I$89,5,0)</f>
        <v>-6.7984728957526396E-14</v>
      </c>
      <c r="P111" s="14" t="e">
        <f t="shared" si="87"/>
        <v>#NUM!</v>
      </c>
      <c r="Q111" s="22" t="e">
        <f t="shared" si="107"/>
        <v>#NUM!</v>
      </c>
      <c r="R111" s="62" t="e">
        <f t="shared" si="55"/>
        <v>#NUM!</v>
      </c>
      <c r="S111" s="62">
        <f ca="1">AVERAGE(OFFSET($R$3,0,0,'Données projet'!$E$9+1,1))-AVERAGE(OFFSET($H$3,0,0,'Données projet'!$E$9+1,1))</f>
        <v>255.1976414275677</v>
      </c>
      <c r="T111" s="62">
        <f t="shared" si="88"/>
        <v>266.42714758321767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2.4980302188911812</v>
      </c>
      <c r="AA111" s="23">
        <f>EXP(-LN(2)/25)*AA110+(1-EXP(-LN(2)/25))/(LN(2)/25)*Calculateur!V111*Calculateur!X111*VLOOKUP('Données projet'!$B$9,Paramètres!$A$1:$I$89,3,0)*0.475*44/12</f>
        <v>1.5162447948883233</v>
      </c>
      <c r="AB111" s="23">
        <f>EXP(-LN(2)/2)*AB110+(1-EXP(-LN(2)/2))/(LN(2)/2)*V111*Y111*VLOOKUP('Données projet'!$B$9,Paramètres!$A$1:$I$89,3,0)*0.475*44/12</f>
        <v>1.1020824877120319E-11</v>
      </c>
      <c r="AC111" s="24">
        <f t="shared" si="57"/>
        <v>4.0142750137905248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0</v>
      </c>
      <c r="AJ111" s="14" t="e">
        <f>AI111*VLOOKUP('Données projet'!$B$10,Paramètres!$A$1:$I$89,3,0)*VLOOKUP('Données projet'!$B$10,Paramètres!$A$1:$I$89,5,0)</f>
        <v>#N/A</v>
      </c>
      <c r="AK111" s="14" t="e">
        <f t="shared" si="89"/>
        <v>#N/A</v>
      </c>
      <c r="AL111" s="22" t="e">
        <f t="shared" si="58"/>
        <v>#N/A</v>
      </c>
      <c r="AM111" s="62" t="e">
        <f t="shared" si="59"/>
        <v>#N/A</v>
      </c>
      <c r="AN111" s="62" t="e">
        <f ca="1">AVERAGE(OFFSET($AM$3,0,0,'Données projet'!$E$10+1,1))-AVERAGE(OFFSET($H$3,0,0,'Données projet'!$E$10+1,1))</f>
        <v>#N/A</v>
      </c>
      <c r="AO111" s="62" t="e">
        <f t="shared" si="90"/>
        <v>#N/A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 t="e">
        <f>EXP(-LN(2)/35)*AU110+(1-EXP(-LN(2)/35))/(LN(2)/35)*AQ111*AR111*VLOOKUP('Données projet'!$B$10,Paramètres!$A$1:$I$89,3,0)*0.475*44/12</f>
        <v>#N/A</v>
      </c>
      <c r="AV111" s="23" t="e">
        <f>EXP(-LN(2)/25)*AV110+(1-EXP(-LN(2)/25))/(LN(2)/25)*Calculateur!AQ111*Calculateur!AS111*VLOOKUP('Données projet'!$B$10,Paramètres!$A$1:$I$89,3,0)*0.475*44/12</f>
        <v>#N/A</v>
      </c>
      <c r="AW111" s="23" t="e">
        <f>EXP(-LN(2)/2)*AW110+(1-EXP(-LN(2)/2))/(LN(2)/2)*AQ111*AT111*VLOOKUP('Données projet'!$B$10,Paramètres!$A$1:$I$89,3,0)*0.475*44/12</f>
        <v>#N/A</v>
      </c>
      <c r="AX111" s="23" t="e">
        <f t="shared" si="60"/>
        <v>#N/A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 t="e">
        <f>BD111*VLOOKUP('Données projet'!$B$11,Paramètres!$A$1:$I$89,3,0)*VLOOKUP('Données projet'!$B$11,Paramètres!$A$1:$I$89,5,0)</f>
        <v>#N/A</v>
      </c>
      <c r="BF111" s="14" t="e">
        <f t="shared" si="91"/>
        <v>#N/A</v>
      </c>
      <c r="BG111" s="22" t="e">
        <f t="shared" si="61"/>
        <v>#N/A</v>
      </c>
      <c r="BH111" s="62" t="e">
        <f t="shared" si="62"/>
        <v>#N/A</v>
      </c>
      <c r="BI111" s="62" t="e">
        <f ca="1">AVERAGE(OFFSET($BH$3,0,0,'Données projet'!$E$11+1,1))-AVERAGE(OFFSET($H$3,0,0,'Données projet'!$E$11+1,1))</f>
        <v>#N/A</v>
      </c>
      <c r="BJ111" s="62" t="e">
        <f t="shared" si="92"/>
        <v>#N/A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 t="e">
        <f>EXP(-LN(2)/35)*BP110+(1-EXP(-LN(2)/35))/(LN(2)/35)*BL111*BM111*VLOOKUP('Données projet'!$B$11,Paramètres!$A$1:$I$89,3,0)*0.475*44/12</f>
        <v>#N/A</v>
      </c>
      <c r="BQ111" s="23" t="e">
        <f>EXP(-LN(2)/25)*BQ110+(1-EXP(-LN(2)/25))/(LN(2)/25)*Calculateur!BL111*Calculateur!BN111*VLOOKUP('Données projet'!$B$11,Paramètres!$A$1:$I$89,3,0)*0.475*44/12</f>
        <v>#N/A</v>
      </c>
      <c r="BR111" s="23" t="e">
        <f>EXP(-LN(2)/2)*BR110+(1-EXP(-LN(2)/2))/(LN(2)/2)*BL111*BO111*VLOOKUP('Données projet'!$B$11,Paramètres!$A$1:$I$89,3,0)*0.475*44/12</f>
        <v>#N/A</v>
      </c>
      <c r="BS111" s="24" t="e">
        <f t="shared" si="63"/>
        <v>#N/A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3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53.845999999999982</v>
      </c>
      <c r="D112" s="12">
        <f t="shared" si="86"/>
        <v>15.602681760669958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10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536.09508727534694</v>
      </c>
      <c r="H112" s="70">
        <f t="shared" si="56"/>
        <v>414.28978739983347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-1.1368683772161603E-13</v>
      </c>
      <c r="O112" s="14">
        <f>N112*VLOOKUP('Données projet'!$B$9,Paramètres!$A$1:$I$89,3,0)*VLOOKUP('Données projet'!$B$9,Paramètres!$A$1:$I$89,5,0)</f>
        <v>-6.7984728957526396E-14</v>
      </c>
      <c r="P112" s="14" t="e">
        <f t="shared" si="87"/>
        <v>#NUM!</v>
      </c>
      <c r="Q112" s="22" t="e">
        <f t="shared" si="107"/>
        <v>#NUM!</v>
      </c>
      <c r="R112" s="62" t="e">
        <f t="shared" si="55"/>
        <v>#NUM!</v>
      </c>
      <c r="S112" s="62">
        <f ca="1">AVERAGE(OFFSET($R$3,0,0,'Données projet'!$E$9+1,1))-AVERAGE(OFFSET($H$3,0,0,'Données projet'!$E$9+1,1))</f>
        <v>255.1976414275677</v>
      </c>
      <c r="T112" s="62">
        <f t="shared" si="88"/>
        <v>266.42714758321767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2.449045369946711</v>
      </c>
      <c r="AA112" s="23">
        <f>EXP(-LN(2)/25)*AA111+(1-EXP(-LN(2)/25))/(LN(2)/25)*Calculateur!V112*Calculateur!X112*VLOOKUP('Données projet'!$B$9,Paramètres!$A$1:$I$89,3,0)*0.475*44/12</f>
        <v>1.4747830012362537</v>
      </c>
      <c r="AB112" s="23">
        <f>EXP(-LN(2)/2)*AB111+(1-EXP(-LN(2)/2))/(LN(2)/2)*V112*Y112*VLOOKUP('Données projet'!$B$9,Paramètres!$A$1:$I$89,3,0)*0.475*44/12</f>
        <v>7.7929000048811767E-12</v>
      </c>
      <c r="AC112" s="24">
        <f t="shared" si="57"/>
        <v>3.9238283711907576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0</v>
      </c>
      <c r="AJ112" s="14" t="e">
        <f>AI112*VLOOKUP('Données projet'!$B$10,Paramètres!$A$1:$I$89,3,0)*VLOOKUP('Données projet'!$B$10,Paramètres!$A$1:$I$89,5,0)</f>
        <v>#N/A</v>
      </c>
      <c r="AK112" s="14" t="e">
        <f t="shared" si="89"/>
        <v>#N/A</v>
      </c>
      <c r="AL112" s="22" t="e">
        <f t="shared" si="58"/>
        <v>#N/A</v>
      </c>
      <c r="AM112" s="62" t="e">
        <f t="shared" si="59"/>
        <v>#N/A</v>
      </c>
      <c r="AN112" s="62" t="e">
        <f ca="1">AVERAGE(OFFSET($AM$3,0,0,'Données projet'!$E$10+1,1))-AVERAGE(OFFSET($H$3,0,0,'Données projet'!$E$10+1,1))</f>
        <v>#N/A</v>
      </c>
      <c r="AO112" s="62" t="e">
        <f t="shared" si="90"/>
        <v>#N/A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 t="e">
        <f>EXP(-LN(2)/35)*AU111+(1-EXP(-LN(2)/35))/(LN(2)/35)*AQ112*AR112*VLOOKUP('Données projet'!$B$10,Paramètres!$A$1:$I$89,3,0)*0.475*44/12</f>
        <v>#N/A</v>
      </c>
      <c r="AV112" s="23" t="e">
        <f>EXP(-LN(2)/25)*AV111+(1-EXP(-LN(2)/25))/(LN(2)/25)*Calculateur!AQ112*Calculateur!AS112*VLOOKUP('Données projet'!$B$10,Paramètres!$A$1:$I$89,3,0)*0.475*44/12</f>
        <v>#N/A</v>
      </c>
      <c r="AW112" s="23" t="e">
        <f>EXP(-LN(2)/2)*AW111+(1-EXP(-LN(2)/2))/(LN(2)/2)*AQ112*AT112*VLOOKUP('Données projet'!$B$10,Paramètres!$A$1:$I$89,3,0)*0.475*44/12</f>
        <v>#N/A</v>
      </c>
      <c r="AX112" s="23" t="e">
        <f t="shared" si="60"/>
        <v>#N/A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 t="e">
        <f>BD112*VLOOKUP('Données projet'!$B$11,Paramètres!$A$1:$I$89,3,0)*VLOOKUP('Données projet'!$B$11,Paramètres!$A$1:$I$89,5,0)</f>
        <v>#N/A</v>
      </c>
      <c r="BF112" s="14" t="e">
        <f t="shared" si="91"/>
        <v>#N/A</v>
      </c>
      <c r="BG112" s="22" t="e">
        <f t="shared" si="61"/>
        <v>#N/A</v>
      </c>
      <c r="BH112" s="62" t="e">
        <f t="shared" si="62"/>
        <v>#N/A</v>
      </c>
      <c r="BI112" s="62" t="e">
        <f ca="1">AVERAGE(OFFSET($BH$3,0,0,'Données projet'!$E$11+1,1))-AVERAGE(OFFSET($H$3,0,0,'Données projet'!$E$11+1,1))</f>
        <v>#N/A</v>
      </c>
      <c r="BJ112" s="62" t="e">
        <f t="shared" si="92"/>
        <v>#N/A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 t="e">
        <f>EXP(-LN(2)/35)*BP111+(1-EXP(-LN(2)/35))/(LN(2)/35)*BL112*BM112*VLOOKUP('Données projet'!$B$11,Paramètres!$A$1:$I$89,3,0)*0.475*44/12</f>
        <v>#N/A</v>
      </c>
      <c r="BQ112" s="23" t="e">
        <f>EXP(-LN(2)/25)*BQ111+(1-EXP(-LN(2)/25))/(LN(2)/25)*Calculateur!BL112*Calculateur!BN112*VLOOKUP('Données projet'!$B$11,Paramètres!$A$1:$I$89,3,0)*0.475*44/12</f>
        <v>#N/A</v>
      </c>
      <c r="BR112" s="23" t="e">
        <f>EXP(-LN(2)/2)*BR111+(1-EXP(-LN(2)/2))/(LN(2)/2)*BL112*BO112*VLOOKUP('Données projet'!$B$11,Paramètres!$A$1:$I$89,3,0)*0.475*44/12</f>
        <v>#N/A</v>
      </c>
      <c r="BS112" s="24" t="e">
        <f t="shared" si="63"/>
        <v>#N/A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3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54.339999999999982</v>
      </c>
      <c r="D113" s="12">
        <f t="shared" si="86"/>
        <v>15.729096378709464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10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540.88425274793258</v>
      </c>
      <c r="H113" s="70">
        <f t="shared" si="56"/>
        <v>415.37034285958561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-1.1368683772161603E-13</v>
      </c>
      <c r="O113" s="14">
        <f>N113*VLOOKUP('Données projet'!$B$9,Paramètres!$A$1:$I$89,3,0)*VLOOKUP('Données projet'!$B$9,Paramètres!$A$1:$I$89,5,0)</f>
        <v>-6.7984728957526396E-14</v>
      </c>
      <c r="P113" s="14" t="e">
        <f t="shared" si="87"/>
        <v>#NUM!</v>
      </c>
      <c r="Q113" s="22" t="e">
        <f t="shared" si="107"/>
        <v>#NUM!</v>
      </c>
      <c r="R113" s="62" t="e">
        <f t="shared" si="55"/>
        <v>#NUM!</v>
      </c>
      <c r="S113" s="62">
        <f ca="1">AVERAGE(OFFSET($R$3,0,0,'Données projet'!$E$9+1,1))-AVERAGE(OFFSET($H$3,0,0,'Données projet'!$E$9+1,1))</f>
        <v>255.1976414275677</v>
      </c>
      <c r="T113" s="62">
        <f t="shared" si="88"/>
        <v>266.42714758321767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2.4010210840122341</v>
      </c>
      <c r="AA113" s="23">
        <f>EXP(-LN(2)/25)*AA112+(1-EXP(-LN(2)/25))/(LN(2)/25)*Calculateur!V113*Calculateur!X113*VLOOKUP('Données projet'!$B$9,Paramètres!$A$1:$I$89,3,0)*0.475*44/12</f>
        <v>1.434454982511981</v>
      </c>
      <c r="AB113" s="23">
        <f>EXP(-LN(2)/2)*AB112+(1-EXP(-LN(2)/2))/(LN(2)/2)*V113*Y113*VLOOKUP('Données projet'!$B$9,Paramètres!$A$1:$I$89,3,0)*0.475*44/12</f>
        <v>5.5104124385601595E-12</v>
      </c>
      <c r="AC113" s="24">
        <f t="shared" si="57"/>
        <v>3.8354760665297256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0</v>
      </c>
      <c r="AJ113" s="14" t="e">
        <f>AI113*VLOOKUP('Données projet'!$B$10,Paramètres!$A$1:$I$89,3,0)*VLOOKUP('Données projet'!$B$10,Paramètres!$A$1:$I$89,5,0)</f>
        <v>#N/A</v>
      </c>
      <c r="AK113" s="14" t="e">
        <f t="shared" si="89"/>
        <v>#N/A</v>
      </c>
      <c r="AL113" s="22" t="e">
        <f t="shared" si="58"/>
        <v>#N/A</v>
      </c>
      <c r="AM113" s="62" t="e">
        <f t="shared" si="59"/>
        <v>#N/A</v>
      </c>
      <c r="AN113" s="62" t="e">
        <f ca="1">AVERAGE(OFFSET($AM$3,0,0,'Données projet'!$E$10+1,1))-AVERAGE(OFFSET($H$3,0,0,'Données projet'!$E$10+1,1))</f>
        <v>#N/A</v>
      </c>
      <c r="AO113" s="62" t="e">
        <f t="shared" si="90"/>
        <v>#N/A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 t="e">
        <f>EXP(-LN(2)/35)*AU112+(1-EXP(-LN(2)/35))/(LN(2)/35)*AQ113*AR113*VLOOKUP('Données projet'!$B$10,Paramètres!$A$1:$I$89,3,0)*0.475*44/12</f>
        <v>#N/A</v>
      </c>
      <c r="AV113" s="23" t="e">
        <f>EXP(-LN(2)/25)*AV112+(1-EXP(-LN(2)/25))/(LN(2)/25)*Calculateur!AQ113*Calculateur!AS113*VLOOKUP('Données projet'!$B$10,Paramètres!$A$1:$I$89,3,0)*0.475*44/12</f>
        <v>#N/A</v>
      </c>
      <c r="AW113" s="23" t="e">
        <f>EXP(-LN(2)/2)*AW112+(1-EXP(-LN(2)/2))/(LN(2)/2)*AQ113*AT113*VLOOKUP('Données projet'!$B$10,Paramètres!$A$1:$I$89,3,0)*0.475*44/12</f>
        <v>#N/A</v>
      </c>
      <c r="AX113" s="23" t="e">
        <f t="shared" si="60"/>
        <v>#N/A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 t="e">
        <f>BD113*VLOOKUP('Données projet'!$B$11,Paramètres!$A$1:$I$89,3,0)*VLOOKUP('Données projet'!$B$11,Paramètres!$A$1:$I$89,5,0)</f>
        <v>#N/A</v>
      </c>
      <c r="BF113" s="14" t="e">
        <f t="shared" si="91"/>
        <v>#N/A</v>
      </c>
      <c r="BG113" s="22" t="e">
        <f t="shared" si="61"/>
        <v>#N/A</v>
      </c>
      <c r="BH113" s="62" t="e">
        <f t="shared" si="62"/>
        <v>#N/A</v>
      </c>
      <c r="BI113" s="62" t="e">
        <f ca="1">AVERAGE(OFFSET($BH$3,0,0,'Données projet'!$E$11+1,1))-AVERAGE(OFFSET($H$3,0,0,'Données projet'!$E$11+1,1))</f>
        <v>#N/A</v>
      </c>
      <c r="BJ113" s="62" t="e">
        <f t="shared" si="92"/>
        <v>#N/A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 t="e">
        <f>EXP(-LN(2)/35)*BP112+(1-EXP(-LN(2)/35))/(LN(2)/35)*BL113*BM113*VLOOKUP('Données projet'!$B$11,Paramètres!$A$1:$I$89,3,0)*0.475*44/12</f>
        <v>#N/A</v>
      </c>
      <c r="BQ113" s="23" t="e">
        <f>EXP(-LN(2)/25)*BQ112+(1-EXP(-LN(2)/25))/(LN(2)/25)*Calculateur!BL113*Calculateur!BN113*VLOOKUP('Données projet'!$B$11,Paramètres!$A$1:$I$89,3,0)*0.475*44/12</f>
        <v>#N/A</v>
      </c>
      <c r="BR113" s="23" t="e">
        <f>EXP(-LN(2)/2)*BR112+(1-EXP(-LN(2)/2))/(LN(2)/2)*BL113*BO113*VLOOKUP('Données projet'!$B$11,Paramètres!$A$1:$I$89,3,0)*0.475*44/12</f>
        <v>#N/A</v>
      </c>
      <c r="BS113" s="24" t="e">
        <f t="shared" si="63"/>
        <v>#N/A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3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54.833999999999982</v>
      </c>
      <c r="D114" s="12">
        <f t="shared" si="86"/>
        <v>15.85537729590216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10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545.67238614380619</v>
      </c>
      <c r="H114" s="70">
        <f t="shared" si="56"/>
        <v>416.45066545702952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-1.1368683772161603E-13</v>
      </c>
      <c r="O114" s="14">
        <f>N114*VLOOKUP('Données projet'!$B$9,Paramètres!$A$1:$I$89,3,0)*VLOOKUP('Données projet'!$B$9,Paramètres!$A$1:$I$89,5,0)</f>
        <v>-6.7984728957526396E-14</v>
      </c>
      <c r="P114" s="14" t="e">
        <f t="shared" si="87"/>
        <v>#NUM!</v>
      </c>
      <c r="Q114" s="22" t="e">
        <f t="shared" si="107"/>
        <v>#NUM!</v>
      </c>
      <c r="R114" s="62" t="e">
        <f t="shared" si="55"/>
        <v>#NUM!</v>
      </c>
      <c r="S114" s="62">
        <f ca="1">AVERAGE(OFFSET($R$3,0,0,'Données projet'!$E$9+1,1))-AVERAGE(OFFSET($H$3,0,0,'Données projet'!$E$9+1,1))</f>
        <v>255.1976414275677</v>
      </c>
      <c r="T114" s="62">
        <f t="shared" si="88"/>
        <v>266.42714758321767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2.3539385250330103</v>
      </c>
      <c r="AA114" s="23">
        <f>EXP(-LN(2)/25)*AA113+(1-EXP(-LN(2)/25))/(LN(2)/25)*Calculateur!V114*Calculateur!X114*VLOOKUP('Données projet'!$B$9,Paramètres!$A$1:$I$89,3,0)*0.475*44/12</f>
        <v>1.3952297355804819</v>
      </c>
      <c r="AB114" s="23">
        <f>EXP(-LN(2)/2)*AB113+(1-EXP(-LN(2)/2))/(LN(2)/2)*V114*Y114*VLOOKUP('Données projet'!$B$9,Paramètres!$A$1:$I$89,3,0)*0.475*44/12</f>
        <v>3.8964500024405883E-12</v>
      </c>
      <c r="AC114" s="24">
        <f t="shared" si="57"/>
        <v>3.7491682606173886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0</v>
      </c>
      <c r="AJ114" s="14" t="e">
        <f>AI114*VLOOKUP('Données projet'!$B$10,Paramètres!$A$1:$I$89,3,0)*VLOOKUP('Données projet'!$B$10,Paramètres!$A$1:$I$89,5,0)</f>
        <v>#N/A</v>
      </c>
      <c r="AK114" s="14" t="e">
        <f t="shared" si="89"/>
        <v>#N/A</v>
      </c>
      <c r="AL114" s="22" t="e">
        <f t="shared" si="58"/>
        <v>#N/A</v>
      </c>
      <c r="AM114" s="62" t="e">
        <f t="shared" si="59"/>
        <v>#N/A</v>
      </c>
      <c r="AN114" s="62" t="e">
        <f ca="1">AVERAGE(OFFSET($AM$3,0,0,'Données projet'!$E$10+1,1))-AVERAGE(OFFSET($H$3,0,0,'Données projet'!$E$10+1,1))</f>
        <v>#N/A</v>
      </c>
      <c r="AO114" s="62" t="e">
        <f t="shared" si="90"/>
        <v>#N/A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 t="e">
        <f>EXP(-LN(2)/35)*AU113+(1-EXP(-LN(2)/35))/(LN(2)/35)*AQ114*AR114*VLOOKUP('Données projet'!$B$10,Paramètres!$A$1:$I$89,3,0)*0.475*44/12</f>
        <v>#N/A</v>
      </c>
      <c r="AV114" s="23" t="e">
        <f>EXP(-LN(2)/25)*AV113+(1-EXP(-LN(2)/25))/(LN(2)/25)*Calculateur!AQ114*Calculateur!AS114*VLOOKUP('Données projet'!$B$10,Paramètres!$A$1:$I$89,3,0)*0.475*44/12</f>
        <v>#N/A</v>
      </c>
      <c r="AW114" s="23" t="e">
        <f>EXP(-LN(2)/2)*AW113+(1-EXP(-LN(2)/2))/(LN(2)/2)*AQ114*AT114*VLOOKUP('Données projet'!$B$10,Paramètres!$A$1:$I$89,3,0)*0.475*44/12</f>
        <v>#N/A</v>
      </c>
      <c r="AX114" s="23" t="e">
        <f t="shared" si="60"/>
        <v>#N/A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 t="e">
        <f>BD114*VLOOKUP('Données projet'!$B$11,Paramètres!$A$1:$I$89,3,0)*VLOOKUP('Données projet'!$B$11,Paramètres!$A$1:$I$89,5,0)</f>
        <v>#N/A</v>
      </c>
      <c r="BF114" s="14" t="e">
        <f t="shared" si="91"/>
        <v>#N/A</v>
      </c>
      <c r="BG114" s="22" t="e">
        <f t="shared" si="61"/>
        <v>#N/A</v>
      </c>
      <c r="BH114" s="62" t="e">
        <f t="shared" si="62"/>
        <v>#N/A</v>
      </c>
      <c r="BI114" s="62" t="e">
        <f ca="1">AVERAGE(OFFSET($BH$3,0,0,'Données projet'!$E$11+1,1))-AVERAGE(OFFSET($H$3,0,0,'Données projet'!$E$11+1,1))</f>
        <v>#N/A</v>
      </c>
      <c r="BJ114" s="62" t="e">
        <f t="shared" si="92"/>
        <v>#N/A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 t="e">
        <f>EXP(-LN(2)/35)*BP113+(1-EXP(-LN(2)/35))/(LN(2)/35)*BL114*BM114*VLOOKUP('Données projet'!$B$11,Paramètres!$A$1:$I$89,3,0)*0.475*44/12</f>
        <v>#N/A</v>
      </c>
      <c r="BQ114" s="23" t="e">
        <f>EXP(-LN(2)/25)*BQ113+(1-EXP(-LN(2)/25))/(LN(2)/25)*Calculateur!BL114*Calculateur!BN114*VLOOKUP('Données projet'!$B$11,Paramètres!$A$1:$I$89,3,0)*0.475*44/12</f>
        <v>#N/A</v>
      </c>
      <c r="BR114" s="23" t="e">
        <f>EXP(-LN(2)/2)*BR113+(1-EXP(-LN(2)/2))/(LN(2)/2)*BL114*BO114*VLOOKUP('Données projet'!$B$11,Paramètres!$A$1:$I$89,3,0)*0.475*44/12</f>
        <v>#N/A</v>
      </c>
      <c r="BS114" s="24" t="e">
        <f t="shared" si="63"/>
        <v>#N/A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3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55.327999999999982</v>
      </c>
      <c r="D115" s="12">
        <f t="shared" si="86"/>
        <v>15.981525856297083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10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550.4594978380826</v>
      </c>
      <c r="H115" s="70">
        <f t="shared" si="56"/>
        <v>417.53075753305069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-1.1368683772161603E-13</v>
      </c>
      <c r="O115" s="14">
        <f>N115*VLOOKUP('Données projet'!$B$9,Paramètres!$A$1:$I$89,3,0)*VLOOKUP('Données projet'!$B$9,Paramètres!$A$1:$I$89,5,0)</f>
        <v>-6.7984728957526396E-14</v>
      </c>
      <c r="P115" s="14" t="e">
        <f t="shared" si="87"/>
        <v>#NUM!</v>
      </c>
      <c r="Q115" s="22" t="e">
        <f t="shared" si="107"/>
        <v>#NUM!</v>
      </c>
      <c r="R115" s="62" t="e">
        <f t="shared" si="55"/>
        <v>#NUM!</v>
      </c>
      <c r="S115" s="62">
        <f ca="1">AVERAGE(OFFSET($R$3,0,0,'Données projet'!$E$9+1,1))-AVERAGE(OFFSET($H$3,0,0,'Données projet'!$E$9+1,1))</f>
        <v>255.1976414275677</v>
      </c>
      <c r="T115" s="62">
        <f t="shared" si="88"/>
        <v>266.42714758321767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2.3077792263178436</v>
      </c>
      <c r="AA115" s="23">
        <f>EXP(-LN(2)/25)*AA114+(1-EXP(-LN(2)/25))/(LN(2)/25)*Calculateur!V115*Calculateur!X115*VLOOKUP('Données projet'!$B$9,Paramètres!$A$1:$I$89,3,0)*0.475*44/12</f>
        <v>1.3570771050890906</v>
      </c>
      <c r="AB115" s="23">
        <f>EXP(-LN(2)/2)*AB114+(1-EXP(-LN(2)/2))/(LN(2)/2)*V115*Y115*VLOOKUP('Données projet'!$B$9,Paramètres!$A$1:$I$89,3,0)*0.475*44/12</f>
        <v>2.7552062192800798E-12</v>
      </c>
      <c r="AC115" s="24">
        <f t="shared" si="57"/>
        <v>3.6648563314096894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0</v>
      </c>
      <c r="AJ115" s="14" t="e">
        <f>AI115*VLOOKUP('Données projet'!$B$10,Paramètres!$A$1:$I$89,3,0)*VLOOKUP('Données projet'!$B$10,Paramètres!$A$1:$I$89,5,0)</f>
        <v>#N/A</v>
      </c>
      <c r="AK115" s="14" t="e">
        <f t="shared" si="89"/>
        <v>#N/A</v>
      </c>
      <c r="AL115" s="22" t="e">
        <f t="shared" si="58"/>
        <v>#N/A</v>
      </c>
      <c r="AM115" s="62" t="e">
        <f t="shared" si="59"/>
        <v>#N/A</v>
      </c>
      <c r="AN115" s="62" t="e">
        <f ca="1">AVERAGE(OFFSET($AM$3,0,0,'Données projet'!$E$10+1,1))-AVERAGE(OFFSET($H$3,0,0,'Données projet'!$E$10+1,1))</f>
        <v>#N/A</v>
      </c>
      <c r="AO115" s="62" t="e">
        <f t="shared" si="90"/>
        <v>#N/A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 t="e">
        <f>EXP(-LN(2)/35)*AU114+(1-EXP(-LN(2)/35))/(LN(2)/35)*AQ115*AR115*VLOOKUP('Données projet'!$B$10,Paramètres!$A$1:$I$89,3,0)*0.475*44/12</f>
        <v>#N/A</v>
      </c>
      <c r="AV115" s="23" t="e">
        <f>EXP(-LN(2)/25)*AV114+(1-EXP(-LN(2)/25))/(LN(2)/25)*Calculateur!AQ115*Calculateur!AS115*VLOOKUP('Données projet'!$B$10,Paramètres!$A$1:$I$89,3,0)*0.475*44/12</f>
        <v>#N/A</v>
      </c>
      <c r="AW115" s="23" t="e">
        <f>EXP(-LN(2)/2)*AW114+(1-EXP(-LN(2)/2))/(LN(2)/2)*AQ115*AT115*VLOOKUP('Données projet'!$B$10,Paramètres!$A$1:$I$89,3,0)*0.475*44/12</f>
        <v>#N/A</v>
      </c>
      <c r="AX115" s="23" t="e">
        <f t="shared" si="60"/>
        <v>#N/A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 t="e">
        <f>BD115*VLOOKUP('Données projet'!$B$11,Paramètres!$A$1:$I$89,3,0)*VLOOKUP('Données projet'!$B$11,Paramètres!$A$1:$I$89,5,0)</f>
        <v>#N/A</v>
      </c>
      <c r="BF115" s="14" t="e">
        <f t="shared" si="91"/>
        <v>#N/A</v>
      </c>
      <c r="BG115" s="22" t="e">
        <f t="shared" si="61"/>
        <v>#N/A</v>
      </c>
      <c r="BH115" s="62" t="e">
        <f t="shared" si="62"/>
        <v>#N/A</v>
      </c>
      <c r="BI115" s="62" t="e">
        <f ca="1">AVERAGE(OFFSET($BH$3,0,0,'Données projet'!$E$11+1,1))-AVERAGE(OFFSET($H$3,0,0,'Données projet'!$E$11+1,1))</f>
        <v>#N/A</v>
      </c>
      <c r="BJ115" s="62" t="e">
        <f t="shared" si="92"/>
        <v>#N/A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 t="e">
        <f>EXP(-LN(2)/35)*BP114+(1-EXP(-LN(2)/35))/(LN(2)/35)*BL115*BM115*VLOOKUP('Données projet'!$B$11,Paramètres!$A$1:$I$89,3,0)*0.475*44/12</f>
        <v>#N/A</v>
      </c>
      <c r="BQ115" s="23" t="e">
        <f>EXP(-LN(2)/25)*BQ114+(1-EXP(-LN(2)/25))/(LN(2)/25)*Calculateur!BL115*Calculateur!BN115*VLOOKUP('Données projet'!$B$11,Paramètres!$A$1:$I$89,3,0)*0.475*44/12</f>
        <v>#N/A</v>
      </c>
      <c r="BR115" s="23" t="e">
        <f>EXP(-LN(2)/2)*BR114+(1-EXP(-LN(2)/2))/(LN(2)/2)*BL115*BO115*VLOOKUP('Données projet'!$B$11,Paramètres!$A$1:$I$89,3,0)*0.475*44/12</f>
        <v>#N/A</v>
      </c>
      <c r="BS115" s="24" t="e">
        <f t="shared" si="63"/>
        <v>#N/A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3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55.821999999999981</v>
      </c>
      <c r="D116" s="12">
        <f t="shared" si="86"/>
        <v>16.107543378557729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10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555.24559800991926</v>
      </c>
      <c r="H116" s="70">
        <f t="shared" si="56"/>
        <v>418.61062138432129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-1.1368683772161603E-13</v>
      </c>
      <c r="O116" s="14">
        <f>N116*VLOOKUP('Données projet'!$B$9,Paramètres!$A$1:$I$89,3,0)*VLOOKUP('Données projet'!$B$9,Paramètres!$A$1:$I$89,5,0)</f>
        <v>-6.7984728957526396E-14</v>
      </c>
      <c r="P116" s="14" t="e">
        <f t="shared" si="87"/>
        <v>#NUM!</v>
      </c>
      <c r="Q116" s="22" t="e">
        <f t="shared" si="107"/>
        <v>#NUM!</v>
      </c>
      <c r="R116" s="62" t="e">
        <f t="shared" si="55"/>
        <v>#NUM!</v>
      </c>
      <c r="S116" s="62">
        <f ca="1">AVERAGE(OFFSET($R$3,0,0,'Données projet'!$E$9+1,1))-AVERAGE(OFFSET($H$3,0,0,'Données projet'!$E$9+1,1))</f>
        <v>255.1976414275677</v>
      </c>
      <c r="T116" s="62">
        <f t="shared" si="88"/>
        <v>266.42714758321767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2.2625250832960893</v>
      </c>
      <c r="AA116" s="23">
        <f>EXP(-LN(2)/25)*AA115+(1-EXP(-LN(2)/25))/(LN(2)/25)*Calculateur!V116*Calculateur!X116*VLOOKUP('Données projet'!$B$9,Paramètres!$A$1:$I$89,3,0)*0.475*44/12</f>
        <v>1.3199677602848461</v>
      </c>
      <c r="AB116" s="23">
        <f>EXP(-LN(2)/2)*AB115+(1-EXP(-LN(2)/2))/(LN(2)/2)*V116*Y116*VLOOKUP('Données projet'!$B$9,Paramètres!$A$1:$I$89,3,0)*0.475*44/12</f>
        <v>1.9482250012202942E-12</v>
      </c>
      <c r="AC116" s="24">
        <f t="shared" si="57"/>
        <v>3.5824928435828833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0</v>
      </c>
      <c r="AJ116" s="14" t="e">
        <f>AI116*VLOOKUP('Données projet'!$B$10,Paramètres!$A$1:$I$89,3,0)*VLOOKUP('Données projet'!$B$10,Paramètres!$A$1:$I$89,5,0)</f>
        <v>#N/A</v>
      </c>
      <c r="AK116" s="14" t="e">
        <f t="shared" si="89"/>
        <v>#N/A</v>
      </c>
      <c r="AL116" s="22" t="e">
        <f t="shared" si="58"/>
        <v>#N/A</v>
      </c>
      <c r="AM116" s="62" t="e">
        <f t="shared" si="59"/>
        <v>#N/A</v>
      </c>
      <c r="AN116" s="62" t="e">
        <f ca="1">AVERAGE(OFFSET($AM$3,0,0,'Données projet'!$E$10+1,1))-AVERAGE(OFFSET($H$3,0,0,'Données projet'!$E$10+1,1))</f>
        <v>#N/A</v>
      </c>
      <c r="AO116" s="62" t="e">
        <f t="shared" si="90"/>
        <v>#N/A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 t="e">
        <f>EXP(-LN(2)/35)*AU115+(1-EXP(-LN(2)/35))/(LN(2)/35)*AQ116*AR116*VLOOKUP('Données projet'!$B$10,Paramètres!$A$1:$I$89,3,0)*0.475*44/12</f>
        <v>#N/A</v>
      </c>
      <c r="AV116" s="23" t="e">
        <f>EXP(-LN(2)/25)*AV115+(1-EXP(-LN(2)/25))/(LN(2)/25)*Calculateur!AQ116*Calculateur!AS116*VLOOKUP('Données projet'!$B$10,Paramètres!$A$1:$I$89,3,0)*0.475*44/12</f>
        <v>#N/A</v>
      </c>
      <c r="AW116" s="23" t="e">
        <f>EXP(-LN(2)/2)*AW115+(1-EXP(-LN(2)/2))/(LN(2)/2)*AQ116*AT116*VLOOKUP('Données projet'!$B$10,Paramètres!$A$1:$I$89,3,0)*0.475*44/12</f>
        <v>#N/A</v>
      </c>
      <c r="AX116" s="23" t="e">
        <f t="shared" si="60"/>
        <v>#N/A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 t="e">
        <f>BD116*VLOOKUP('Données projet'!$B$11,Paramètres!$A$1:$I$89,3,0)*VLOOKUP('Données projet'!$B$11,Paramètres!$A$1:$I$89,5,0)</f>
        <v>#N/A</v>
      </c>
      <c r="BF116" s="14" t="e">
        <f t="shared" si="91"/>
        <v>#N/A</v>
      </c>
      <c r="BG116" s="22" t="e">
        <f t="shared" si="61"/>
        <v>#N/A</v>
      </c>
      <c r="BH116" s="62" t="e">
        <f t="shared" si="62"/>
        <v>#N/A</v>
      </c>
      <c r="BI116" s="62" t="e">
        <f ca="1">AVERAGE(OFFSET($BH$3,0,0,'Données projet'!$E$11+1,1))-AVERAGE(OFFSET($H$3,0,0,'Données projet'!$E$11+1,1))</f>
        <v>#N/A</v>
      </c>
      <c r="BJ116" s="62" t="e">
        <f t="shared" si="92"/>
        <v>#N/A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 t="e">
        <f>EXP(-LN(2)/35)*BP115+(1-EXP(-LN(2)/35))/(LN(2)/35)*BL116*BM116*VLOOKUP('Données projet'!$B$11,Paramètres!$A$1:$I$89,3,0)*0.475*44/12</f>
        <v>#N/A</v>
      </c>
      <c r="BQ116" s="23" t="e">
        <f>EXP(-LN(2)/25)*BQ115+(1-EXP(-LN(2)/25))/(LN(2)/25)*Calculateur!BL116*Calculateur!BN116*VLOOKUP('Données projet'!$B$11,Paramètres!$A$1:$I$89,3,0)*0.475*44/12</f>
        <v>#N/A</v>
      </c>
      <c r="BR116" s="23" t="e">
        <f>EXP(-LN(2)/2)*BR115+(1-EXP(-LN(2)/2))/(LN(2)/2)*BL116*BO116*VLOOKUP('Données projet'!$B$11,Paramètres!$A$1:$I$89,3,0)*0.475*44/12</f>
        <v>#N/A</v>
      </c>
      <c r="BS116" s="24" t="e">
        <f t="shared" si="63"/>
        <v>#N/A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3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56.315999999999981</v>
      </c>
      <c r="D117" s="12">
        <f t="shared" si="86"/>
        <v>16.233431156661826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10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560.03069664791576</v>
      </c>
      <c r="H117" s="70">
        <f t="shared" si="56"/>
        <v>419.69025926451928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-1.1368683772161603E-13</v>
      </c>
      <c r="O117" s="14">
        <f>N117*VLOOKUP('Données projet'!$B$9,Paramètres!$A$1:$I$89,3,0)*VLOOKUP('Données projet'!$B$9,Paramètres!$A$1:$I$89,5,0)</f>
        <v>-6.7984728957526396E-14</v>
      </c>
      <c r="P117" s="14" t="e">
        <f t="shared" si="87"/>
        <v>#NUM!</v>
      </c>
      <c r="Q117" s="22" t="e">
        <f t="shared" si="107"/>
        <v>#NUM!</v>
      </c>
      <c r="R117" s="62" t="e">
        <f t="shared" si="55"/>
        <v>#NUM!</v>
      </c>
      <c r="S117" s="62">
        <f ca="1">AVERAGE(OFFSET($R$3,0,0,'Données projet'!$E$9+1,1))-AVERAGE(OFFSET($H$3,0,0,'Données projet'!$E$9+1,1))</f>
        <v>255.1976414275677</v>
      </c>
      <c r="T117" s="62">
        <f t="shared" si="88"/>
        <v>266.42714758321767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2.2181583464166899</v>
      </c>
      <c r="AA117" s="23">
        <f>EXP(-LN(2)/25)*AA116+(1-EXP(-LN(2)/25))/(LN(2)/25)*Calculateur!V117*Calculateur!X117*VLOOKUP('Données projet'!$B$9,Paramètres!$A$1:$I$89,3,0)*0.475*44/12</f>
        <v>1.2838731724657693</v>
      </c>
      <c r="AB117" s="23">
        <f>EXP(-LN(2)/2)*AB116+(1-EXP(-LN(2)/2))/(LN(2)/2)*V117*Y117*VLOOKUP('Données projet'!$B$9,Paramètres!$A$1:$I$89,3,0)*0.475*44/12</f>
        <v>1.3776031096400399E-12</v>
      </c>
      <c r="AC117" s="24">
        <f t="shared" si="57"/>
        <v>3.5020315188838369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0</v>
      </c>
      <c r="AJ117" s="14" t="e">
        <f>AI117*VLOOKUP('Données projet'!$B$10,Paramètres!$A$1:$I$89,3,0)*VLOOKUP('Données projet'!$B$10,Paramètres!$A$1:$I$89,5,0)</f>
        <v>#N/A</v>
      </c>
      <c r="AK117" s="14" t="e">
        <f t="shared" si="89"/>
        <v>#N/A</v>
      </c>
      <c r="AL117" s="22" t="e">
        <f t="shared" si="58"/>
        <v>#N/A</v>
      </c>
      <c r="AM117" s="62" t="e">
        <f t="shared" si="59"/>
        <v>#N/A</v>
      </c>
      <c r="AN117" s="62" t="e">
        <f ca="1">AVERAGE(OFFSET($AM$3,0,0,'Données projet'!$E$10+1,1))-AVERAGE(OFFSET($H$3,0,0,'Données projet'!$E$10+1,1))</f>
        <v>#N/A</v>
      </c>
      <c r="AO117" s="62" t="e">
        <f t="shared" si="90"/>
        <v>#N/A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 t="e">
        <f>EXP(-LN(2)/35)*AU116+(1-EXP(-LN(2)/35))/(LN(2)/35)*AQ117*AR117*VLOOKUP('Données projet'!$B$10,Paramètres!$A$1:$I$89,3,0)*0.475*44/12</f>
        <v>#N/A</v>
      </c>
      <c r="AV117" s="23" t="e">
        <f>EXP(-LN(2)/25)*AV116+(1-EXP(-LN(2)/25))/(LN(2)/25)*Calculateur!AQ117*Calculateur!AS117*VLOOKUP('Données projet'!$B$10,Paramètres!$A$1:$I$89,3,0)*0.475*44/12</f>
        <v>#N/A</v>
      </c>
      <c r="AW117" s="23" t="e">
        <f>EXP(-LN(2)/2)*AW116+(1-EXP(-LN(2)/2))/(LN(2)/2)*AQ117*AT117*VLOOKUP('Données projet'!$B$10,Paramètres!$A$1:$I$89,3,0)*0.475*44/12</f>
        <v>#N/A</v>
      </c>
      <c r="AX117" s="23" t="e">
        <f t="shared" si="60"/>
        <v>#N/A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 t="e">
        <f>BD117*VLOOKUP('Données projet'!$B$11,Paramètres!$A$1:$I$89,3,0)*VLOOKUP('Données projet'!$B$11,Paramètres!$A$1:$I$89,5,0)</f>
        <v>#N/A</v>
      </c>
      <c r="BF117" s="14" t="e">
        <f t="shared" si="91"/>
        <v>#N/A</v>
      </c>
      <c r="BG117" s="22" t="e">
        <f t="shared" si="61"/>
        <v>#N/A</v>
      </c>
      <c r="BH117" s="62" t="e">
        <f t="shared" si="62"/>
        <v>#N/A</v>
      </c>
      <c r="BI117" s="62" t="e">
        <f ca="1">AVERAGE(OFFSET($BH$3,0,0,'Données projet'!$E$11+1,1))-AVERAGE(OFFSET($H$3,0,0,'Données projet'!$E$11+1,1))</f>
        <v>#N/A</v>
      </c>
      <c r="BJ117" s="62" t="e">
        <f t="shared" si="92"/>
        <v>#N/A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 t="e">
        <f>EXP(-LN(2)/35)*BP116+(1-EXP(-LN(2)/35))/(LN(2)/35)*BL117*BM117*VLOOKUP('Données projet'!$B$11,Paramètres!$A$1:$I$89,3,0)*0.475*44/12</f>
        <v>#N/A</v>
      </c>
      <c r="BQ117" s="23" t="e">
        <f>EXP(-LN(2)/25)*BQ116+(1-EXP(-LN(2)/25))/(LN(2)/25)*Calculateur!BL117*Calculateur!BN117*VLOOKUP('Données projet'!$B$11,Paramètres!$A$1:$I$89,3,0)*0.475*44/12</f>
        <v>#N/A</v>
      </c>
      <c r="BR117" s="23" t="e">
        <f>EXP(-LN(2)/2)*BR116+(1-EXP(-LN(2)/2))/(LN(2)/2)*BL117*BO117*VLOOKUP('Données projet'!$B$11,Paramètres!$A$1:$I$89,3,0)*0.475*44/12</f>
        <v>#N/A</v>
      </c>
      <c r="BS117" s="24" t="e">
        <f t="shared" si="63"/>
        <v>#N/A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3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56.809999999999981</v>
      </c>
      <c r="D118" s="12">
        <f t="shared" si="86"/>
        <v>16.359190460575888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10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564.81480355532244</v>
      </c>
      <c r="H118" s="70">
        <f t="shared" si="56"/>
        <v>420.76967338550293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-1.1368683772161603E-13</v>
      </c>
      <c r="O118" s="14">
        <f>N118*VLOOKUP('Données projet'!$B$9,Paramètres!$A$1:$I$89,3,0)*VLOOKUP('Données projet'!$B$9,Paramètres!$A$1:$I$89,5,0)</f>
        <v>-6.7984728957526396E-14</v>
      </c>
      <c r="P118" s="14" t="e">
        <f t="shared" si="87"/>
        <v>#NUM!</v>
      </c>
      <c r="Q118" s="22" t="e">
        <f t="shared" si="107"/>
        <v>#NUM!</v>
      </c>
      <c r="R118" s="62" t="e">
        <f t="shared" si="55"/>
        <v>#NUM!</v>
      </c>
      <c r="S118" s="62">
        <f ca="1">AVERAGE(OFFSET($R$3,0,0,'Données projet'!$E$9+1,1))-AVERAGE(OFFSET($H$3,0,0,'Données projet'!$E$9+1,1))</f>
        <v>255.1976414275677</v>
      </c>
      <c r="T118" s="62">
        <f t="shared" si="88"/>
        <v>266.42714758321767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2.1746616141864576</v>
      </c>
      <c r="AA118" s="23">
        <f>EXP(-LN(2)/25)*AA117+(1-EXP(-LN(2)/25))/(LN(2)/25)*Calculateur!V118*Calculateur!X118*VLOOKUP('Données projet'!$B$9,Paramètres!$A$1:$I$89,3,0)*0.475*44/12</f>
        <v>1.2487655930487369</v>
      </c>
      <c r="AB118" s="23">
        <f>EXP(-LN(2)/2)*AB117+(1-EXP(-LN(2)/2))/(LN(2)/2)*V118*Y118*VLOOKUP('Données projet'!$B$9,Paramètres!$A$1:$I$89,3,0)*0.475*44/12</f>
        <v>9.7411250061014709E-13</v>
      </c>
      <c r="AC118" s="24">
        <f t="shared" si="57"/>
        <v>3.4234272072361689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0</v>
      </c>
      <c r="AJ118" s="14" t="e">
        <f>AI118*VLOOKUP('Données projet'!$B$10,Paramètres!$A$1:$I$89,3,0)*VLOOKUP('Données projet'!$B$10,Paramètres!$A$1:$I$89,5,0)</f>
        <v>#N/A</v>
      </c>
      <c r="AK118" s="14" t="e">
        <f t="shared" si="89"/>
        <v>#N/A</v>
      </c>
      <c r="AL118" s="22" t="e">
        <f t="shared" si="58"/>
        <v>#N/A</v>
      </c>
      <c r="AM118" s="62" t="e">
        <f t="shared" si="59"/>
        <v>#N/A</v>
      </c>
      <c r="AN118" s="62" t="e">
        <f ca="1">AVERAGE(OFFSET($AM$3,0,0,'Données projet'!$E$10+1,1))-AVERAGE(OFFSET($H$3,0,0,'Données projet'!$E$10+1,1))</f>
        <v>#N/A</v>
      </c>
      <c r="AO118" s="62" t="e">
        <f t="shared" si="90"/>
        <v>#N/A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 t="e">
        <f>EXP(-LN(2)/35)*AU117+(1-EXP(-LN(2)/35))/(LN(2)/35)*AQ118*AR118*VLOOKUP('Données projet'!$B$10,Paramètres!$A$1:$I$89,3,0)*0.475*44/12</f>
        <v>#N/A</v>
      </c>
      <c r="AV118" s="23" t="e">
        <f>EXP(-LN(2)/25)*AV117+(1-EXP(-LN(2)/25))/(LN(2)/25)*Calculateur!AQ118*Calculateur!AS118*VLOOKUP('Données projet'!$B$10,Paramètres!$A$1:$I$89,3,0)*0.475*44/12</f>
        <v>#N/A</v>
      </c>
      <c r="AW118" s="23" t="e">
        <f>EXP(-LN(2)/2)*AW117+(1-EXP(-LN(2)/2))/(LN(2)/2)*AQ118*AT118*VLOOKUP('Données projet'!$B$10,Paramètres!$A$1:$I$89,3,0)*0.475*44/12</f>
        <v>#N/A</v>
      </c>
      <c r="AX118" s="23" t="e">
        <f t="shared" si="60"/>
        <v>#N/A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 t="e">
        <f>BD118*VLOOKUP('Données projet'!$B$11,Paramètres!$A$1:$I$89,3,0)*VLOOKUP('Données projet'!$B$11,Paramètres!$A$1:$I$89,5,0)</f>
        <v>#N/A</v>
      </c>
      <c r="BF118" s="14" t="e">
        <f t="shared" si="91"/>
        <v>#N/A</v>
      </c>
      <c r="BG118" s="22" t="e">
        <f t="shared" si="61"/>
        <v>#N/A</v>
      </c>
      <c r="BH118" s="62" t="e">
        <f t="shared" si="62"/>
        <v>#N/A</v>
      </c>
      <c r="BI118" s="62" t="e">
        <f ca="1">AVERAGE(OFFSET($BH$3,0,0,'Données projet'!$E$11+1,1))-AVERAGE(OFFSET($H$3,0,0,'Données projet'!$E$11+1,1))</f>
        <v>#N/A</v>
      </c>
      <c r="BJ118" s="62" t="e">
        <f t="shared" si="92"/>
        <v>#N/A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 t="e">
        <f>EXP(-LN(2)/35)*BP117+(1-EXP(-LN(2)/35))/(LN(2)/35)*BL118*BM118*VLOOKUP('Données projet'!$B$11,Paramètres!$A$1:$I$89,3,0)*0.475*44/12</f>
        <v>#N/A</v>
      </c>
      <c r="BQ118" s="23" t="e">
        <f>EXP(-LN(2)/25)*BQ117+(1-EXP(-LN(2)/25))/(LN(2)/25)*Calculateur!BL118*Calculateur!BN118*VLOOKUP('Données projet'!$B$11,Paramètres!$A$1:$I$89,3,0)*0.475*44/12</f>
        <v>#N/A</v>
      </c>
      <c r="BR118" s="23" t="e">
        <f>EXP(-LN(2)/2)*BR117+(1-EXP(-LN(2)/2))/(LN(2)/2)*BL118*BO118*VLOOKUP('Données projet'!$B$11,Paramètres!$A$1:$I$89,3,0)*0.475*44/12</f>
        <v>#N/A</v>
      </c>
      <c r="BS118" s="24" t="e">
        <f t="shared" si="63"/>
        <v>#N/A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3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57.303999999999981</v>
      </c>
      <c r="D119" s="12">
        <f t="shared" si="86"/>
        <v>16.484822536905565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10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569.59792835506039</v>
      </c>
      <c r="H119" s="70">
        <f t="shared" si="56"/>
        <v>421.84886591844383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-1.1368683772161603E-13</v>
      </c>
      <c r="O119" s="14">
        <f>N119*VLOOKUP('Données projet'!$B$9,Paramètres!$A$1:$I$89,3,0)*VLOOKUP('Données projet'!$B$9,Paramètres!$A$1:$I$89,5,0)</f>
        <v>-6.7984728957526396E-14</v>
      </c>
      <c r="P119" s="14" t="e">
        <f t="shared" si="87"/>
        <v>#NUM!</v>
      </c>
      <c r="Q119" s="22" t="e">
        <f t="shared" si="107"/>
        <v>#NUM!</v>
      </c>
      <c r="R119" s="62" t="e">
        <f t="shared" si="55"/>
        <v>#NUM!</v>
      </c>
      <c r="S119" s="62">
        <f ca="1">AVERAGE(OFFSET($R$3,0,0,'Données projet'!$E$9+1,1))-AVERAGE(OFFSET($H$3,0,0,'Données projet'!$E$9+1,1))</f>
        <v>255.1976414275677</v>
      </c>
      <c r="T119" s="62">
        <f t="shared" si="88"/>
        <v>266.42714758321767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2.1320178263448737</v>
      </c>
      <c r="AA119" s="23">
        <f>EXP(-LN(2)/25)*AA118+(1-EXP(-LN(2)/25))/(LN(2)/25)*Calculateur!V119*Calculateur!X119*VLOOKUP('Données projet'!$B$9,Paramètres!$A$1:$I$89,3,0)*0.475*44/12</f>
        <v>1.2146180322370908</v>
      </c>
      <c r="AB119" s="23">
        <f>EXP(-LN(2)/2)*AB118+(1-EXP(-LN(2)/2))/(LN(2)/2)*V119*Y119*VLOOKUP('Données projet'!$B$9,Paramètres!$A$1:$I$89,3,0)*0.475*44/12</f>
        <v>6.8880155482001994E-13</v>
      </c>
      <c r="AC119" s="24">
        <f t="shared" si="57"/>
        <v>3.3466358585826534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0</v>
      </c>
      <c r="AJ119" s="14" t="e">
        <f>AI119*VLOOKUP('Données projet'!$B$10,Paramètres!$A$1:$I$89,3,0)*VLOOKUP('Données projet'!$B$10,Paramètres!$A$1:$I$89,5,0)</f>
        <v>#N/A</v>
      </c>
      <c r="AK119" s="14" t="e">
        <f t="shared" si="89"/>
        <v>#N/A</v>
      </c>
      <c r="AL119" s="22" t="e">
        <f t="shared" si="58"/>
        <v>#N/A</v>
      </c>
      <c r="AM119" s="62" t="e">
        <f t="shared" si="59"/>
        <v>#N/A</v>
      </c>
      <c r="AN119" s="62" t="e">
        <f ca="1">AVERAGE(OFFSET($AM$3,0,0,'Données projet'!$E$10+1,1))-AVERAGE(OFFSET($H$3,0,0,'Données projet'!$E$10+1,1))</f>
        <v>#N/A</v>
      </c>
      <c r="AO119" s="62" t="e">
        <f t="shared" si="90"/>
        <v>#N/A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 t="e">
        <f>EXP(-LN(2)/35)*AU118+(1-EXP(-LN(2)/35))/(LN(2)/35)*AQ119*AR119*VLOOKUP('Données projet'!$B$10,Paramètres!$A$1:$I$89,3,0)*0.475*44/12</f>
        <v>#N/A</v>
      </c>
      <c r="AV119" s="23" t="e">
        <f>EXP(-LN(2)/25)*AV118+(1-EXP(-LN(2)/25))/(LN(2)/25)*Calculateur!AQ119*Calculateur!AS119*VLOOKUP('Données projet'!$B$10,Paramètres!$A$1:$I$89,3,0)*0.475*44/12</f>
        <v>#N/A</v>
      </c>
      <c r="AW119" s="23" t="e">
        <f>EXP(-LN(2)/2)*AW118+(1-EXP(-LN(2)/2))/(LN(2)/2)*AQ119*AT119*VLOOKUP('Données projet'!$B$10,Paramètres!$A$1:$I$89,3,0)*0.475*44/12</f>
        <v>#N/A</v>
      </c>
      <c r="AX119" s="23" t="e">
        <f t="shared" si="60"/>
        <v>#N/A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 t="e">
        <f>BD119*VLOOKUP('Données projet'!$B$11,Paramètres!$A$1:$I$89,3,0)*VLOOKUP('Données projet'!$B$11,Paramètres!$A$1:$I$89,5,0)</f>
        <v>#N/A</v>
      </c>
      <c r="BF119" s="14" t="e">
        <f t="shared" si="91"/>
        <v>#N/A</v>
      </c>
      <c r="BG119" s="22" t="e">
        <f t="shared" si="61"/>
        <v>#N/A</v>
      </c>
      <c r="BH119" s="62" t="e">
        <f t="shared" si="62"/>
        <v>#N/A</v>
      </c>
      <c r="BI119" s="62" t="e">
        <f ca="1">AVERAGE(OFFSET($BH$3,0,0,'Données projet'!$E$11+1,1))-AVERAGE(OFFSET($H$3,0,0,'Données projet'!$E$11+1,1))</f>
        <v>#N/A</v>
      </c>
      <c r="BJ119" s="62" t="e">
        <f t="shared" si="92"/>
        <v>#N/A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 t="e">
        <f>EXP(-LN(2)/35)*BP118+(1-EXP(-LN(2)/35))/(LN(2)/35)*BL119*BM119*VLOOKUP('Données projet'!$B$11,Paramètres!$A$1:$I$89,3,0)*0.475*44/12</f>
        <v>#N/A</v>
      </c>
      <c r="BQ119" s="23" t="e">
        <f>EXP(-LN(2)/25)*BQ118+(1-EXP(-LN(2)/25))/(LN(2)/25)*Calculateur!BL119*Calculateur!BN119*VLOOKUP('Données projet'!$B$11,Paramètres!$A$1:$I$89,3,0)*0.475*44/12</f>
        <v>#N/A</v>
      </c>
      <c r="BR119" s="23" t="e">
        <f>EXP(-LN(2)/2)*BR118+(1-EXP(-LN(2)/2))/(LN(2)/2)*BL119*BO119*VLOOKUP('Données projet'!$B$11,Paramètres!$A$1:$I$89,3,0)*0.475*44/12</f>
        <v>#N/A</v>
      </c>
      <c r="BS119" s="24" t="e">
        <f t="shared" si="63"/>
        <v>#N/A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3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57.797999999999981</v>
      </c>
      <c r="D120" s="12">
        <f t="shared" si="86"/>
        <v>16.610328609522991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10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574.38008049456323</v>
      </c>
      <c r="H120" s="70">
        <f t="shared" si="56"/>
        <v>422.92783899491917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-1.1368683772161603E-13</v>
      </c>
      <c r="O120" s="14">
        <f>N120*VLOOKUP('Données projet'!$B$9,Paramètres!$A$1:$I$89,3,0)*VLOOKUP('Données projet'!$B$9,Paramètres!$A$1:$I$89,5,0)</f>
        <v>-6.7984728957526396E-14</v>
      </c>
      <c r="P120" s="14" t="e">
        <f t="shared" si="87"/>
        <v>#NUM!</v>
      </c>
      <c r="Q120" s="22" t="e">
        <f t="shared" si="107"/>
        <v>#NUM!</v>
      </c>
      <c r="R120" s="62" t="e">
        <f t="shared" si="55"/>
        <v>#NUM!</v>
      </c>
      <c r="S120" s="62">
        <f ca="1">AVERAGE(OFFSET($R$3,0,0,'Données projet'!$E$9+1,1))-AVERAGE(OFFSET($H$3,0,0,'Données projet'!$E$9+1,1))</f>
        <v>255.1976414275677</v>
      </c>
      <c r="T120" s="62">
        <f t="shared" si="88"/>
        <v>266.42714758321767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2.0902102571727208</v>
      </c>
      <c r="AA120" s="23">
        <f>EXP(-LN(2)/25)*AA119+(1-EXP(-LN(2)/25))/(LN(2)/25)*Calculateur!V120*Calculateur!X120*VLOOKUP('Données projet'!$B$9,Paramètres!$A$1:$I$89,3,0)*0.475*44/12</f>
        <v>1.1814042382715813</v>
      </c>
      <c r="AB120" s="23">
        <f>EXP(-LN(2)/2)*AB119+(1-EXP(-LN(2)/2))/(LN(2)/2)*V120*Y120*VLOOKUP('Données projet'!$B$9,Paramètres!$A$1:$I$89,3,0)*0.475*44/12</f>
        <v>4.8705625030507354E-13</v>
      </c>
      <c r="AC120" s="24">
        <f t="shared" si="57"/>
        <v>3.2716144954447892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0</v>
      </c>
      <c r="AJ120" s="14" t="e">
        <f>AI120*VLOOKUP('Données projet'!$B$10,Paramètres!$A$1:$I$89,3,0)*VLOOKUP('Données projet'!$B$10,Paramètres!$A$1:$I$89,5,0)</f>
        <v>#N/A</v>
      </c>
      <c r="AK120" s="14" t="e">
        <f t="shared" si="89"/>
        <v>#N/A</v>
      </c>
      <c r="AL120" s="22" t="e">
        <f t="shared" si="58"/>
        <v>#N/A</v>
      </c>
      <c r="AM120" s="62" t="e">
        <f t="shared" si="59"/>
        <v>#N/A</v>
      </c>
      <c r="AN120" s="62" t="e">
        <f ca="1">AVERAGE(OFFSET($AM$3,0,0,'Données projet'!$E$10+1,1))-AVERAGE(OFFSET($H$3,0,0,'Données projet'!$E$10+1,1))</f>
        <v>#N/A</v>
      </c>
      <c r="AO120" s="62" t="e">
        <f t="shared" si="90"/>
        <v>#N/A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 t="e">
        <f>EXP(-LN(2)/35)*AU119+(1-EXP(-LN(2)/35))/(LN(2)/35)*AQ120*AR120*VLOOKUP('Données projet'!$B$10,Paramètres!$A$1:$I$89,3,0)*0.475*44/12</f>
        <v>#N/A</v>
      </c>
      <c r="AV120" s="23" t="e">
        <f>EXP(-LN(2)/25)*AV119+(1-EXP(-LN(2)/25))/(LN(2)/25)*Calculateur!AQ120*Calculateur!AS120*VLOOKUP('Données projet'!$B$10,Paramètres!$A$1:$I$89,3,0)*0.475*44/12</f>
        <v>#N/A</v>
      </c>
      <c r="AW120" s="23" t="e">
        <f>EXP(-LN(2)/2)*AW119+(1-EXP(-LN(2)/2))/(LN(2)/2)*AQ120*AT120*VLOOKUP('Données projet'!$B$10,Paramètres!$A$1:$I$89,3,0)*0.475*44/12</f>
        <v>#N/A</v>
      </c>
      <c r="AX120" s="23" t="e">
        <f t="shared" si="60"/>
        <v>#N/A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 t="e">
        <f>BD120*VLOOKUP('Données projet'!$B$11,Paramètres!$A$1:$I$89,3,0)*VLOOKUP('Données projet'!$B$11,Paramètres!$A$1:$I$89,5,0)</f>
        <v>#N/A</v>
      </c>
      <c r="BF120" s="14" t="e">
        <f t="shared" si="91"/>
        <v>#N/A</v>
      </c>
      <c r="BG120" s="22" t="e">
        <f t="shared" si="61"/>
        <v>#N/A</v>
      </c>
      <c r="BH120" s="62" t="e">
        <f t="shared" si="62"/>
        <v>#N/A</v>
      </c>
      <c r="BI120" s="62" t="e">
        <f ca="1">AVERAGE(OFFSET($BH$3,0,0,'Données projet'!$E$11+1,1))-AVERAGE(OFFSET($H$3,0,0,'Données projet'!$E$11+1,1))</f>
        <v>#N/A</v>
      </c>
      <c r="BJ120" s="62" t="e">
        <f t="shared" si="92"/>
        <v>#N/A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 t="e">
        <f>EXP(-LN(2)/35)*BP119+(1-EXP(-LN(2)/35))/(LN(2)/35)*BL120*BM120*VLOOKUP('Données projet'!$B$11,Paramètres!$A$1:$I$89,3,0)*0.475*44/12</f>
        <v>#N/A</v>
      </c>
      <c r="BQ120" s="23" t="e">
        <f>EXP(-LN(2)/25)*BQ119+(1-EXP(-LN(2)/25))/(LN(2)/25)*Calculateur!BL120*Calculateur!BN120*VLOOKUP('Données projet'!$B$11,Paramètres!$A$1:$I$89,3,0)*0.475*44/12</f>
        <v>#N/A</v>
      </c>
      <c r="BR120" s="23" t="e">
        <f>EXP(-LN(2)/2)*BR119+(1-EXP(-LN(2)/2))/(LN(2)/2)*BL120*BO120*VLOOKUP('Données projet'!$B$11,Paramètres!$A$1:$I$89,3,0)*0.475*44/12</f>
        <v>#N/A</v>
      </c>
      <c r="BS120" s="24" t="e">
        <f t="shared" si="63"/>
        <v>#N/A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3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58.29199999999998</v>
      </c>
      <c r="D121" s="12">
        <f t="shared" si="86"/>
        <v>16.735709880171999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10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579.16126925045035</v>
      </c>
      <c r="H121" s="70">
        <f t="shared" si="56"/>
        <v>424.0065947079662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-1.1368683772161603E-13</v>
      </c>
      <c r="O121" s="14">
        <f>N121*VLOOKUP('Données projet'!$B$9,Paramètres!$A$1:$I$89,3,0)*VLOOKUP('Données projet'!$B$9,Paramètres!$A$1:$I$89,5,0)</f>
        <v>-6.7984728957526396E-14</v>
      </c>
      <c r="P121" s="14" t="e">
        <f t="shared" si="87"/>
        <v>#NUM!</v>
      </c>
      <c r="Q121" s="22" t="e">
        <f t="shared" si="107"/>
        <v>#NUM!</v>
      </c>
      <c r="R121" s="62" t="e">
        <f t="shared" si="55"/>
        <v>#NUM!</v>
      </c>
      <c r="S121" s="62">
        <f ca="1">AVERAGE(OFFSET($R$3,0,0,'Données projet'!$E$9+1,1))-AVERAGE(OFFSET($H$3,0,0,'Données projet'!$E$9+1,1))</f>
        <v>255.1976414275677</v>
      </c>
      <c r="T121" s="62">
        <f t="shared" si="88"/>
        <v>266.42714758321767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2.0492225089319343</v>
      </c>
      <c r="AA121" s="23">
        <f>EXP(-LN(2)/25)*AA120+(1-EXP(-LN(2)/25))/(LN(2)/25)*Calculateur!V121*Calculateur!X121*VLOOKUP('Données projet'!$B$9,Paramètres!$A$1:$I$89,3,0)*0.475*44/12</f>
        <v>1.1490986772486962</v>
      </c>
      <c r="AB121" s="23">
        <f>EXP(-LN(2)/2)*AB120+(1-EXP(-LN(2)/2))/(LN(2)/2)*V121*Y121*VLOOKUP('Données projet'!$B$9,Paramètres!$A$1:$I$89,3,0)*0.475*44/12</f>
        <v>3.4440077741000997E-13</v>
      </c>
      <c r="AC121" s="24">
        <f t="shared" si="57"/>
        <v>3.1983211861809751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0</v>
      </c>
      <c r="AJ121" s="14" t="e">
        <f>AI121*VLOOKUP('Données projet'!$B$10,Paramètres!$A$1:$I$89,3,0)*VLOOKUP('Données projet'!$B$10,Paramètres!$A$1:$I$89,5,0)</f>
        <v>#N/A</v>
      </c>
      <c r="AK121" s="14" t="e">
        <f t="shared" si="89"/>
        <v>#N/A</v>
      </c>
      <c r="AL121" s="22" t="e">
        <f t="shared" si="58"/>
        <v>#N/A</v>
      </c>
      <c r="AM121" s="62" t="e">
        <f t="shared" si="59"/>
        <v>#N/A</v>
      </c>
      <c r="AN121" s="62" t="e">
        <f ca="1">AVERAGE(OFFSET($AM$3,0,0,'Données projet'!$E$10+1,1))-AVERAGE(OFFSET($H$3,0,0,'Données projet'!$E$10+1,1))</f>
        <v>#N/A</v>
      </c>
      <c r="AO121" s="62" t="e">
        <f t="shared" si="90"/>
        <v>#N/A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 t="e">
        <f>EXP(-LN(2)/35)*AU120+(1-EXP(-LN(2)/35))/(LN(2)/35)*AQ121*AR121*VLOOKUP('Données projet'!$B$10,Paramètres!$A$1:$I$89,3,0)*0.475*44/12</f>
        <v>#N/A</v>
      </c>
      <c r="AV121" s="23" t="e">
        <f>EXP(-LN(2)/25)*AV120+(1-EXP(-LN(2)/25))/(LN(2)/25)*Calculateur!AQ121*Calculateur!AS121*VLOOKUP('Données projet'!$B$10,Paramètres!$A$1:$I$89,3,0)*0.475*44/12</f>
        <v>#N/A</v>
      </c>
      <c r="AW121" s="23" t="e">
        <f>EXP(-LN(2)/2)*AW120+(1-EXP(-LN(2)/2))/(LN(2)/2)*AQ121*AT121*VLOOKUP('Données projet'!$B$10,Paramètres!$A$1:$I$89,3,0)*0.475*44/12</f>
        <v>#N/A</v>
      </c>
      <c r="AX121" s="23" t="e">
        <f t="shared" si="60"/>
        <v>#N/A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 t="e">
        <f>BD121*VLOOKUP('Données projet'!$B$11,Paramètres!$A$1:$I$89,3,0)*VLOOKUP('Données projet'!$B$11,Paramètres!$A$1:$I$89,5,0)</f>
        <v>#N/A</v>
      </c>
      <c r="BF121" s="14" t="e">
        <f t="shared" si="91"/>
        <v>#N/A</v>
      </c>
      <c r="BG121" s="22" t="e">
        <f t="shared" si="61"/>
        <v>#N/A</v>
      </c>
      <c r="BH121" s="62" t="e">
        <f t="shared" si="62"/>
        <v>#N/A</v>
      </c>
      <c r="BI121" s="62" t="e">
        <f ca="1">AVERAGE(OFFSET($BH$3,0,0,'Données projet'!$E$11+1,1))-AVERAGE(OFFSET($H$3,0,0,'Données projet'!$E$11+1,1))</f>
        <v>#N/A</v>
      </c>
      <c r="BJ121" s="62" t="e">
        <f t="shared" si="92"/>
        <v>#N/A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 t="e">
        <f>EXP(-LN(2)/35)*BP120+(1-EXP(-LN(2)/35))/(LN(2)/35)*BL121*BM121*VLOOKUP('Données projet'!$B$11,Paramètres!$A$1:$I$89,3,0)*0.475*44/12</f>
        <v>#N/A</v>
      </c>
      <c r="BQ121" s="23" t="e">
        <f>EXP(-LN(2)/25)*BQ120+(1-EXP(-LN(2)/25))/(LN(2)/25)*Calculateur!BL121*Calculateur!BN121*VLOOKUP('Données projet'!$B$11,Paramètres!$A$1:$I$89,3,0)*0.475*44/12</f>
        <v>#N/A</v>
      </c>
      <c r="BR121" s="23" t="e">
        <f>EXP(-LN(2)/2)*BR120+(1-EXP(-LN(2)/2))/(LN(2)/2)*BL121*BO121*VLOOKUP('Données projet'!$B$11,Paramètres!$A$1:$I$89,3,0)*0.475*44/12</f>
        <v>#N/A</v>
      </c>
      <c r="BS121" s="24" t="e">
        <f t="shared" si="63"/>
        <v>#N/A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3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58.78599999999998</v>
      </c>
      <c r="D122" s="12">
        <f t="shared" si="86"/>
        <v>16.860967529052314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10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583.94150373303523</v>
      </c>
      <c r="H122" s="70">
        <f t="shared" si="56"/>
        <v>425.08513511309934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-1.1368683772161603E-13</v>
      </c>
      <c r="O122" s="14">
        <f>N122*VLOOKUP('Données projet'!$B$9,Paramètres!$A$1:$I$89,3,0)*VLOOKUP('Données projet'!$B$9,Paramètres!$A$1:$I$89,5,0)</f>
        <v>-6.7984728957526396E-14</v>
      </c>
      <c r="P122" s="14" t="e">
        <f t="shared" si="87"/>
        <v>#NUM!</v>
      </c>
      <c r="Q122" s="22" t="e">
        <f t="shared" si="107"/>
        <v>#NUM!</v>
      </c>
      <c r="R122" s="62" t="e">
        <f t="shared" si="55"/>
        <v>#NUM!</v>
      </c>
      <c r="S122" s="62">
        <f ca="1">AVERAGE(OFFSET($R$3,0,0,'Données projet'!$E$9+1,1))-AVERAGE(OFFSET($H$3,0,0,'Données projet'!$E$9+1,1))</f>
        <v>255.1976414275677</v>
      </c>
      <c r="T122" s="62">
        <f t="shared" si="88"/>
        <v>266.42714758321767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2.0090385054340918</v>
      </c>
      <c r="AA122" s="23">
        <f>EXP(-LN(2)/25)*AA121+(1-EXP(-LN(2)/25))/(LN(2)/25)*Calculateur!V122*Calculateur!X122*VLOOKUP('Données projet'!$B$9,Paramètres!$A$1:$I$89,3,0)*0.475*44/12</f>
        <v>1.1176765134908575</v>
      </c>
      <c r="AB122" s="23">
        <f>EXP(-LN(2)/2)*AB121+(1-EXP(-LN(2)/2))/(LN(2)/2)*V122*Y122*VLOOKUP('Données projet'!$B$9,Paramètres!$A$1:$I$89,3,0)*0.475*44/12</f>
        <v>2.4352812515253677E-13</v>
      </c>
      <c r="AC122" s="24">
        <f t="shared" si="57"/>
        <v>3.1267150189251929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0</v>
      </c>
      <c r="AJ122" s="14" t="e">
        <f>AI122*VLOOKUP('Données projet'!$B$10,Paramètres!$A$1:$I$89,3,0)*VLOOKUP('Données projet'!$B$10,Paramètres!$A$1:$I$89,5,0)</f>
        <v>#N/A</v>
      </c>
      <c r="AK122" s="14" t="e">
        <f t="shared" si="89"/>
        <v>#N/A</v>
      </c>
      <c r="AL122" s="22" t="e">
        <f t="shared" si="58"/>
        <v>#N/A</v>
      </c>
      <c r="AM122" s="62" t="e">
        <f t="shared" si="59"/>
        <v>#N/A</v>
      </c>
      <c r="AN122" s="62" t="e">
        <f ca="1">AVERAGE(OFFSET($AM$3,0,0,'Données projet'!$E$10+1,1))-AVERAGE(OFFSET($H$3,0,0,'Données projet'!$E$10+1,1))</f>
        <v>#N/A</v>
      </c>
      <c r="AO122" s="62" t="e">
        <f t="shared" si="90"/>
        <v>#N/A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 t="e">
        <f>EXP(-LN(2)/35)*AU121+(1-EXP(-LN(2)/35))/(LN(2)/35)*AQ122*AR122*VLOOKUP('Données projet'!$B$10,Paramètres!$A$1:$I$89,3,0)*0.475*44/12</f>
        <v>#N/A</v>
      </c>
      <c r="AV122" s="23" t="e">
        <f>EXP(-LN(2)/25)*AV121+(1-EXP(-LN(2)/25))/(LN(2)/25)*Calculateur!AQ122*Calculateur!AS122*VLOOKUP('Données projet'!$B$10,Paramètres!$A$1:$I$89,3,0)*0.475*44/12</f>
        <v>#N/A</v>
      </c>
      <c r="AW122" s="23" t="e">
        <f>EXP(-LN(2)/2)*AW121+(1-EXP(-LN(2)/2))/(LN(2)/2)*AQ122*AT122*VLOOKUP('Données projet'!$B$10,Paramètres!$A$1:$I$89,3,0)*0.475*44/12</f>
        <v>#N/A</v>
      </c>
      <c r="AX122" s="23" t="e">
        <f t="shared" si="60"/>
        <v>#N/A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 t="e">
        <f>BD122*VLOOKUP('Données projet'!$B$11,Paramètres!$A$1:$I$89,3,0)*VLOOKUP('Données projet'!$B$11,Paramètres!$A$1:$I$89,5,0)</f>
        <v>#N/A</v>
      </c>
      <c r="BF122" s="14" t="e">
        <f t="shared" si="91"/>
        <v>#N/A</v>
      </c>
      <c r="BG122" s="22" t="e">
        <f t="shared" si="61"/>
        <v>#N/A</v>
      </c>
      <c r="BH122" s="62" t="e">
        <f t="shared" si="62"/>
        <v>#N/A</v>
      </c>
      <c r="BI122" s="62" t="e">
        <f ca="1">AVERAGE(OFFSET($BH$3,0,0,'Données projet'!$E$11+1,1))-AVERAGE(OFFSET($H$3,0,0,'Données projet'!$E$11+1,1))</f>
        <v>#N/A</v>
      </c>
      <c r="BJ122" s="62" t="e">
        <f t="shared" si="92"/>
        <v>#N/A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 t="e">
        <f>EXP(-LN(2)/35)*BP121+(1-EXP(-LN(2)/35))/(LN(2)/35)*BL122*BM122*VLOOKUP('Données projet'!$B$11,Paramètres!$A$1:$I$89,3,0)*0.475*44/12</f>
        <v>#N/A</v>
      </c>
      <c r="BQ122" s="23" t="e">
        <f>EXP(-LN(2)/25)*BQ121+(1-EXP(-LN(2)/25))/(LN(2)/25)*Calculateur!BL122*Calculateur!BN122*VLOOKUP('Données projet'!$B$11,Paramètres!$A$1:$I$89,3,0)*0.475*44/12</f>
        <v>#N/A</v>
      </c>
      <c r="BR122" s="23" t="e">
        <f>EXP(-LN(2)/2)*BR121+(1-EXP(-LN(2)/2))/(LN(2)/2)*BL122*BO122*VLOOKUP('Données projet'!$B$11,Paramètres!$A$1:$I$89,3,0)*0.475*44/12</f>
        <v>#N/A</v>
      </c>
      <c r="BS122" s="24" t="e">
        <f t="shared" si="63"/>
        <v>#N/A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3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59.27999999999998</v>
      </c>
      <c r="D123" s="12">
        <f t="shared" si="86"/>
        <v>16.986102715383467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10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588.72079289067926</v>
      </c>
      <c r="H123" s="70">
        <f t="shared" si="56"/>
        <v>426.1634622292928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-1.1368683772161603E-13</v>
      </c>
      <c r="O123" s="14">
        <f>N123*VLOOKUP('Données projet'!$B$9,Paramètres!$A$1:$I$89,3,0)*VLOOKUP('Données projet'!$B$9,Paramètres!$A$1:$I$89,5,0)</f>
        <v>-6.7984728957526396E-14</v>
      </c>
      <c r="P123" s="14" t="e">
        <f t="shared" si="87"/>
        <v>#NUM!</v>
      </c>
      <c r="Q123" s="22" t="e">
        <f t="shared" si="107"/>
        <v>#NUM!</v>
      </c>
      <c r="R123" s="62" t="e">
        <f t="shared" si="55"/>
        <v>#NUM!</v>
      </c>
      <c r="S123" s="62">
        <f ca="1">AVERAGE(OFFSET($R$3,0,0,'Données projet'!$E$9+1,1))-AVERAGE(OFFSET($H$3,0,0,'Données projet'!$E$9+1,1))</f>
        <v>255.1976414275677</v>
      </c>
      <c r="T123" s="62">
        <f t="shared" si="88"/>
        <v>266.42714758321767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1.9696424857350201</v>
      </c>
      <c r="AA123" s="23">
        <f>EXP(-LN(2)/25)*AA122+(1-EXP(-LN(2)/25))/(LN(2)/25)*Calculateur!V123*Calculateur!X123*VLOOKUP('Données projet'!$B$9,Paramètres!$A$1:$I$89,3,0)*0.475*44/12</f>
        <v>1.0871135904533966</v>
      </c>
      <c r="AB123" s="23">
        <f>EXP(-LN(2)/2)*AB122+(1-EXP(-LN(2)/2))/(LN(2)/2)*V123*Y123*VLOOKUP('Données projet'!$B$9,Paramètres!$A$1:$I$89,3,0)*0.475*44/12</f>
        <v>1.7220038870500499E-13</v>
      </c>
      <c r="AC123" s="24">
        <f t="shared" si="57"/>
        <v>3.0567560761885888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0</v>
      </c>
      <c r="AJ123" s="14" t="e">
        <f>AI123*VLOOKUP('Données projet'!$B$10,Paramètres!$A$1:$I$89,3,0)*VLOOKUP('Données projet'!$B$10,Paramètres!$A$1:$I$89,5,0)</f>
        <v>#N/A</v>
      </c>
      <c r="AK123" s="14" t="e">
        <f t="shared" si="89"/>
        <v>#N/A</v>
      </c>
      <c r="AL123" s="22" t="e">
        <f t="shared" si="58"/>
        <v>#N/A</v>
      </c>
      <c r="AM123" s="62" t="e">
        <f t="shared" si="59"/>
        <v>#N/A</v>
      </c>
      <c r="AN123" s="62" t="e">
        <f ca="1">AVERAGE(OFFSET($AM$3,0,0,'Données projet'!$E$10+1,1))-AVERAGE(OFFSET($H$3,0,0,'Données projet'!$E$10+1,1))</f>
        <v>#N/A</v>
      </c>
      <c r="AO123" s="62" t="e">
        <f t="shared" si="90"/>
        <v>#N/A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 t="e">
        <f>EXP(-LN(2)/35)*AU122+(1-EXP(-LN(2)/35))/(LN(2)/35)*AQ123*AR123*VLOOKUP('Données projet'!$B$10,Paramètres!$A$1:$I$89,3,0)*0.475*44/12</f>
        <v>#N/A</v>
      </c>
      <c r="AV123" s="23" t="e">
        <f>EXP(-LN(2)/25)*AV122+(1-EXP(-LN(2)/25))/(LN(2)/25)*Calculateur!AQ123*Calculateur!AS123*VLOOKUP('Données projet'!$B$10,Paramètres!$A$1:$I$89,3,0)*0.475*44/12</f>
        <v>#N/A</v>
      </c>
      <c r="AW123" s="23" t="e">
        <f>EXP(-LN(2)/2)*AW122+(1-EXP(-LN(2)/2))/(LN(2)/2)*AQ123*AT123*VLOOKUP('Données projet'!$B$10,Paramètres!$A$1:$I$89,3,0)*0.475*44/12</f>
        <v>#N/A</v>
      </c>
      <c r="AX123" s="23" t="e">
        <f t="shared" si="60"/>
        <v>#N/A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 t="e">
        <f>BD123*VLOOKUP('Données projet'!$B$11,Paramètres!$A$1:$I$89,3,0)*VLOOKUP('Données projet'!$B$11,Paramètres!$A$1:$I$89,5,0)</f>
        <v>#N/A</v>
      </c>
      <c r="BF123" s="14" t="e">
        <f t="shared" si="91"/>
        <v>#N/A</v>
      </c>
      <c r="BG123" s="22" t="e">
        <f t="shared" si="61"/>
        <v>#N/A</v>
      </c>
      <c r="BH123" s="62" t="e">
        <f t="shared" si="62"/>
        <v>#N/A</v>
      </c>
      <c r="BI123" s="62" t="e">
        <f ca="1">AVERAGE(OFFSET($BH$3,0,0,'Données projet'!$E$11+1,1))-AVERAGE(OFFSET($H$3,0,0,'Données projet'!$E$11+1,1))</f>
        <v>#N/A</v>
      </c>
      <c r="BJ123" s="62" t="e">
        <f t="shared" si="92"/>
        <v>#N/A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 t="e">
        <f>EXP(-LN(2)/35)*BP122+(1-EXP(-LN(2)/35))/(LN(2)/35)*BL123*BM123*VLOOKUP('Données projet'!$B$11,Paramètres!$A$1:$I$89,3,0)*0.475*44/12</f>
        <v>#N/A</v>
      </c>
      <c r="BQ123" s="23" t="e">
        <f>EXP(-LN(2)/25)*BQ122+(1-EXP(-LN(2)/25))/(LN(2)/25)*Calculateur!BL123*Calculateur!BN123*VLOOKUP('Données projet'!$B$11,Paramètres!$A$1:$I$89,3,0)*0.475*44/12</f>
        <v>#N/A</v>
      </c>
      <c r="BR123" s="23" t="e">
        <f>EXP(-LN(2)/2)*BR122+(1-EXP(-LN(2)/2))/(LN(2)/2)*BL123*BO123*VLOOKUP('Données projet'!$B$11,Paramètres!$A$1:$I$89,3,0)*0.475*44/12</f>
        <v>#N/A</v>
      </c>
      <c r="BS123" s="24" t="e">
        <f t="shared" si="63"/>
        <v>#N/A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3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59.77399999999998</v>
      </c>
      <c r="D124" s="12">
        <f t="shared" si="86"/>
        <v>17.111116577949474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10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593.49914551399581</v>
      </c>
      <c r="H124" s="70">
        <f t="shared" si="56"/>
        <v>427.24157803992864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-1.1368683772161603E-13</v>
      </c>
      <c r="O124" s="14">
        <f>N124*VLOOKUP('Données projet'!$B$9,Paramètres!$A$1:$I$89,3,0)*VLOOKUP('Données projet'!$B$9,Paramètres!$A$1:$I$89,5,0)</f>
        <v>-6.7984728957526396E-14</v>
      </c>
      <c r="P124" s="14" t="e">
        <f t="shared" si="87"/>
        <v>#NUM!</v>
      </c>
      <c r="Q124" s="22" t="e">
        <f t="shared" si="107"/>
        <v>#NUM!</v>
      </c>
      <c r="R124" s="62" t="e">
        <f t="shared" si="55"/>
        <v>#NUM!</v>
      </c>
      <c r="S124" s="62">
        <f ca="1">AVERAGE(OFFSET($R$3,0,0,'Données projet'!$E$9+1,1))-AVERAGE(OFFSET($H$3,0,0,'Données projet'!$E$9+1,1))</f>
        <v>255.1976414275677</v>
      </c>
      <c r="T124" s="62">
        <f t="shared" si="88"/>
        <v>266.42714758321767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1.9310189979530479</v>
      </c>
      <c r="AA124" s="23">
        <f>EXP(-LN(2)/25)*AA123+(1-EXP(-LN(2)/25))/(LN(2)/25)*Calculateur!V124*Calculateur!X124*VLOOKUP('Données projet'!$B$9,Paramètres!$A$1:$I$89,3,0)*0.475*44/12</f>
        <v>1.0573864121536294</v>
      </c>
      <c r="AB124" s="23">
        <f>EXP(-LN(2)/2)*AB123+(1-EXP(-LN(2)/2))/(LN(2)/2)*V124*Y124*VLOOKUP('Données projet'!$B$9,Paramètres!$A$1:$I$89,3,0)*0.475*44/12</f>
        <v>1.2176406257626839E-13</v>
      </c>
      <c r="AC124" s="24">
        <f t="shared" si="57"/>
        <v>2.9884054101067989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0</v>
      </c>
      <c r="AJ124" s="14" t="e">
        <f>AI124*VLOOKUP('Données projet'!$B$10,Paramètres!$A$1:$I$89,3,0)*VLOOKUP('Données projet'!$B$10,Paramètres!$A$1:$I$89,5,0)</f>
        <v>#N/A</v>
      </c>
      <c r="AK124" s="14" t="e">
        <f t="shared" si="89"/>
        <v>#N/A</v>
      </c>
      <c r="AL124" s="22" t="e">
        <f t="shared" si="58"/>
        <v>#N/A</v>
      </c>
      <c r="AM124" s="62" t="e">
        <f t="shared" si="59"/>
        <v>#N/A</v>
      </c>
      <c r="AN124" s="62" t="e">
        <f ca="1">AVERAGE(OFFSET($AM$3,0,0,'Données projet'!$E$10+1,1))-AVERAGE(OFFSET($H$3,0,0,'Données projet'!$E$10+1,1))</f>
        <v>#N/A</v>
      </c>
      <c r="AO124" s="62" t="e">
        <f t="shared" si="90"/>
        <v>#N/A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 t="e">
        <f>EXP(-LN(2)/35)*AU123+(1-EXP(-LN(2)/35))/(LN(2)/35)*AQ124*AR124*VLOOKUP('Données projet'!$B$10,Paramètres!$A$1:$I$89,3,0)*0.475*44/12</f>
        <v>#N/A</v>
      </c>
      <c r="AV124" s="23" t="e">
        <f>EXP(-LN(2)/25)*AV123+(1-EXP(-LN(2)/25))/(LN(2)/25)*Calculateur!AQ124*Calculateur!AS124*VLOOKUP('Données projet'!$B$10,Paramètres!$A$1:$I$89,3,0)*0.475*44/12</f>
        <v>#N/A</v>
      </c>
      <c r="AW124" s="23" t="e">
        <f>EXP(-LN(2)/2)*AW123+(1-EXP(-LN(2)/2))/(LN(2)/2)*AQ124*AT124*VLOOKUP('Données projet'!$B$10,Paramètres!$A$1:$I$89,3,0)*0.475*44/12</f>
        <v>#N/A</v>
      </c>
      <c r="AX124" s="23" t="e">
        <f t="shared" si="60"/>
        <v>#N/A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 t="e">
        <f>BD124*VLOOKUP('Données projet'!$B$11,Paramètres!$A$1:$I$89,3,0)*VLOOKUP('Données projet'!$B$11,Paramètres!$A$1:$I$89,5,0)</f>
        <v>#N/A</v>
      </c>
      <c r="BF124" s="14" t="e">
        <f t="shared" si="91"/>
        <v>#N/A</v>
      </c>
      <c r="BG124" s="22" t="e">
        <f t="shared" si="61"/>
        <v>#N/A</v>
      </c>
      <c r="BH124" s="62" t="e">
        <f t="shared" si="62"/>
        <v>#N/A</v>
      </c>
      <c r="BI124" s="62" t="e">
        <f ca="1">AVERAGE(OFFSET($BH$3,0,0,'Données projet'!$E$11+1,1))-AVERAGE(OFFSET($H$3,0,0,'Données projet'!$E$11+1,1))</f>
        <v>#N/A</v>
      </c>
      <c r="BJ124" s="62" t="e">
        <f t="shared" si="92"/>
        <v>#N/A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 t="e">
        <f>EXP(-LN(2)/35)*BP123+(1-EXP(-LN(2)/35))/(LN(2)/35)*BL124*BM124*VLOOKUP('Données projet'!$B$11,Paramètres!$A$1:$I$89,3,0)*0.475*44/12</f>
        <v>#N/A</v>
      </c>
      <c r="BQ124" s="23" t="e">
        <f>EXP(-LN(2)/25)*BQ123+(1-EXP(-LN(2)/25))/(LN(2)/25)*Calculateur!BL124*Calculateur!BN124*VLOOKUP('Données projet'!$B$11,Paramètres!$A$1:$I$89,3,0)*0.475*44/12</f>
        <v>#N/A</v>
      </c>
      <c r="BR124" s="23" t="e">
        <f>EXP(-LN(2)/2)*BR123+(1-EXP(-LN(2)/2))/(LN(2)/2)*BL124*BO124*VLOOKUP('Données projet'!$B$11,Paramètres!$A$1:$I$89,3,0)*0.475*44/12</f>
        <v>#N/A</v>
      </c>
      <c r="BS124" s="24" t="e">
        <f t="shared" si="63"/>
        <v>#N/A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3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60.267999999999979</v>
      </c>
      <c r="D125" s="12">
        <f t="shared" si="86"/>
        <v>17.236010235624839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10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598.27657023991094</v>
      </c>
      <c r="H125" s="70">
        <f t="shared" si="56"/>
        <v>428.31948449371316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-1.1368683772161603E-13</v>
      </c>
      <c r="O125" s="14">
        <f>N125*VLOOKUP('Données projet'!$B$9,Paramètres!$A$1:$I$89,3,0)*VLOOKUP('Données projet'!$B$9,Paramètres!$A$1:$I$89,5,0)</f>
        <v>-6.7984728957526396E-14</v>
      </c>
      <c r="P125" s="14" t="e">
        <f t="shared" si="87"/>
        <v>#NUM!</v>
      </c>
      <c r="Q125" s="22" t="e">
        <f t="shared" si="107"/>
        <v>#NUM!</v>
      </c>
      <c r="R125" s="62" t="e">
        <f t="shared" si="55"/>
        <v>#NUM!</v>
      </c>
      <c r="S125" s="62">
        <f ca="1">AVERAGE(OFFSET($R$3,0,0,'Données projet'!$E$9+1,1))-AVERAGE(OFFSET($H$3,0,0,'Données projet'!$E$9+1,1))</f>
        <v>255.1976414275677</v>
      </c>
      <c r="T125" s="62">
        <f t="shared" si="88"/>
        <v>266.42714758321767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1.8931528932084787</v>
      </c>
      <c r="AA125" s="23">
        <f>EXP(-LN(2)/25)*AA124+(1-EXP(-LN(2)/25))/(LN(2)/25)*Calculateur!V125*Calculateur!X125*VLOOKUP('Données projet'!$B$9,Paramètres!$A$1:$I$89,3,0)*0.475*44/12</f>
        <v>1.0284721251077538</v>
      </c>
      <c r="AB125" s="23">
        <f>EXP(-LN(2)/2)*AB124+(1-EXP(-LN(2)/2))/(LN(2)/2)*V125*Y125*VLOOKUP('Données projet'!$B$9,Paramètres!$A$1:$I$89,3,0)*0.475*44/12</f>
        <v>8.6100194352502493E-14</v>
      </c>
      <c r="AC125" s="24">
        <f t="shared" si="57"/>
        <v>2.9216250183163188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0</v>
      </c>
      <c r="AJ125" s="14" t="e">
        <f>AI125*VLOOKUP('Données projet'!$B$10,Paramètres!$A$1:$I$89,3,0)*VLOOKUP('Données projet'!$B$10,Paramètres!$A$1:$I$89,5,0)</f>
        <v>#N/A</v>
      </c>
      <c r="AK125" s="14" t="e">
        <f t="shared" si="89"/>
        <v>#N/A</v>
      </c>
      <c r="AL125" s="22" t="e">
        <f t="shared" si="58"/>
        <v>#N/A</v>
      </c>
      <c r="AM125" s="62" t="e">
        <f t="shared" si="59"/>
        <v>#N/A</v>
      </c>
      <c r="AN125" s="62" t="e">
        <f ca="1">AVERAGE(OFFSET($AM$3,0,0,'Données projet'!$E$10+1,1))-AVERAGE(OFFSET($H$3,0,0,'Données projet'!$E$10+1,1))</f>
        <v>#N/A</v>
      </c>
      <c r="AO125" s="62" t="e">
        <f t="shared" si="90"/>
        <v>#N/A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 t="e">
        <f>EXP(-LN(2)/35)*AU124+(1-EXP(-LN(2)/35))/(LN(2)/35)*AQ125*AR125*VLOOKUP('Données projet'!$B$10,Paramètres!$A$1:$I$89,3,0)*0.475*44/12</f>
        <v>#N/A</v>
      </c>
      <c r="AV125" s="23" t="e">
        <f>EXP(-LN(2)/25)*AV124+(1-EXP(-LN(2)/25))/(LN(2)/25)*Calculateur!AQ125*Calculateur!AS125*VLOOKUP('Données projet'!$B$10,Paramètres!$A$1:$I$89,3,0)*0.475*44/12</f>
        <v>#N/A</v>
      </c>
      <c r="AW125" s="23" t="e">
        <f>EXP(-LN(2)/2)*AW124+(1-EXP(-LN(2)/2))/(LN(2)/2)*AQ125*AT125*VLOOKUP('Données projet'!$B$10,Paramètres!$A$1:$I$89,3,0)*0.475*44/12</f>
        <v>#N/A</v>
      </c>
      <c r="AX125" s="23" t="e">
        <f t="shared" si="60"/>
        <v>#N/A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 t="e">
        <f>BD125*VLOOKUP('Données projet'!$B$11,Paramètres!$A$1:$I$89,3,0)*VLOOKUP('Données projet'!$B$11,Paramètres!$A$1:$I$89,5,0)</f>
        <v>#N/A</v>
      </c>
      <c r="BF125" s="14" t="e">
        <f t="shared" si="91"/>
        <v>#N/A</v>
      </c>
      <c r="BG125" s="22" t="e">
        <f t="shared" si="61"/>
        <v>#N/A</v>
      </c>
      <c r="BH125" s="62" t="e">
        <f t="shared" si="62"/>
        <v>#N/A</v>
      </c>
      <c r="BI125" s="62" t="e">
        <f ca="1">AVERAGE(OFFSET($BH$3,0,0,'Données projet'!$E$11+1,1))-AVERAGE(OFFSET($H$3,0,0,'Données projet'!$E$11+1,1))</f>
        <v>#N/A</v>
      </c>
      <c r="BJ125" s="62" t="e">
        <f t="shared" si="92"/>
        <v>#N/A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 t="e">
        <f>EXP(-LN(2)/35)*BP124+(1-EXP(-LN(2)/35))/(LN(2)/35)*BL125*BM125*VLOOKUP('Données projet'!$B$11,Paramètres!$A$1:$I$89,3,0)*0.475*44/12</f>
        <v>#N/A</v>
      </c>
      <c r="BQ125" s="23" t="e">
        <f>EXP(-LN(2)/25)*BQ124+(1-EXP(-LN(2)/25))/(LN(2)/25)*Calculateur!BL125*Calculateur!BN125*VLOOKUP('Données projet'!$B$11,Paramètres!$A$1:$I$89,3,0)*0.475*44/12</f>
        <v>#N/A</v>
      </c>
      <c r="BR125" s="23" t="e">
        <f>EXP(-LN(2)/2)*BR124+(1-EXP(-LN(2)/2))/(LN(2)/2)*BL125*BO125*VLOOKUP('Données projet'!$B$11,Paramètres!$A$1:$I$89,3,0)*0.475*44/12</f>
        <v>#N/A</v>
      </c>
      <c r="BS125" s="24" t="e">
        <f t="shared" si="63"/>
        <v>#N/A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3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60.761999999999979</v>
      </c>
      <c r="D126" s="12">
        <f t="shared" si="86"/>
        <v>17.360784787882967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10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603.05307555558772</v>
      </c>
      <c r="H126" s="70">
        <f t="shared" si="56"/>
        <v>429.39718350556279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-1.1368683772161603E-13</v>
      </c>
      <c r="O126" s="14">
        <f>N126*VLOOKUP('Données projet'!$B$9,Paramètres!$A$1:$I$89,3,0)*VLOOKUP('Données projet'!$B$9,Paramètres!$A$1:$I$89,5,0)</f>
        <v>-6.7984728957526396E-14</v>
      </c>
      <c r="P126" s="14" t="e">
        <f t="shared" si="87"/>
        <v>#NUM!</v>
      </c>
      <c r="Q126" s="22" t="e">
        <f t="shared" si="107"/>
        <v>#NUM!</v>
      </c>
      <c r="R126" s="62" t="e">
        <f t="shared" si="55"/>
        <v>#NUM!</v>
      </c>
      <c r="S126" s="62">
        <f ca="1">AVERAGE(OFFSET($R$3,0,0,'Données projet'!$E$9+1,1))-AVERAGE(OFFSET($H$3,0,0,'Données projet'!$E$9+1,1))</f>
        <v>255.1976414275677</v>
      </c>
      <c r="T126" s="62">
        <f t="shared" si="88"/>
        <v>266.42714758321767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1.8560293196819071</v>
      </c>
      <c r="AA126" s="23">
        <f>EXP(-LN(2)/25)*AA125+(1-EXP(-LN(2)/25))/(LN(2)/25)*Calculateur!V126*Calculateur!X126*VLOOKUP('Données projet'!$B$9,Paramètres!$A$1:$I$89,3,0)*0.475*44/12</f>
        <v>1.0003485007616837</v>
      </c>
      <c r="AB126" s="23">
        <f>EXP(-LN(2)/2)*AB125+(1-EXP(-LN(2)/2))/(LN(2)/2)*V126*Y126*VLOOKUP('Données projet'!$B$9,Paramètres!$A$1:$I$89,3,0)*0.475*44/12</f>
        <v>6.0882031288134193E-14</v>
      </c>
      <c r="AC126" s="24">
        <f t="shared" si="57"/>
        <v>2.8563778204436514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0</v>
      </c>
      <c r="AJ126" s="14" t="e">
        <f>AI126*VLOOKUP('Données projet'!$B$10,Paramètres!$A$1:$I$89,3,0)*VLOOKUP('Données projet'!$B$10,Paramètres!$A$1:$I$89,5,0)</f>
        <v>#N/A</v>
      </c>
      <c r="AK126" s="14" t="e">
        <f t="shared" si="89"/>
        <v>#N/A</v>
      </c>
      <c r="AL126" s="22" t="e">
        <f t="shared" si="58"/>
        <v>#N/A</v>
      </c>
      <c r="AM126" s="62" t="e">
        <f t="shared" si="59"/>
        <v>#N/A</v>
      </c>
      <c r="AN126" s="62" t="e">
        <f ca="1">AVERAGE(OFFSET($AM$3,0,0,'Données projet'!$E$10+1,1))-AVERAGE(OFFSET($H$3,0,0,'Données projet'!$E$10+1,1))</f>
        <v>#N/A</v>
      </c>
      <c r="AO126" s="62" t="e">
        <f t="shared" si="90"/>
        <v>#N/A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 t="e">
        <f>EXP(-LN(2)/35)*AU125+(1-EXP(-LN(2)/35))/(LN(2)/35)*AQ126*AR126*VLOOKUP('Données projet'!$B$10,Paramètres!$A$1:$I$89,3,0)*0.475*44/12</f>
        <v>#N/A</v>
      </c>
      <c r="AV126" s="23" t="e">
        <f>EXP(-LN(2)/25)*AV125+(1-EXP(-LN(2)/25))/(LN(2)/25)*Calculateur!AQ126*Calculateur!AS126*VLOOKUP('Données projet'!$B$10,Paramètres!$A$1:$I$89,3,0)*0.475*44/12</f>
        <v>#N/A</v>
      </c>
      <c r="AW126" s="23" t="e">
        <f>EXP(-LN(2)/2)*AW125+(1-EXP(-LN(2)/2))/(LN(2)/2)*AQ126*AT126*VLOOKUP('Données projet'!$B$10,Paramètres!$A$1:$I$89,3,0)*0.475*44/12</f>
        <v>#N/A</v>
      </c>
      <c r="AX126" s="23" t="e">
        <f t="shared" si="60"/>
        <v>#N/A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 t="e">
        <f>BD126*VLOOKUP('Données projet'!$B$11,Paramètres!$A$1:$I$89,3,0)*VLOOKUP('Données projet'!$B$11,Paramètres!$A$1:$I$89,5,0)</f>
        <v>#N/A</v>
      </c>
      <c r="BF126" s="14" t="e">
        <f t="shared" si="91"/>
        <v>#N/A</v>
      </c>
      <c r="BG126" s="22" t="e">
        <f t="shared" si="61"/>
        <v>#N/A</v>
      </c>
      <c r="BH126" s="62" t="e">
        <f t="shared" si="62"/>
        <v>#N/A</v>
      </c>
      <c r="BI126" s="62" t="e">
        <f ca="1">AVERAGE(OFFSET($BH$3,0,0,'Données projet'!$E$11+1,1))-AVERAGE(OFFSET($H$3,0,0,'Données projet'!$E$11+1,1))</f>
        <v>#N/A</v>
      </c>
      <c r="BJ126" s="62" t="e">
        <f t="shared" si="92"/>
        <v>#N/A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 t="e">
        <f>EXP(-LN(2)/35)*BP125+(1-EXP(-LN(2)/35))/(LN(2)/35)*BL126*BM126*VLOOKUP('Données projet'!$B$11,Paramètres!$A$1:$I$89,3,0)*0.475*44/12</f>
        <v>#N/A</v>
      </c>
      <c r="BQ126" s="23" t="e">
        <f>EXP(-LN(2)/25)*BQ125+(1-EXP(-LN(2)/25))/(LN(2)/25)*Calculateur!BL126*Calculateur!BN126*VLOOKUP('Données projet'!$B$11,Paramètres!$A$1:$I$89,3,0)*0.475*44/12</f>
        <v>#N/A</v>
      </c>
      <c r="BR126" s="23" t="e">
        <f>EXP(-LN(2)/2)*BR125+(1-EXP(-LN(2)/2))/(LN(2)/2)*BL126*BO126*VLOOKUP('Données projet'!$B$11,Paramètres!$A$1:$I$89,3,0)*0.475*44/12</f>
        <v>#N/A</v>
      </c>
      <c r="BS126" s="24" t="e">
        <f t="shared" si="63"/>
        <v>#N/A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3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61.255999999999979</v>
      </c>
      <c r="D127" s="12">
        <f t="shared" si="86"/>
        <v>17.485441315287559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10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607.82866980221968</v>
      </c>
      <c r="H127" s="70">
        <f t="shared" si="56"/>
        <v>430.47467695745911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-1.1368683772161603E-13</v>
      </c>
      <c r="O127" s="14">
        <f>N127*VLOOKUP('Données projet'!$B$9,Paramètres!$A$1:$I$89,3,0)*VLOOKUP('Données projet'!$B$9,Paramètres!$A$1:$I$89,5,0)</f>
        <v>-6.7984728957526396E-14</v>
      </c>
      <c r="P127" s="14" t="e">
        <f t="shared" si="87"/>
        <v>#NUM!</v>
      </c>
      <c r="Q127" s="22" t="e">
        <f t="shared" si="107"/>
        <v>#NUM!</v>
      </c>
      <c r="R127" s="62" t="e">
        <f t="shared" si="55"/>
        <v>#NUM!</v>
      </c>
      <c r="S127" s="62">
        <f ca="1">AVERAGE(OFFSET($R$3,0,0,'Données projet'!$E$9+1,1))-AVERAGE(OFFSET($H$3,0,0,'Données projet'!$E$9+1,1))</f>
        <v>255.1976414275677</v>
      </c>
      <c r="T127" s="62">
        <f t="shared" si="88"/>
        <v>266.42714758321767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1.8196337167890477</v>
      </c>
      <c r="AA127" s="23">
        <f>EXP(-LN(2)/25)*AA126+(1-EXP(-LN(2)/25))/(LN(2)/25)*Calculateur!V127*Calculateur!X127*VLOOKUP('Données projet'!$B$9,Paramètres!$A$1:$I$89,3,0)*0.475*44/12</f>
        <v>0.97299391840231408</v>
      </c>
      <c r="AB127" s="23">
        <f>EXP(-LN(2)/2)*AB126+(1-EXP(-LN(2)/2))/(LN(2)/2)*V127*Y127*VLOOKUP('Données projet'!$B$9,Paramètres!$A$1:$I$89,3,0)*0.475*44/12</f>
        <v>4.3050097176251246E-14</v>
      </c>
      <c r="AC127" s="24">
        <f t="shared" si="57"/>
        <v>2.7926276351914048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0</v>
      </c>
      <c r="AJ127" s="14" t="e">
        <f>AI127*VLOOKUP('Données projet'!$B$10,Paramètres!$A$1:$I$89,3,0)*VLOOKUP('Données projet'!$B$10,Paramètres!$A$1:$I$89,5,0)</f>
        <v>#N/A</v>
      </c>
      <c r="AK127" s="14" t="e">
        <f t="shared" si="89"/>
        <v>#N/A</v>
      </c>
      <c r="AL127" s="22" t="e">
        <f t="shared" si="58"/>
        <v>#N/A</v>
      </c>
      <c r="AM127" s="62" t="e">
        <f t="shared" si="59"/>
        <v>#N/A</v>
      </c>
      <c r="AN127" s="62" t="e">
        <f ca="1">AVERAGE(OFFSET($AM$3,0,0,'Données projet'!$E$10+1,1))-AVERAGE(OFFSET($H$3,0,0,'Données projet'!$E$10+1,1))</f>
        <v>#N/A</v>
      </c>
      <c r="AO127" s="62" t="e">
        <f t="shared" si="90"/>
        <v>#N/A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 t="e">
        <f>EXP(-LN(2)/35)*AU126+(1-EXP(-LN(2)/35))/(LN(2)/35)*AQ127*AR127*VLOOKUP('Données projet'!$B$10,Paramètres!$A$1:$I$89,3,0)*0.475*44/12</f>
        <v>#N/A</v>
      </c>
      <c r="AV127" s="23" t="e">
        <f>EXP(-LN(2)/25)*AV126+(1-EXP(-LN(2)/25))/(LN(2)/25)*Calculateur!AQ127*Calculateur!AS127*VLOOKUP('Données projet'!$B$10,Paramètres!$A$1:$I$89,3,0)*0.475*44/12</f>
        <v>#N/A</v>
      </c>
      <c r="AW127" s="23" t="e">
        <f>EXP(-LN(2)/2)*AW126+(1-EXP(-LN(2)/2))/(LN(2)/2)*AQ127*AT127*VLOOKUP('Données projet'!$B$10,Paramètres!$A$1:$I$89,3,0)*0.475*44/12</f>
        <v>#N/A</v>
      </c>
      <c r="AX127" s="23" t="e">
        <f t="shared" si="60"/>
        <v>#N/A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 t="e">
        <f>BD127*VLOOKUP('Données projet'!$B$11,Paramètres!$A$1:$I$89,3,0)*VLOOKUP('Données projet'!$B$11,Paramètres!$A$1:$I$89,5,0)</f>
        <v>#N/A</v>
      </c>
      <c r="BF127" s="14" t="e">
        <f t="shared" si="91"/>
        <v>#N/A</v>
      </c>
      <c r="BG127" s="22" t="e">
        <f t="shared" si="61"/>
        <v>#N/A</v>
      </c>
      <c r="BH127" s="62" t="e">
        <f t="shared" si="62"/>
        <v>#N/A</v>
      </c>
      <c r="BI127" s="62" t="e">
        <f ca="1">AVERAGE(OFFSET($BH$3,0,0,'Données projet'!$E$11+1,1))-AVERAGE(OFFSET($H$3,0,0,'Données projet'!$E$11+1,1))</f>
        <v>#N/A</v>
      </c>
      <c r="BJ127" s="62" t="e">
        <f t="shared" si="92"/>
        <v>#N/A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 t="e">
        <f>EXP(-LN(2)/35)*BP126+(1-EXP(-LN(2)/35))/(LN(2)/35)*BL127*BM127*VLOOKUP('Données projet'!$B$11,Paramètres!$A$1:$I$89,3,0)*0.475*44/12</f>
        <v>#N/A</v>
      </c>
      <c r="BQ127" s="23" t="e">
        <f>EXP(-LN(2)/25)*BQ126+(1-EXP(-LN(2)/25))/(LN(2)/25)*Calculateur!BL127*Calculateur!BN127*VLOOKUP('Données projet'!$B$11,Paramètres!$A$1:$I$89,3,0)*0.475*44/12</f>
        <v>#N/A</v>
      </c>
      <c r="BR127" s="23" t="e">
        <f>EXP(-LN(2)/2)*BR126+(1-EXP(-LN(2)/2))/(LN(2)/2)*BL127*BO127*VLOOKUP('Données projet'!$B$11,Paramètres!$A$1:$I$89,3,0)*0.475*44/12</f>
        <v>#N/A</v>
      </c>
      <c r="BS127" s="24" t="e">
        <f t="shared" si="63"/>
        <v>#N/A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3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61.749999999999979</v>
      </c>
      <c r="D128" s="12">
        <f t="shared" si="86"/>
        <v>17.609980879967505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10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612.60336117869633</v>
      </c>
      <c r="H128" s="70">
        <f t="shared" si="56"/>
        <v>431.5519666992767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-1.1368683772161603E-13</v>
      </c>
      <c r="O128" s="14">
        <f>N128*VLOOKUP('Données projet'!$B$9,Paramètres!$A$1:$I$89,3,0)*VLOOKUP('Données projet'!$B$9,Paramètres!$A$1:$I$89,5,0)</f>
        <v>-6.7984728957526396E-14</v>
      </c>
      <c r="P128" s="14" t="e">
        <f t="shared" si="87"/>
        <v>#NUM!</v>
      </c>
      <c r="Q128" s="22" t="e">
        <f t="shared" si="107"/>
        <v>#NUM!</v>
      </c>
      <c r="R128" s="62" t="e">
        <f t="shared" si="55"/>
        <v>#NUM!</v>
      </c>
      <c r="S128" s="62">
        <f ca="1">AVERAGE(OFFSET($R$3,0,0,'Données projet'!$E$9+1,1))-AVERAGE(OFFSET($H$3,0,0,'Données projet'!$E$9+1,1))</f>
        <v>255.1976414275677</v>
      </c>
      <c r="T128" s="62">
        <f t="shared" si="88"/>
        <v>266.42714758321767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1.7839518094697915</v>
      </c>
      <c r="AA128" s="23">
        <f>EXP(-LN(2)/25)*AA127+(1-EXP(-LN(2)/25))/(LN(2)/25)*Calculateur!V128*Calculateur!X128*VLOOKUP('Données projet'!$B$9,Paramètres!$A$1:$I$89,3,0)*0.475*44/12</f>
        <v>0.94638734853607642</v>
      </c>
      <c r="AB128" s="23">
        <f>EXP(-LN(2)/2)*AB127+(1-EXP(-LN(2)/2))/(LN(2)/2)*V128*Y128*VLOOKUP('Données projet'!$B$9,Paramètres!$A$1:$I$89,3,0)*0.475*44/12</f>
        <v>3.0441015644067096E-14</v>
      </c>
      <c r="AC128" s="24">
        <f t="shared" si="57"/>
        <v>2.7303391580058984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0</v>
      </c>
      <c r="AJ128" s="14" t="e">
        <f>AI128*VLOOKUP('Données projet'!$B$10,Paramètres!$A$1:$I$89,3,0)*VLOOKUP('Données projet'!$B$10,Paramètres!$A$1:$I$89,5,0)</f>
        <v>#N/A</v>
      </c>
      <c r="AK128" s="14" t="e">
        <f t="shared" si="89"/>
        <v>#N/A</v>
      </c>
      <c r="AL128" s="22" t="e">
        <f t="shared" si="58"/>
        <v>#N/A</v>
      </c>
      <c r="AM128" s="62" t="e">
        <f t="shared" si="59"/>
        <v>#N/A</v>
      </c>
      <c r="AN128" s="62" t="e">
        <f ca="1">AVERAGE(OFFSET($AM$3,0,0,'Données projet'!$E$10+1,1))-AVERAGE(OFFSET($H$3,0,0,'Données projet'!$E$10+1,1))</f>
        <v>#N/A</v>
      </c>
      <c r="AO128" s="62" t="e">
        <f t="shared" si="90"/>
        <v>#N/A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 t="e">
        <f>EXP(-LN(2)/35)*AU127+(1-EXP(-LN(2)/35))/(LN(2)/35)*AQ128*AR128*VLOOKUP('Données projet'!$B$10,Paramètres!$A$1:$I$89,3,0)*0.475*44/12</f>
        <v>#N/A</v>
      </c>
      <c r="AV128" s="23" t="e">
        <f>EXP(-LN(2)/25)*AV127+(1-EXP(-LN(2)/25))/(LN(2)/25)*Calculateur!AQ128*Calculateur!AS128*VLOOKUP('Données projet'!$B$10,Paramètres!$A$1:$I$89,3,0)*0.475*44/12</f>
        <v>#N/A</v>
      </c>
      <c r="AW128" s="23" t="e">
        <f>EXP(-LN(2)/2)*AW127+(1-EXP(-LN(2)/2))/(LN(2)/2)*AQ128*AT128*VLOOKUP('Données projet'!$B$10,Paramètres!$A$1:$I$89,3,0)*0.475*44/12</f>
        <v>#N/A</v>
      </c>
      <c r="AX128" s="23" t="e">
        <f t="shared" si="60"/>
        <v>#N/A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 t="e">
        <f>BD128*VLOOKUP('Données projet'!$B$11,Paramètres!$A$1:$I$89,3,0)*VLOOKUP('Données projet'!$B$11,Paramètres!$A$1:$I$89,5,0)</f>
        <v>#N/A</v>
      </c>
      <c r="BF128" s="14" t="e">
        <f t="shared" si="91"/>
        <v>#N/A</v>
      </c>
      <c r="BG128" s="22" t="e">
        <f t="shared" si="61"/>
        <v>#N/A</v>
      </c>
      <c r="BH128" s="62" t="e">
        <f t="shared" si="62"/>
        <v>#N/A</v>
      </c>
      <c r="BI128" s="62" t="e">
        <f ca="1">AVERAGE(OFFSET($BH$3,0,0,'Données projet'!$E$11+1,1))-AVERAGE(OFFSET($H$3,0,0,'Données projet'!$E$11+1,1))</f>
        <v>#N/A</v>
      </c>
      <c r="BJ128" s="62" t="e">
        <f t="shared" si="92"/>
        <v>#N/A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 t="e">
        <f>EXP(-LN(2)/35)*BP127+(1-EXP(-LN(2)/35))/(LN(2)/35)*BL128*BM128*VLOOKUP('Données projet'!$B$11,Paramètres!$A$1:$I$89,3,0)*0.475*44/12</f>
        <v>#N/A</v>
      </c>
      <c r="BQ128" s="23" t="e">
        <f>EXP(-LN(2)/25)*BQ127+(1-EXP(-LN(2)/25))/(LN(2)/25)*Calculateur!BL128*Calculateur!BN128*VLOOKUP('Données projet'!$B$11,Paramètres!$A$1:$I$89,3,0)*0.475*44/12</f>
        <v>#N/A</v>
      </c>
      <c r="BR128" s="23" t="e">
        <f>EXP(-LN(2)/2)*BR127+(1-EXP(-LN(2)/2))/(LN(2)/2)*BL128*BO128*VLOOKUP('Données projet'!$B$11,Paramètres!$A$1:$I$89,3,0)*0.475*44/12</f>
        <v>#N/A</v>
      </c>
      <c r="BS128" s="24" t="e">
        <f t="shared" si="63"/>
        <v>#N/A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3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62.243999999999978</v>
      </c>
      <c r="D129" s="12">
        <f t="shared" si="86"/>
        <v>17.734404526076432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10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617.37715774515129</v>
      </c>
      <c r="H129" s="70">
        <f t="shared" si="56"/>
        <v>432.62905454958309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-1.1368683772161603E-13</v>
      </c>
      <c r="O129" s="14">
        <f>N129*VLOOKUP('Données projet'!$B$9,Paramètres!$A$1:$I$89,3,0)*VLOOKUP('Données projet'!$B$9,Paramètres!$A$1:$I$89,5,0)</f>
        <v>-6.7984728957526396E-14</v>
      </c>
      <c r="P129" s="14" t="e">
        <f t="shared" si="87"/>
        <v>#NUM!</v>
      </c>
      <c r="Q129" s="22" t="e">
        <f t="shared" si="107"/>
        <v>#NUM!</v>
      </c>
      <c r="R129" s="62" t="e">
        <f t="shared" si="55"/>
        <v>#NUM!</v>
      </c>
      <c r="S129" s="62">
        <f ca="1">AVERAGE(OFFSET($R$3,0,0,'Données projet'!$E$9+1,1))-AVERAGE(OFFSET($H$3,0,0,'Données projet'!$E$9+1,1))</f>
        <v>255.1976414275677</v>
      </c>
      <c r="T129" s="62">
        <f t="shared" si="88"/>
        <v>266.42714758321767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1.7489696025892514</v>
      </c>
      <c r="AA129" s="23">
        <f>EXP(-LN(2)/25)*AA128+(1-EXP(-LN(2)/25))/(LN(2)/25)*Calculateur!V129*Calculateur!X129*VLOOKUP('Données projet'!$B$9,Paramètres!$A$1:$I$89,3,0)*0.475*44/12</f>
        <v>0.92050833672200971</v>
      </c>
      <c r="AB129" s="23">
        <f>EXP(-LN(2)/2)*AB128+(1-EXP(-LN(2)/2))/(LN(2)/2)*V129*Y129*VLOOKUP('Données projet'!$B$9,Paramètres!$A$1:$I$89,3,0)*0.475*44/12</f>
        <v>2.1525048588125623E-14</v>
      </c>
      <c r="AC129" s="24">
        <f t="shared" si="57"/>
        <v>2.6694779393112826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0</v>
      </c>
      <c r="AJ129" s="14" t="e">
        <f>AI129*VLOOKUP('Données projet'!$B$10,Paramètres!$A$1:$I$89,3,0)*VLOOKUP('Données projet'!$B$10,Paramètres!$A$1:$I$89,5,0)</f>
        <v>#N/A</v>
      </c>
      <c r="AK129" s="14" t="e">
        <f t="shared" si="89"/>
        <v>#N/A</v>
      </c>
      <c r="AL129" s="22" t="e">
        <f t="shared" si="58"/>
        <v>#N/A</v>
      </c>
      <c r="AM129" s="62" t="e">
        <f t="shared" si="59"/>
        <v>#N/A</v>
      </c>
      <c r="AN129" s="62" t="e">
        <f ca="1">AVERAGE(OFFSET($AM$3,0,0,'Données projet'!$E$10+1,1))-AVERAGE(OFFSET($H$3,0,0,'Données projet'!$E$10+1,1))</f>
        <v>#N/A</v>
      </c>
      <c r="AO129" s="62" t="e">
        <f t="shared" si="90"/>
        <v>#N/A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 t="e">
        <f>EXP(-LN(2)/35)*AU128+(1-EXP(-LN(2)/35))/(LN(2)/35)*AQ129*AR129*VLOOKUP('Données projet'!$B$10,Paramètres!$A$1:$I$89,3,0)*0.475*44/12</f>
        <v>#N/A</v>
      </c>
      <c r="AV129" s="23" t="e">
        <f>EXP(-LN(2)/25)*AV128+(1-EXP(-LN(2)/25))/(LN(2)/25)*Calculateur!AQ129*Calculateur!AS129*VLOOKUP('Données projet'!$B$10,Paramètres!$A$1:$I$89,3,0)*0.475*44/12</f>
        <v>#N/A</v>
      </c>
      <c r="AW129" s="23" t="e">
        <f>EXP(-LN(2)/2)*AW128+(1-EXP(-LN(2)/2))/(LN(2)/2)*AQ129*AT129*VLOOKUP('Données projet'!$B$10,Paramètres!$A$1:$I$89,3,0)*0.475*44/12</f>
        <v>#N/A</v>
      </c>
      <c r="AX129" s="23" t="e">
        <f t="shared" si="60"/>
        <v>#N/A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 t="e">
        <f>BD129*VLOOKUP('Données projet'!$B$11,Paramètres!$A$1:$I$89,3,0)*VLOOKUP('Données projet'!$B$11,Paramètres!$A$1:$I$89,5,0)</f>
        <v>#N/A</v>
      </c>
      <c r="BF129" s="14" t="e">
        <f t="shared" si="91"/>
        <v>#N/A</v>
      </c>
      <c r="BG129" s="22" t="e">
        <f t="shared" si="61"/>
        <v>#N/A</v>
      </c>
      <c r="BH129" s="62" t="e">
        <f t="shared" si="62"/>
        <v>#N/A</v>
      </c>
      <c r="BI129" s="62" t="e">
        <f ca="1">AVERAGE(OFFSET($BH$3,0,0,'Données projet'!$E$11+1,1))-AVERAGE(OFFSET($H$3,0,0,'Données projet'!$E$11+1,1))</f>
        <v>#N/A</v>
      </c>
      <c r="BJ129" s="62" t="e">
        <f t="shared" si="92"/>
        <v>#N/A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 t="e">
        <f>EXP(-LN(2)/35)*BP128+(1-EXP(-LN(2)/35))/(LN(2)/35)*BL129*BM129*VLOOKUP('Données projet'!$B$11,Paramètres!$A$1:$I$89,3,0)*0.475*44/12</f>
        <v>#N/A</v>
      </c>
      <c r="BQ129" s="23" t="e">
        <f>EXP(-LN(2)/25)*BQ128+(1-EXP(-LN(2)/25))/(LN(2)/25)*Calculateur!BL129*Calculateur!BN129*VLOOKUP('Données projet'!$B$11,Paramètres!$A$1:$I$89,3,0)*0.475*44/12</f>
        <v>#N/A</v>
      </c>
      <c r="BR129" s="23" t="e">
        <f>EXP(-LN(2)/2)*BR128+(1-EXP(-LN(2)/2))/(LN(2)/2)*BL129*BO129*VLOOKUP('Données projet'!$B$11,Paramètres!$A$1:$I$89,3,0)*0.475*44/12</f>
        <v>#N/A</v>
      </c>
      <c r="BS129" s="24" t="e">
        <f t="shared" si="63"/>
        <v>#N/A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3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62.737999999999978</v>
      </c>
      <c r="D130" s="12">
        <f t="shared" si="86"/>
        <v>17.858713280237058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10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622.15006742639116</v>
      </c>
      <c r="H130" s="70">
        <f t="shared" si="56"/>
        <v>433.70594229641279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-1.1368683772161603E-13</v>
      </c>
      <c r="O130" s="14">
        <f>N130*VLOOKUP('Données projet'!$B$9,Paramètres!$A$1:$I$89,3,0)*VLOOKUP('Données projet'!$B$9,Paramètres!$A$1:$I$89,5,0)</f>
        <v>-6.7984728957526396E-14</v>
      </c>
      <c r="P130" s="14" t="e">
        <f t="shared" si="87"/>
        <v>#NUM!</v>
      </c>
      <c r="Q130" s="22" t="e">
        <f t="shared" si="107"/>
        <v>#NUM!</v>
      </c>
      <c r="R130" s="62" t="e">
        <f t="shared" si="55"/>
        <v>#NUM!</v>
      </c>
      <c r="S130" s="62">
        <f ca="1">AVERAGE(OFFSET($R$3,0,0,'Données projet'!$E$9+1,1))-AVERAGE(OFFSET($H$3,0,0,'Données projet'!$E$9+1,1))</f>
        <v>255.1976414275677</v>
      </c>
      <c r="T130" s="62">
        <f t="shared" si="88"/>
        <v>266.42714758321767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1.7146733754485994</v>
      </c>
      <c r="AA130" s="23">
        <f>EXP(-LN(2)/25)*AA129+(1-EXP(-LN(2)/25))/(LN(2)/25)*Calculateur!V130*Calculateur!X130*VLOOKUP('Données projet'!$B$9,Paramètres!$A$1:$I$89,3,0)*0.475*44/12</f>
        <v>0.89533698784691673</v>
      </c>
      <c r="AB130" s="23">
        <f>EXP(-LN(2)/2)*AB129+(1-EXP(-LN(2)/2))/(LN(2)/2)*V130*Y130*VLOOKUP('Données projet'!$B$9,Paramètres!$A$1:$I$89,3,0)*0.475*44/12</f>
        <v>1.5220507822033548E-14</v>
      </c>
      <c r="AC130" s="24">
        <f t="shared" si="57"/>
        <v>2.6100103632955314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0</v>
      </c>
      <c r="AJ130" s="14" t="e">
        <f>AI130*VLOOKUP('Données projet'!$B$10,Paramètres!$A$1:$I$89,3,0)*VLOOKUP('Données projet'!$B$10,Paramètres!$A$1:$I$89,5,0)</f>
        <v>#N/A</v>
      </c>
      <c r="AK130" s="14" t="e">
        <f t="shared" si="89"/>
        <v>#N/A</v>
      </c>
      <c r="AL130" s="22" t="e">
        <f t="shared" si="58"/>
        <v>#N/A</v>
      </c>
      <c r="AM130" s="62" t="e">
        <f t="shared" si="59"/>
        <v>#N/A</v>
      </c>
      <c r="AN130" s="62" t="e">
        <f ca="1">AVERAGE(OFFSET($AM$3,0,0,'Données projet'!$E$10+1,1))-AVERAGE(OFFSET($H$3,0,0,'Données projet'!$E$10+1,1))</f>
        <v>#N/A</v>
      </c>
      <c r="AO130" s="62" t="e">
        <f t="shared" si="90"/>
        <v>#N/A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 t="e">
        <f>EXP(-LN(2)/35)*AU129+(1-EXP(-LN(2)/35))/(LN(2)/35)*AQ130*AR130*VLOOKUP('Données projet'!$B$10,Paramètres!$A$1:$I$89,3,0)*0.475*44/12</f>
        <v>#N/A</v>
      </c>
      <c r="AV130" s="23" t="e">
        <f>EXP(-LN(2)/25)*AV129+(1-EXP(-LN(2)/25))/(LN(2)/25)*Calculateur!AQ130*Calculateur!AS130*VLOOKUP('Données projet'!$B$10,Paramètres!$A$1:$I$89,3,0)*0.475*44/12</f>
        <v>#N/A</v>
      </c>
      <c r="AW130" s="23" t="e">
        <f>EXP(-LN(2)/2)*AW129+(1-EXP(-LN(2)/2))/(LN(2)/2)*AQ130*AT130*VLOOKUP('Données projet'!$B$10,Paramètres!$A$1:$I$89,3,0)*0.475*44/12</f>
        <v>#N/A</v>
      </c>
      <c r="AX130" s="23" t="e">
        <f t="shared" si="60"/>
        <v>#N/A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 t="e">
        <f>BD130*VLOOKUP('Données projet'!$B$11,Paramètres!$A$1:$I$89,3,0)*VLOOKUP('Données projet'!$B$11,Paramètres!$A$1:$I$89,5,0)</f>
        <v>#N/A</v>
      </c>
      <c r="BF130" s="14" t="e">
        <f t="shared" si="91"/>
        <v>#N/A</v>
      </c>
      <c r="BG130" s="22" t="e">
        <f t="shared" si="61"/>
        <v>#N/A</v>
      </c>
      <c r="BH130" s="62" t="e">
        <f t="shared" si="62"/>
        <v>#N/A</v>
      </c>
      <c r="BI130" s="62" t="e">
        <f ca="1">AVERAGE(OFFSET($BH$3,0,0,'Données projet'!$E$11+1,1))-AVERAGE(OFFSET($H$3,0,0,'Données projet'!$E$11+1,1))</f>
        <v>#N/A</v>
      </c>
      <c r="BJ130" s="62" t="e">
        <f t="shared" si="92"/>
        <v>#N/A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 t="e">
        <f>EXP(-LN(2)/35)*BP129+(1-EXP(-LN(2)/35))/(LN(2)/35)*BL130*BM130*VLOOKUP('Données projet'!$B$11,Paramètres!$A$1:$I$89,3,0)*0.475*44/12</f>
        <v>#N/A</v>
      </c>
      <c r="BQ130" s="23" t="e">
        <f>EXP(-LN(2)/25)*BQ129+(1-EXP(-LN(2)/25))/(LN(2)/25)*Calculateur!BL130*Calculateur!BN130*VLOOKUP('Données projet'!$B$11,Paramètres!$A$1:$I$89,3,0)*0.475*44/12</f>
        <v>#N/A</v>
      </c>
      <c r="BR130" s="23" t="e">
        <f>EXP(-LN(2)/2)*BR129+(1-EXP(-LN(2)/2))/(LN(2)/2)*BL130*BO130*VLOOKUP('Données projet'!$B$11,Paramètres!$A$1:$I$89,3,0)*0.475*44/12</f>
        <v>#N/A</v>
      </c>
      <c r="BS130" s="24" t="e">
        <f t="shared" si="63"/>
        <v>#N/A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3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63.231999999999978</v>
      </c>
      <c r="D131" s="12">
        <f t="shared" si="86"/>
        <v>17.982908151971163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10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626.92209801521585</v>
      </c>
      <c r="H131" s="70">
        <f t="shared" si="56"/>
        <v>434.78263169801642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-1.1368683772161603E-13</v>
      </c>
      <c r="O131" s="14">
        <f>N131*VLOOKUP('Données projet'!$B$9,Paramètres!$A$1:$I$89,3,0)*VLOOKUP('Données projet'!$B$9,Paramètres!$A$1:$I$89,5,0)</f>
        <v>-6.7984728957526396E-14</v>
      </c>
      <c r="P131" s="14" t="e">
        <f t="shared" si="87"/>
        <v>#NUM!</v>
      </c>
      <c r="Q131" s="22" t="e">
        <f t="shared" ref="Q131:Q153" si="108">(O131+P131)*0.475*44/12</f>
        <v>#NUM!</v>
      </c>
      <c r="R131" s="62" t="e">
        <f t="shared" ref="R131:R194" si="109">Q131+(I131+J131)*44/12</f>
        <v>#NUM!</v>
      </c>
      <c r="S131" s="62">
        <f ca="1">AVERAGE(OFFSET($R$3,0,0,'Données projet'!$E$9+1,1))-AVERAGE(OFFSET($H$3,0,0,'Données projet'!$E$9+1,1))</f>
        <v>255.1976414275677</v>
      </c>
      <c r="T131" s="62">
        <f t="shared" si="88"/>
        <v>266.42714758321767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1.6810496764035425</v>
      </c>
      <c r="AA131" s="23">
        <f>EXP(-LN(2)/25)*AA130+(1-EXP(-LN(2)/25))/(LN(2)/25)*Calculateur!V131*Calculateur!X131*VLOOKUP('Données projet'!$B$9,Paramètres!$A$1:$I$89,3,0)*0.475*44/12</f>
        <v>0.87085395083051698</v>
      </c>
      <c r="AB131" s="23">
        <f>EXP(-LN(2)/2)*AB130+(1-EXP(-LN(2)/2))/(LN(2)/2)*V131*Y131*VLOOKUP('Données projet'!$B$9,Paramètres!$A$1:$I$89,3,0)*0.475*44/12</f>
        <v>1.0762524294062812E-14</v>
      </c>
      <c r="AC131" s="24">
        <f t="shared" si="57"/>
        <v>2.5519036272340703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0</v>
      </c>
      <c r="AJ131" s="14" t="e">
        <f>AI131*VLOOKUP('Données projet'!$B$10,Paramètres!$A$1:$I$89,3,0)*VLOOKUP('Données projet'!$B$10,Paramètres!$A$1:$I$89,5,0)</f>
        <v>#N/A</v>
      </c>
      <c r="AK131" s="14" t="e">
        <f t="shared" si="89"/>
        <v>#N/A</v>
      </c>
      <c r="AL131" s="22" t="e">
        <f t="shared" si="58"/>
        <v>#N/A</v>
      </c>
      <c r="AM131" s="62" t="e">
        <f t="shared" si="59"/>
        <v>#N/A</v>
      </c>
      <c r="AN131" s="62" t="e">
        <f ca="1">AVERAGE(OFFSET($AM$3,0,0,'Données projet'!$E$10+1,1))-AVERAGE(OFFSET($H$3,0,0,'Données projet'!$E$10+1,1))</f>
        <v>#N/A</v>
      </c>
      <c r="AO131" s="62" t="e">
        <f t="shared" si="90"/>
        <v>#N/A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 t="e">
        <f>EXP(-LN(2)/35)*AU130+(1-EXP(-LN(2)/35))/(LN(2)/35)*AQ131*AR131*VLOOKUP('Données projet'!$B$10,Paramètres!$A$1:$I$89,3,0)*0.475*44/12</f>
        <v>#N/A</v>
      </c>
      <c r="AV131" s="23" t="e">
        <f>EXP(-LN(2)/25)*AV130+(1-EXP(-LN(2)/25))/(LN(2)/25)*Calculateur!AQ131*Calculateur!AS131*VLOOKUP('Données projet'!$B$10,Paramètres!$A$1:$I$89,3,0)*0.475*44/12</f>
        <v>#N/A</v>
      </c>
      <c r="AW131" s="23" t="e">
        <f>EXP(-LN(2)/2)*AW130+(1-EXP(-LN(2)/2))/(LN(2)/2)*AQ131*AT131*VLOOKUP('Données projet'!$B$10,Paramètres!$A$1:$I$89,3,0)*0.475*44/12</f>
        <v>#N/A</v>
      </c>
      <c r="AX131" s="23" t="e">
        <f t="shared" si="60"/>
        <v>#N/A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 t="e">
        <f>BD131*VLOOKUP('Données projet'!$B$11,Paramètres!$A$1:$I$89,3,0)*VLOOKUP('Données projet'!$B$11,Paramètres!$A$1:$I$89,5,0)</f>
        <v>#N/A</v>
      </c>
      <c r="BF131" s="14" t="e">
        <f t="shared" si="91"/>
        <v>#N/A</v>
      </c>
      <c r="BG131" s="22" t="e">
        <f t="shared" si="61"/>
        <v>#N/A</v>
      </c>
      <c r="BH131" s="62" t="e">
        <f t="shared" si="62"/>
        <v>#N/A</v>
      </c>
      <c r="BI131" s="62" t="e">
        <f ca="1">AVERAGE(OFFSET($BH$3,0,0,'Données projet'!$E$11+1,1))-AVERAGE(OFFSET($H$3,0,0,'Données projet'!$E$11+1,1))</f>
        <v>#N/A</v>
      </c>
      <c r="BJ131" s="62" t="e">
        <f t="shared" si="92"/>
        <v>#N/A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 t="e">
        <f>EXP(-LN(2)/35)*BP130+(1-EXP(-LN(2)/35))/(LN(2)/35)*BL131*BM131*VLOOKUP('Données projet'!$B$11,Paramètres!$A$1:$I$89,3,0)*0.475*44/12</f>
        <v>#N/A</v>
      </c>
      <c r="BQ131" s="23" t="e">
        <f>EXP(-LN(2)/25)*BQ130+(1-EXP(-LN(2)/25))/(LN(2)/25)*Calculateur!BL131*Calculateur!BN131*VLOOKUP('Données projet'!$B$11,Paramètres!$A$1:$I$89,3,0)*0.475*44/12</f>
        <v>#N/A</v>
      </c>
      <c r="BR131" s="23" t="e">
        <f>EXP(-LN(2)/2)*BR130+(1-EXP(-LN(2)/2))/(LN(2)/2)*BL131*BO131*VLOOKUP('Données projet'!$B$11,Paramètres!$A$1:$I$89,3,0)*0.475*44/12</f>
        <v>#N/A</v>
      </c>
      <c r="BS131" s="24" t="e">
        <f t="shared" si="63"/>
        <v>#N/A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3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63.725999999999978</v>
      </c>
      <c r="D132" s="12">
        <f t="shared" si="86"/>
        <v>18.106990134115833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10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631.69325717563095</v>
      </c>
      <c r="H132" s="70">
        <f t="shared" ref="H132:H195" si="110">(B132+E132+F132)*44/12+(C132+D132)*0.475*44/12</f>
        <v>435.85912448358499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-1.1368683772161603E-13</v>
      </c>
      <c r="O132" s="14">
        <f>N132*VLOOKUP('Données projet'!$B$9,Paramètres!$A$1:$I$89,3,0)*VLOOKUP('Données projet'!$B$9,Paramètres!$A$1:$I$89,5,0)</f>
        <v>-6.7984728957526396E-14</v>
      </c>
      <c r="P132" s="14" t="e">
        <f t="shared" si="87"/>
        <v>#NUM!</v>
      </c>
      <c r="Q132" s="22" t="e">
        <f t="shared" si="108"/>
        <v>#NUM!</v>
      </c>
      <c r="R132" s="62" t="e">
        <f t="shared" si="109"/>
        <v>#NUM!</v>
      </c>
      <c r="S132" s="62">
        <f ca="1">AVERAGE(OFFSET($R$3,0,0,'Données projet'!$E$9+1,1))-AVERAGE(OFFSET($H$3,0,0,'Données projet'!$E$9+1,1))</f>
        <v>255.1976414275677</v>
      </c>
      <c r="T132" s="62">
        <f t="shared" si="88"/>
        <v>266.42714758321767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1.6480853175883279</v>
      </c>
      <c r="AA132" s="23">
        <f>EXP(-LN(2)/25)*AA131+(1-EXP(-LN(2)/25))/(LN(2)/25)*Calculateur!V132*Calculateur!X132*VLOOKUP('Données projet'!$B$9,Paramètres!$A$1:$I$89,3,0)*0.475*44/12</f>
        <v>0.8470404037488376</v>
      </c>
      <c r="AB132" s="23">
        <f>EXP(-LN(2)/2)*AB131+(1-EXP(-LN(2)/2))/(LN(2)/2)*V132*Y132*VLOOKUP('Données projet'!$B$9,Paramètres!$A$1:$I$89,3,0)*0.475*44/12</f>
        <v>7.6102539110167741E-15</v>
      </c>
      <c r="AC132" s="24">
        <f t="shared" ref="AC132:AC153" si="111">SUM(Z132:AB132)</f>
        <v>2.4951257213371729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0</v>
      </c>
      <c r="AJ132" s="14" t="e">
        <f>AI132*VLOOKUP('Données projet'!$B$10,Paramètres!$A$1:$I$89,3,0)*VLOOKUP('Données projet'!$B$10,Paramètres!$A$1:$I$89,5,0)</f>
        <v>#N/A</v>
      </c>
      <c r="AK132" s="14" t="e">
        <f t="shared" si="89"/>
        <v>#N/A</v>
      </c>
      <c r="AL132" s="22" t="e">
        <f t="shared" ref="AL132:AL153" si="112">(AJ132+AK132)*0.475*44/12</f>
        <v>#N/A</v>
      </c>
      <c r="AM132" s="62" t="e">
        <f t="shared" ref="AM132:AM195" si="113">AL132+(AD132+AE132)*44/12</f>
        <v>#N/A</v>
      </c>
      <c r="AN132" s="62" t="e">
        <f ca="1">AVERAGE(OFFSET($AM$3,0,0,'Données projet'!$E$10+1,1))-AVERAGE(OFFSET($H$3,0,0,'Données projet'!$E$10+1,1))</f>
        <v>#N/A</v>
      </c>
      <c r="AO132" s="62" t="e">
        <f t="shared" si="90"/>
        <v>#N/A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 t="e">
        <f>EXP(-LN(2)/35)*AU131+(1-EXP(-LN(2)/35))/(LN(2)/35)*AQ132*AR132*VLOOKUP('Données projet'!$B$10,Paramètres!$A$1:$I$89,3,0)*0.475*44/12</f>
        <v>#N/A</v>
      </c>
      <c r="AV132" s="23" t="e">
        <f>EXP(-LN(2)/25)*AV131+(1-EXP(-LN(2)/25))/(LN(2)/25)*Calculateur!AQ132*Calculateur!AS132*VLOOKUP('Données projet'!$B$10,Paramètres!$A$1:$I$89,3,0)*0.475*44/12</f>
        <v>#N/A</v>
      </c>
      <c r="AW132" s="23" t="e">
        <f>EXP(-LN(2)/2)*AW131+(1-EXP(-LN(2)/2))/(LN(2)/2)*AQ132*AT132*VLOOKUP('Données projet'!$B$10,Paramètres!$A$1:$I$89,3,0)*0.475*44/12</f>
        <v>#N/A</v>
      </c>
      <c r="AX132" s="23" t="e">
        <f t="shared" ref="AX132:AX153" si="114">SUM(AU132:AW132)</f>
        <v>#N/A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 t="e">
        <f>BD132*VLOOKUP('Données projet'!$B$11,Paramètres!$A$1:$I$89,3,0)*VLOOKUP('Données projet'!$B$11,Paramètres!$A$1:$I$89,5,0)</f>
        <v>#N/A</v>
      </c>
      <c r="BF132" s="14" t="e">
        <f t="shared" si="91"/>
        <v>#N/A</v>
      </c>
      <c r="BG132" s="22" t="e">
        <f t="shared" ref="BG132:BG153" si="115">(BE132+BF132)*0.475*44/12</f>
        <v>#N/A</v>
      </c>
      <c r="BH132" s="62" t="e">
        <f t="shared" ref="BH132:BH195" si="116">BG132+(AY132+AZ132)*44/12</f>
        <v>#N/A</v>
      </c>
      <c r="BI132" s="62" t="e">
        <f ca="1">AVERAGE(OFFSET($BH$3,0,0,'Données projet'!$E$11+1,1))-AVERAGE(OFFSET($H$3,0,0,'Données projet'!$E$11+1,1))</f>
        <v>#N/A</v>
      </c>
      <c r="BJ132" s="62" t="e">
        <f t="shared" si="92"/>
        <v>#N/A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 t="e">
        <f>EXP(-LN(2)/35)*BP131+(1-EXP(-LN(2)/35))/(LN(2)/35)*BL132*BM132*VLOOKUP('Données projet'!$B$11,Paramètres!$A$1:$I$89,3,0)*0.475*44/12</f>
        <v>#N/A</v>
      </c>
      <c r="BQ132" s="23" t="e">
        <f>EXP(-LN(2)/25)*BQ131+(1-EXP(-LN(2)/25))/(LN(2)/25)*Calculateur!BL132*Calculateur!BN132*VLOOKUP('Données projet'!$B$11,Paramètres!$A$1:$I$89,3,0)*0.475*44/12</f>
        <v>#N/A</v>
      </c>
      <c r="BR132" s="23" t="e">
        <f>EXP(-LN(2)/2)*BR131+(1-EXP(-LN(2)/2))/(LN(2)/2)*BL132*BO132*VLOOKUP('Données projet'!$B$11,Paramètres!$A$1:$I$89,3,0)*0.475*44/12</f>
        <v>#N/A</v>
      </c>
      <c r="BS132" s="24" t="e">
        <f t="shared" ref="BS132:BS153" si="117">SUM(BP132:BR132)</f>
        <v>#N/A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3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64.219999999999985</v>
      </c>
      <c r="D133" s="12">
        <f t="shared" ref="D133:D196" si="140">IFERROR(EXP(-1.0587+0.8836*LN(C133)+0.284),0)</f>
        <v>18.230960203226296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10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636.46355244595725</v>
      </c>
      <c r="H133" s="70">
        <f t="shared" si="110"/>
        <v>436.93542235395239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-1.1368683772161603E-13</v>
      </c>
      <c r="O133" s="14">
        <f>N133*VLOOKUP('Données projet'!$B$9,Paramètres!$A$1:$I$89,3,0)*VLOOKUP('Données projet'!$B$9,Paramètres!$A$1:$I$89,5,0)</f>
        <v>-6.7984728957526396E-14</v>
      </c>
      <c r="P133" s="14" t="e">
        <f t="shared" ref="P133:P196" si="141">EXP(-1.0587+0.8836*LN(O133)+0.284)</f>
        <v>#NUM!</v>
      </c>
      <c r="Q133" s="22" t="e">
        <f t="shared" si="108"/>
        <v>#NUM!</v>
      </c>
      <c r="R133" s="62" t="e">
        <f t="shared" si="109"/>
        <v>#NUM!</v>
      </c>
      <c r="S133" s="62">
        <f ca="1">AVERAGE(OFFSET($R$3,0,0,'Données projet'!$E$9+1,1))-AVERAGE(OFFSET($H$3,0,0,'Données projet'!$E$9+1,1))</f>
        <v>255.1976414275677</v>
      </c>
      <c r="T133" s="62">
        <f t="shared" ref="T133:T196" si="142">$T$3</f>
        <v>266.42714758321767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1.615767369743206</v>
      </c>
      <c r="AA133" s="23">
        <f>EXP(-LN(2)/25)*AA132+(1-EXP(-LN(2)/25))/(LN(2)/25)*Calculateur!V133*Calculateur!X133*VLOOKUP('Données projet'!$B$9,Paramètres!$A$1:$I$89,3,0)*0.475*44/12</f>
        <v>0.82387803936440673</v>
      </c>
      <c r="AB133" s="23">
        <f>EXP(-LN(2)/2)*AB132+(1-EXP(-LN(2)/2))/(LN(2)/2)*V133*Y133*VLOOKUP('Données projet'!$B$9,Paramètres!$A$1:$I$89,3,0)*0.475*44/12</f>
        <v>5.3812621470314058E-15</v>
      </c>
      <c r="AC133" s="24">
        <f t="shared" si="111"/>
        <v>2.4396454091076181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0</v>
      </c>
      <c r="AJ133" s="14" t="e">
        <f>AI133*VLOOKUP('Données projet'!$B$10,Paramètres!$A$1:$I$89,3,0)*VLOOKUP('Données projet'!$B$10,Paramètres!$A$1:$I$89,5,0)</f>
        <v>#N/A</v>
      </c>
      <c r="AK133" s="14" t="e">
        <f t="shared" ref="AK133:AK153" si="143">EXP(-1.0587+0.8836*LN(AJ133)+0.284)</f>
        <v>#N/A</v>
      </c>
      <c r="AL133" s="22" t="e">
        <f t="shared" si="112"/>
        <v>#N/A</v>
      </c>
      <c r="AM133" s="62" t="e">
        <f t="shared" si="113"/>
        <v>#N/A</v>
      </c>
      <c r="AN133" s="62" t="e">
        <f ca="1">AVERAGE(OFFSET($AM$3,0,0,'Données projet'!$E$10+1,1))-AVERAGE(OFFSET($H$3,0,0,'Données projet'!$E$10+1,1))</f>
        <v>#N/A</v>
      </c>
      <c r="AO133" s="62" t="e">
        <f t="shared" ref="AO133:AO196" si="144">$AO$3</f>
        <v>#N/A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 t="e">
        <f>EXP(-LN(2)/35)*AU132+(1-EXP(-LN(2)/35))/(LN(2)/35)*AQ133*AR133*VLOOKUP('Données projet'!$B$10,Paramètres!$A$1:$I$89,3,0)*0.475*44/12</f>
        <v>#N/A</v>
      </c>
      <c r="AV133" s="23" t="e">
        <f>EXP(-LN(2)/25)*AV132+(1-EXP(-LN(2)/25))/(LN(2)/25)*Calculateur!AQ133*Calculateur!AS133*VLOOKUP('Données projet'!$B$10,Paramètres!$A$1:$I$89,3,0)*0.475*44/12</f>
        <v>#N/A</v>
      </c>
      <c r="AW133" s="23" t="e">
        <f>EXP(-LN(2)/2)*AW132+(1-EXP(-LN(2)/2))/(LN(2)/2)*AQ133*AT133*VLOOKUP('Données projet'!$B$10,Paramètres!$A$1:$I$89,3,0)*0.475*44/12</f>
        <v>#N/A</v>
      </c>
      <c r="AX133" s="23" t="e">
        <f t="shared" si="114"/>
        <v>#N/A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 t="e">
        <f>BD133*VLOOKUP('Données projet'!$B$11,Paramètres!$A$1:$I$89,3,0)*VLOOKUP('Données projet'!$B$11,Paramètres!$A$1:$I$89,5,0)</f>
        <v>#N/A</v>
      </c>
      <c r="BF133" s="14" t="e">
        <f t="shared" ref="BF133:BF153" si="145">EXP(-1.0587+0.8836*LN(BE133)+0.284)</f>
        <v>#N/A</v>
      </c>
      <c r="BG133" s="22" t="e">
        <f t="shared" si="115"/>
        <v>#N/A</v>
      </c>
      <c r="BH133" s="62" t="e">
        <f t="shared" si="116"/>
        <v>#N/A</v>
      </c>
      <c r="BI133" s="62" t="e">
        <f ca="1">AVERAGE(OFFSET($BH$3,0,0,'Données projet'!$E$11+1,1))-AVERAGE(OFFSET($H$3,0,0,'Données projet'!$E$11+1,1))</f>
        <v>#N/A</v>
      </c>
      <c r="BJ133" s="62" t="e">
        <f t="shared" ref="BJ133:BJ196" si="146">$BJ$3</f>
        <v>#N/A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 t="e">
        <f>EXP(-LN(2)/35)*BP132+(1-EXP(-LN(2)/35))/(LN(2)/35)*BL133*BM133*VLOOKUP('Données projet'!$B$11,Paramètres!$A$1:$I$89,3,0)*0.475*44/12</f>
        <v>#N/A</v>
      </c>
      <c r="BQ133" s="23" t="e">
        <f>EXP(-LN(2)/25)*BQ132+(1-EXP(-LN(2)/25))/(LN(2)/25)*Calculateur!BL133*Calculateur!BN133*VLOOKUP('Données projet'!$B$11,Paramètres!$A$1:$I$89,3,0)*0.475*44/12</f>
        <v>#N/A</v>
      </c>
      <c r="BR133" s="23" t="e">
        <f>EXP(-LN(2)/2)*BR132+(1-EXP(-LN(2)/2))/(LN(2)/2)*BL133*BO133*VLOOKUP('Données projet'!$B$11,Paramètres!$A$1:$I$89,3,0)*0.475*44/12</f>
        <v>#N/A</v>
      </c>
      <c r="BS133" s="24" t="e">
        <f t="shared" si="117"/>
        <v>#N/A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3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64.713999999999984</v>
      </c>
      <c r="D134" s="12">
        <f t="shared" si="140"/>
        <v>18.354819319966147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10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641.23299124184393</v>
      </c>
      <c r="H134" s="70">
        <f t="shared" si="110"/>
        <v>438.01152698227429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-1.1368683772161603E-13</v>
      </c>
      <c r="O134" s="14">
        <f>N134*VLOOKUP('Données projet'!$B$9,Paramètres!$A$1:$I$89,3,0)*VLOOKUP('Données projet'!$B$9,Paramètres!$A$1:$I$89,5,0)</f>
        <v>-6.7984728957526396E-14</v>
      </c>
      <c r="P134" s="14" t="e">
        <f t="shared" si="141"/>
        <v>#NUM!</v>
      </c>
      <c r="Q134" s="22" t="e">
        <f t="shared" si="108"/>
        <v>#NUM!</v>
      </c>
      <c r="R134" s="62" t="e">
        <f t="shared" si="109"/>
        <v>#NUM!</v>
      </c>
      <c r="S134" s="62">
        <f ca="1">AVERAGE(OFFSET($R$3,0,0,'Données projet'!$E$9+1,1))-AVERAGE(OFFSET($H$3,0,0,'Données projet'!$E$9+1,1))</f>
        <v>255.1976414275677</v>
      </c>
      <c r="T134" s="62">
        <f t="shared" si="142"/>
        <v>266.42714758321767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1.5840831571433251</v>
      </c>
      <c r="AA134" s="23">
        <f>EXP(-LN(2)/25)*AA133+(1-EXP(-LN(2)/25))/(LN(2)/25)*Calculateur!V134*Calculateur!X134*VLOOKUP('Données projet'!$B$9,Paramètres!$A$1:$I$89,3,0)*0.475*44/12</f>
        <v>0.80134905105212395</v>
      </c>
      <c r="AB134" s="23">
        <f>EXP(-LN(2)/2)*AB133+(1-EXP(-LN(2)/2))/(LN(2)/2)*V134*Y134*VLOOKUP('Données projet'!$B$9,Paramètres!$A$1:$I$89,3,0)*0.475*44/12</f>
        <v>3.8051269555083871E-15</v>
      </c>
      <c r="AC134" s="24">
        <f t="shared" si="111"/>
        <v>2.3854322081954531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0</v>
      </c>
      <c r="AJ134" s="14" t="e">
        <f>AI134*VLOOKUP('Données projet'!$B$10,Paramètres!$A$1:$I$89,3,0)*VLOOKUP('Données projet'!$B$10,Paramètres!$A$1:$I$89,5,0)</f>
        <v>#N/A</v>
      </c>
      <c r="AK134" s="14" t="e">
        <f t="shared" si="143"/>
        <v>#N/A</v>
      </c>
      <c r="AL134" s="22" t="e">
        <f t="shared" si="112"/>
        <v>#N/A</v>
      </c>
      <c r="AM134" s="62" t="e">
        <f t="shared" si="113"/>
        <v>#N/A</v>
      </c>
      <c r="AN134" s="62" t="e">
        <f ca="1">AVERAGE(OFFSET($AM$3,0,0,'Données projet'!$E$10+1,1))-AVERAGE(OFFSET($H$3,0,0,'Données projet'!$E$10+1,1))</f>
        <v>#N/A</v>
      </c>
      <c r="AO134" s="62" t="e">
        <f t="shared" si="144"/>
        <v>#N/A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 t="e">
        <f>EXP(-LN(2)/35)*AU133+(1-EXP(-LN(2)/35))/(LN(2)/35)*AQ134*AR134*VLOOKUP('Données projet'!$B$10,Paramètres!$A$1:$I$89,3,0)*0.475*44/12</f>
        <v>#N/A</v>
      </c>
      <c r="AV134" s="23" t="e">
        <f>EXP(-LN(2)/25)*AV133+(1-EXP(-LN(2)/25))/(LN(2)/25)*Calculateur!AQ134*Calculateur!AS134*VLOOKUP('Données projet'!$B$10,Paramètres!$A$1:$I$89,3,0)*0.475*44/12</f>
        <v>#N/A</v>
      </c>
      <c r="AW134" s="23" t="e">
        <f>EXP(-LN(2)/2)*AW133+(1-EXP(-LN(2)/2))/(LN(2)/2)*AQ134*AT134*VLOOKUP('Données projet'!$B$10,Paramètres!$A$1:$I$89,3,0)*0.475*44/12</f>
        <v>#N/A</v>
      </c>
      <c r="AX134" s="23" t="e">
        <f t="shared" si="114"/>
        <v>#N/A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 t="e">
        <f>BD134*VLOOKUP('Données projet'!$B$11,Paramètres!$A$1:$I$89,3,0)*VLOOKUP('Données projet'!$B$11,Paramètres!$A$1:$I$89,5,0)</f>
        <v>#N/A</v>
      </c>
      <c r="BF134" s="14" t="e">
        <f t="shared" si="145"/>
        <v>#N/A</v>
      </c>
      <c r="BG134" s="22" t="e">
        <f t="shared" si="115"/>
        <v>#N/A</v>
      </c>
      <c r="BH134" s="62" t="e">
        <f t="shared" si="116"/>
        <v>#N/A</v>
      </c>
      <c r="BI134" s="62" t="e">
        <f ca="1">AVERAGE(OFFSET($BH$3,0,0,'Données projet'!$E$11+1,1))-AVERAGE(OFFSET($H$3,0,0,'Données projet'!$E$11+1,1))</f>
        <v>#N/A</v>
      </c>
      <c r="BJ134" s="62" t="e">
        <f t="shared" si="146"/>
        <v>#N/A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 t="e">
        <f>EXP(-LN(2)/35)*BP133+(1-EXP(-LN(2)/35))/(LN(2)/35)*BL134*BM134*VLOOKUP('Données projet'!$B$11,Paramètres!$A$1:$I$89,3,0)*0.475*44/12</f>
        <v>#N/A</v>
      </c>
      <c r="BQ134" s="23" t="e">
        <f>EXP(-LN(2)/25)*BQ133+(1-EXP(-LN(2)/25))/(LN(2)/25)*Calculateur!BL134*Calculateur!BN134*VLOOKUP('Données projet'!$B$11,Paramètres!$A$1:$I$89,3,0)*0.475*44/12</f>
        <v>#N/A</v>
      </c>
      <c r="BR134" s="23" t="e">
        <f>EXP(-LN(2)/2)*BR133+(1-EXP(-LN(2)/2))/(LN(2)/2)*BL134*BO134*VLOOKUP('Données projet'!$B$11,Paramètres!$A$1:$I$89,3,0)*0.475*44/12</f>
        <v>#N/A</v>
      </c>
      <c r="BS134" s="24" t="e">
        <f t="shared" si="117"/>
        <v>#N/A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3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65.207999999999984</v>
      </c>
      <c r="D135" s="12">
        <f t="shared" si="140"/>
        <v>18.47856842948519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10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646.00158085918383</v>
      </c>
      <c r="H135" s="70">
        <f t="shared" si="110"/>
        <v>439.08744001468665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-1.1368683772161603E-13</v>
      </c>
      <c r="O135" s="14">
        <f>N135*VLOOKUP('Données projet'!$B$9,Paramètres!$A$1:$I$89,3,0)*VLOOKUP('Données projet'!$B$9,Paramètres!$A$1:$I$89,5,0)</f>
        <v>-6.7984728957526396E-14</v>
      </c>
      <c r="P135" s="14" t="e">
        <f t="shared" si="141"/>
        <v>#NUM!</v>
      </c>
      <c r="Q135" s="22" t="e">
        <f t="shared" si="108"/>
        <v>#NUM!</v>
      </c>
      <c r="R135" s="62" t="e">
        <f t="shared" si="109"/>
        <v>#NUM!</v>
      </c>
      <c r="S135" s="62">
        <f ca="1">AVERAGE(OFFSET($R$3,0,0,'Données projet'!$E$9+1,1))-AVERAGE(OFFSET($H$3,0,0,'Données projet'!$E$9+1,1))</f>
        <v>255.1976414275677</v>
      </c>
      <c r="T135" s="62">
        <f t="shared" si="142"/>
        <v>266.42714758321767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1.5530202526270664</v>
      </c>
      <c r="AA135" s="23">
        <f>EXP(-LN(2)/25)*AA134+(1-EXP(-LN(2)/25))/(LN(2)/25)*Calculateur!V135*Calculateur!X135*VLOOKUP('Données projet'!$B$9,Paramètres!$A$1:$I$89,3,0)*0.475*44/12</f>
        <v>0.77943611910998856</v>
      </c>
      <c r="AB135" s="23">
        <f>EXP(-LN(2)/2)*AB134+(1-EXP(-LN(2)/2))/(LN(2)/2)*V135*Y135*VLOOKUP('Données projet'!$B$9,Paramètres!$A$1:$I$89,3,0)*0.475*44/12</f>
        <v>2.6906310735157029E-15</v>
      </c>
      <c r="AC135" s="24">
        <f t="shared" si="111"/>
        <v>2.3324563717370577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0</v>
      </c>
      <c r="AJ135" s="14" t="e">
        <f>AI135*VLOOKUP('Données projet'!$B$10,Paramètres!$A$1:$I$89,3,0)*VLOOKUP('Données projet'!$B$10,Paramètres!$A$1:$I$89,5,0)</f>
        <v>#N/A</v>
      </c>
      <c r="AK135" s="14" t="e">
        <f t="shared" si="143"/>
        <v>#N/A</v>
      </c>
      <c r="AL135" s="22" t="e">
        <f t="shared" si="112"/>
        <v>#N/A</v>
      </c>
      <c r="AM135" s="62" t="e">
        <f t="shared" si="113"/>
        <v>#N/A</v>
      </c>
      <c r="AN135" s="62" t="e">
        <f ca="1">AVERAGE(OFFSET($AM$3,0,0,'Données projet'!$E$10+1,1))-AVERAGE(OFFSET($H$3,0,0,'Données projet'!$E$10+1,1))</f>
        <v>#N/A</v>
      </c>
      <c r="AO135" s="62" t="e">
        <f t="shared" si="144"/>
        <v>#N/A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 t="e">
        <f>EXP(-LN(2)/35)*AU134+(1-EXP(-LN(2)/35))/(LN(2)/35)*AQ135*AR135*VLOOKUP('Données projet'!$B$10,Paramètres!$A$1:$I$89,3,0)*0.475*44/12</f>
        <v>#N/A</v>
      </c>
      <c r="AV135" s="23" t="e">
        <f>EXP(-LN(2)/25)*AV134+(1-EXP(-LN(2)/25))/(LN(2)/25)*Calculateur!AQ135*Calculateur!AS135*VLOOKUP('Données projet'!$B$10,Paramètres!$A$1:$I$89,3,0)*0.475*44/12</f>
        <v>#N/A</v>
      </c>
      <c r="AW135" s="23" t="e">
        <f>EXP(-LN(2)/2)*AW134+(1-EXP(-LN(2)/2))/(LN(2)/2)*AQ135*AT135*VLOOKUP('Données projet'!$B$10,Paramètres!$A$1:$I$89,3,0)*0.475*44/12</f>
        <v>#N/A</v>
      </c>
      <c r="AX135" s="23" t="e">
        <f t="shared" si="114"/>
        <v>#N/A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 t="e">
        <f>BD135*VLOOKUP('Données projet'!$B$11,Paramètres!$A$1:$I$89,3,0)*VLOOKUP('Données projet'!$B$11,Paramètres!$A$1:$I$89,5,0)</f>
        <v>#N/A</v>
      </c>
      <c r="BF135" s="14" t="e">
        <f t="shared" si="145"/>
        <v>#N/A</v>
      </c>
      <c r="BG135" s="22" t="e">
        <f t="shared" si="115"/>
        <v>#N/A</v>
      </c>
      <c r="BH135" s="62" t="e">
        <f t="shared" si="116"/>
        <v>#N/A</v>
      </c>
      <c r="BI135" s="62" t="e">
        <f ca="1">AVERAGE(OFFSET($BH$3,0,0,'Données projet'!$E$11+1,1))-AVERAGE(OFFSET($H$3,0,0,'Données projet'!$E$11+1,1))</f>
        <v>#N/A</v>
      </c>
      <c r="BJ135" s="62" t="e">
        <f t="shared" si="146"/>
        <v>#N/A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 t="e">
        <f>EXP(-LN(2)/35)*BP134+(1-EXP(-LN(2)/35))/(LN(2)/35)*BL135*BM135*VLOOKUP('Données projet'!$B$11,Paramètres!$A$1:$I$89,3,0)*0.475*44/12</f>
        <v>#N/A</v>
      </c>
      <c r="BQ135" s="23" t="e">
        <f>EXP(-LN(2)/25)*BQ134+(1-EXP(-LN(2)/25))/(LN(2)/25)*Calculateur!BL135*Calculateur!BN135*VLOOKUP('Données projet'!$B$11,Paramètres!$A$1:$I$89,3,0)*0.475*44/12</f>
        <v>#N/A</v>
      </c>
      <c r="BR135" s="23" t="e">
        <f>EXP(-LN(2)/2)*BR134+(1-EXP(-LN(2)/2))/(LN(2)/2)*BL135*BO135*VLOOKUP('Données projet'!$B$11,Paramètres!$A$1:$I$89,3,0)*0.475*44/12</f>
        <v>#N/A</v>
      </c>
      <c r="BS135" s="24" t="e">
        <f t="shared" si="117"/>
        <v>#N/A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3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65.701999999999984</v>
      </c>
      <c r="D136" s="12">
        <f t="shared" si="140"/>
        <v>18.60220846178558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10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650.76932847694115</v>
      </c>
      <c r="H136" s="70">
        <f t="shared" si="110"/>
        <v>440.16316307094314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-1.1368683772161603E-13</v>
      </c>
      <c r="O136" s="14">
        <f>N136*VLOOKUP('Données projet'!$B$9,Paramètres!$A$1:$I$89,3,0)*VLOOKUP('Données projet'!$B$9,Paramètres!$A$1:$I$89,5,0)</f>
        <v>-6.7984728957526396E-14</v>
      </c>
      <c r="P136" s="14" t="e">
        <f t="shared" si="141"/>
        <v>#NUM!</v>
      </c>
      <c r="Q136" s="22" t="e">
        <f t="shared" si="108"/>
        <v>#NUM!</v>
      </c>
      <c r="R136" s="62" t="e">
        <f t="shared" si="109"/>
        <v>#NUM!</v>
      </c>
      <c r="S136" s="62">
        <f ca="1">AVERAGE(OFFSET($R$3,0,0,'Données projet'!$E$9+1,1))-AVERAGE(OFFSET($H$3,0,0,'Données projet'!$E$9+1,1))</f>
        <v>255.1976414275677</v>
      </c>
      <c r="T136" s="62">
        <f t="shared" si="142"/>
        <v>266.42714758321767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1.5225664727218706</v>
      </c>
      <c r="AA136" s="23">
        <f>EXP(-LN(2)/25)*AA135+(1-EXP(-LN(2)/25))/(LN(2)/25)*Calculateur!V136*Calculateur!X136*VLOOKUP('Données projet'!$B$9,Paramètres!$A$1:$I$89,3,0)*0.475*44/12</f>
        <v>0.75812239744416188</v>
      </c>
      <c r="AB136" s="23">
        <f>EXP(-LN(2)/2)*AB135+(1-EXP(-LN(2)/2))/(LN(2)/2)*V136*Y136*VLOOKUP('Données projet'!$B$9,Paramètres!$A$1:$I$89,3,0)*0.475*44/12</f>
        <v>1.9025634777541935E-15</v>
      </c>
      <c r="AC136" s="24">
        <f t="shared" si="111"/>
        <v>2.2806888701660344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0</v>
      </c>
      <c r="AJ136" s="14" t="e">
        <f>AI136*VLOOKUP('Données projet'!$B$10,Paramètres!$A$1:$I$89,3,0)*VLOOKUP('Données projet'!$B$10,Paramètres!$A$1:$I$89,5,0)</f>
        <v>#N/A</v>
      </c>
      <c r="AK136" s="14" t="e">
        <f t="shared" si="143"/>
        <v>#N/A</v>
      </c>
      <c r="AL136" s="22" t="e">
        <f t="shared" si="112"/>
        <v>#N/A</v>
      </c>
      <c r="AM136" s="62" t="e">
        <f t="shared" si="113"/>
        <v>#N/A</v>
      </c>
      <c r="AN136" s="62" t="e">
        <f ca="1">AVERAGE(OFFSET($AM$3,0,0,'Données projet'!$E$10+1,1))-AVERAGE(OFFSET($H$3,0,0,'Données projet'!$E$10+1,1))</f>
        <v>#N/A</v>
      </c>
      <c r="AO136" s="62" t="e">
        <f t="shared" si="144"/>
        <v>#N/A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 t="e">
        <f>EXP(-LN(2)/35)*AU135+(1-EXP(-LN(2)/35))/(LN(2)/35)*AQ136*AR136*VLOOKUP('Données projet'!$B$10,Paramètres!$A$1:$I$89,3,0)*0.475*44/12</f>
        <v>#N/A</v>
      </c>
      <c r="AV136" s="23" t="e">
        <f>EXP(-LN(2)/25)*AV135+(1-EXP(-LN(2)/25))/(LN(2)/25)*Calculateur!AQ136*Calculateur!AS136*VLOOKUP('Données projet'!$B$10,Paramètres!$A$1:$I$89,3,0)*0.475*44/12</f>
        <v>#N/A</v>
      </c>
      <c r="AW136" s="23" t="e">
        <f>EXP(-LN(2)/2)*AW135+(1-EXP(-LN(2)/2))/(LN(2)/2)*AQ136*AT136*VLOOKUP('Données projet'!$B$10,Paramètres!$A$1:$I$89,3,0)*0.475*44/12</f>
        <v>#N/A</v>
      </c>
      <c r="AX136" s="23" t="e">
        <f t="shared" si="114"/>
        <v>#N/A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 t="e">
        <f>BD136*VLOOKUP('Données projet'!$B$11,Paramètres!$A$1:$I$89,3,0)*VLOOKUP('Données projet'!$B$11,Paramètres!$A$1:$I$89,5,0)</f>
        <v>#N/A</v>
      </c>
      <c r="BF136" s="14" t="e">
        <f t="shared" si="145"/>
        <v>#N/A</v>
      </c>
      <c r="BG136" s="22" t="e">
        <f t="shared" si="115"/>
        <v>#N/A</v>
      </c>
      <c r="BH136" s="62" t="e">
        <f t="shared" si="116"/>
        <v>#N/A</v>
      </c>
      <c r="BI136" s="62" t="e">
        <f ca="1">AVERAGE(OFFSET($BH$3,0,0,'Données projet'!$E$11+1,1))-AVERAGE(OFFSET($H$3,0,0,'Données projet'!$E$11+1,1))</f>
        <v>#N/A</v>
      </c>
      <c r="BJ136" s="62" t="e">
        <f t="shared" si="146"/>
        <v>#N/A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 t="e">
        <f>EXP(-LN(2)/35)*BP135+(1-EXP(-LN(2)/35))/(LN(2)/35)*BL136*BM136*VLOOKUP('Données projet'!$B$11,Paramètres!$A$1:$I$89,3,0)*0.475*44/12</f>
        <v>#N/A</v>
      </c>
      <c r="BQ136" s="23" t="e">
        <f>EXP(-LN(2)/25)*BQ135+(1-EXP(-LN(2)/25))/(LN(2)/25)*Calculateur!BL136*Calculateur!BN136*VLOOKUP('Données projet'!$B$11,Paramètres!$A$1:$I$89,3,0)*0.475*44/12</f>
        <v>#N/A</v>
      </c>
      <c r="BR136" s="23" t="e">
        <f>EXP(-LN(2)/2)*BR135+(1-EXP(-LN(2)/2))/(LN(2)/2)*BL136*BO136*VLOOKUP('Données projet'!$B$11,Paramètres!$A$1:$I$89,3,0)*0.475*44/12</f>
        <v>#N/A</v>
      </c>
      <c r="BS136" s="24" t="e">
        <f t="shared" si="117"/>
        <v>#N/A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3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66.195999999999984</v>
      </c>
      <c r="D137" s="12">
        <f t="shared" si="140"/>
        <v>18.725740332076615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10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655.53624115988953</v>
      </c>
      <c r="H137" s="70">
        <f t="shared" si="110"/>
        <v>441.23869774503339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-1.1368683772161603E-13</v>
      </c>
      <c r="O137" s="14">
        <f>N137*VLOOKUP('Données projet'!$B$9,Paramètres!$A$1:$I$89,3,0)*VLOOKUP('Données projet'!$B$9,Paramètres!$A$1:$I$89,5,0)</f>
        <v>-6.7984728957526396E-14</v>
      </c>
      <c r="P137" s="14" t="e">
        <f t="shared" si="141"/>
        <v>#NUM!</v>
      </c>
      <c r="Q137" s="22" t="e">
        <f t="shared" si="108"/>
        <v>#NUM!</v>
      </c>
      <c r="R137" s="62" t="e">
        <f t="shared" si="109"/>
        <v>#NUM!</v>
      </c>
      <c r="S137" s="62">
        <f ca="1">AVERAGE(OFFSET($R$3,0,0,'Données projet'!$E$9+1,1))-AVERAGE(OFFSET($H$3,0,0,'Données projet'!$E$9+1,1))</f>
        <v>255.1976414275677</v>
      </c>
      <c r="T137" s="62">
        <f t="shared" si="142"/>
        <v>266.42714758321767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1.4927098728656443</v>
      </c>
      <c r="AA137" s="23">
        <f>EXP(-LN(2)/25)*AA136+(1-EXP(-LN(2)/25))/(LN(2)/25)*Calculateur!V137*Calculateur!X137*VLOOKUP('Données projet'!$B$9,Paramètres!$A$1:$I$89,3,0)*0.475*44/12</f>
        <v>0.73739150061812708</v>
      </c>
      <c r="AB137" s="23">
        <f>EXP(-LN(2)/2)*AB136+(1-EXP(-LN(2)/2))/(LN(2)/2)*V137*Y137*VLOOKUP('Données projet'!$B$9,Paramètres!$A$1:$I$89,3,0)*0.475*44/12</f>
        <v>1.3453155367578514E-15</v>
      </c>
      <c r="AC137" s="24">
        <f t="shared" si="111"/>
        <v>2.2301013734837727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0</v>
      </c>
      <c r="AJ137" s="14" t="e">
        <f>AI137*VLOOKUP('Données projet'!$B$10,Paramètres!$A$1:$I$89,3,0)*VLOOKUP('Données projet'!$B$10,Paramètres!$A$1:$I$89,5,0)</f>
        <v>#N/A</v>
      </c>
      <c r="AK137" s="14" t="e">
        <f t="shared" si="143"/>
        <v>#N/A</v>
      </c>
      <c r="AL137" s="22" t="e">
        <f t="shared" si="112"/>
        <v>#N/A</v>
      </c>
      <c r="AM137" s="62" t="e">
        <f t="shared" si="113"/>
        <v>#N/A</v>
      </c>
      <c r="AN137" s="62" t="e">
        <f ca="1">AVERAGE(OFFSET($AM$3,0,0,'Données projet'!$E$10+1,1))-AVERAGE(OFFSET($H$3,0,0,'Données projet'!$E$10+1,1))</f>
        <v>#N/A</v>
      </c>
      <c r="AO137" s="62" t="e">
        <f t="shared" si="144"/>
        <v>#N/A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 t="e">
        <f>EXP(-LN(2)/35)*AU136+(1-EXP(-LN(2)/35))/(LN(2)/35)*AQ137*AR137*VLOOKUP('Données projet'!$B$10,Paramètres!$A$1:$I$89,3,0)*0.475*44/12</f>
        <v>#N/A</v>
      </c>
      <c r="AV137" s="23" t="e">
        <f>EXP(-LN(2)/25)*AV136+(1-EXP(-LN(2)/25))/(LN(2)/25)*Calculateur!AQ137*Calculateur!AS137*VLOOKUP('Données projet'!$B$10,Paramètres!$A$1:$I$89,3,0)*0.475*44/12</f>
        <v>#N/A</v>
      </c>
      <c r="AW137" s="23" t="e">
        <f>EXP(-LN(2)/2)*AW136+(1-EXP(-LN(2)/2))/(LN(2)/2)*AQ137*AT137*VLOOKUP('Données projet'!$B$10,Paramètres!$A$1:$I$89,3,0)*0.475*44/12</f>
        <v>#N/A</v>
      </c>
      <c r="AX137" s="23" t="e">
        <f t="shared" si="114"/>
        <v>#N/A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 t="e">
        <f>BD137*VLOOKUP('Données projet'!$B$11,Paramètres!$A$1:$I$89,3,0)*VLOOKUP('Données projet'!$B$11,Paramètres!$A$1:$I$89,5,0)</f>
        <v>#N/A</v>
      </c>
      <c r="BF137" s="14" t="e">
        <f t="shared" si="145"/>
        <v>#N/A</v>
      </c>
      <c r="BG137" s="22" t="e">
        <f t="shared" si="115"/>
        <v>#N/A</v>
      </c>
      <c r="BH137" s="62" t="e">
        <f t="shared" si="116"/>
        <v>#N/A</v>
      </c>
      <c r="BI137" s="62" t="e">
        <f ca="1">AVERAGE(OFFSET($BH$3,0,0,'Données projet'!$E$11+1,1))-AVERAGE(OFFSET($H$3,0,0,'Données projet'!$E$11+1,1))</f>
        <v>#N/A</v>
      </c>
      <c r="BJ137" s="62" t="e">
        <f t="shared" si="146"/>
        <v>#N/A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 t="e">
        <f>EXP(-LN(2)/35)*BP136+(1-EXP(-LN(2)/35))/(LN(2)/35)*BL137*BM137*VLOOKUP('Données projet'!$B$11,Paramètres!$A$1:$I$89,3,0)*0.475*44/12</f>
        <v>#N/A</v>
      </c>
      <c r="BQ137" s="23" t="e">
        <f>EXP(-LN(2)/25)*BQ136+(1-EXP(-LN(2)/25))/(LN(2)/25)*Calculateur!BL137*Calculateur!BN137*VLOOKUP('Données projet'!$B$11,Paramètres!$A$1:$I$89,3,0)*0.475*44/12</f>
        <v>#N/A</v>
      </c>
      <c r="BR137" s="23" t="e">
        <f>EXP(-LN(2)/2)*BR136+(1-EXP(-LN(2)/2))/(LN(2)/2)*BL137*BO137*VLOOKUP('Données projet'!$B$11,Paramètres!$A$1:$I$89,3,0)*0.475*44/12</f>
        <v>#N/A</v>
      </c>
      <c r="BS137" s="24" t="e">
        <f t="shared" si="117"/>
        <v>#N/A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3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66.689999999999984</v>
      </c>
      <c r="D138" s="12">
        <f t="shared" si="140"/>
        <v>18.849164941118623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10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660.30232586126647</v>
      </c>
      <c r="H138" s="70">
        <f t="shared" si="110"/>
        <v>442.31404560578153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-1.1368683772161603E-13</v>
      </c>
      <c r="O138" s="14">
        <f>N138*VLOOKUP('Données projet'!$B$9,Paramètres!$A$1:$I$89,3,0)*VLOOKUP('Données projet'!$B$9,Paramètres!$A$1:$I$89,5,0)</f>
        <v>-6.7984728957526396E-14</v>
      </c>
      <c r="P138" s="14" t="e">
        <f t="shared" si="141"/>
        <v>#NUM!</v>
      </c>
      <c r="Q138" s="22" t="e">
        <f t="shared" si="108"/>
        <v>#NUM!</v>
      </c>
      <c r="R138" s="62" t="e">
        <f t="shared" si="109"/>
        <v>#NUM!</v>
      </c>
      <c r="S138" s="62">
        <f ca="1">AVERAGE(OFFSET($R$3,0,0,'Données projet'!$E$9+1,1))-AVERAGE(OFFSET($H$3,0,0,'Données projet'!$E$9+1,1))</f>
        <v>255.1976414275677</v>
      </c>
      <c r="T138" s="62">
        <f t="shared" si="142"/>
        <v>266.42714758321767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1.4634387427218707</v>
      </c>
      <c r="AA138" s="23">
        <f>EXP(-LN(2)/25)*AA137+(1-EXP(-LN(2)/25))/(LN(2)/25)*Calculateur!V138*Calculateur!X138*VLOOKUP('Données projet'!$B$9,Paramètres!$A$1:$I$89,3,0)*0.475*44/12</f>
        <v>0.71722749125599072</v>
      </c>
      <c r="AB138" s="23">
        <f>EXP(-LN(2)/2)*AB137+(1-EXP(-LN(2)/2))/(LN(2)/2)*V138*Y138*VLOOKUP('Données projet'!$B$9,Paramètres!$A$1:$I$89,3,0)*0.475*44/12</f>
        <v>9.5128173887709676E-16</v>
      </c>
      <c r="AC138" s="24">
        <f t="shared" si="111"/>
        <v>2.1806662339778624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0</v>
      </c>
      <c r="AJ138" s="14" t="e">
        <f>AI138*VLOOKUP('Données projet'!$B$10,Paramètres!$A$1:$I$89,3,0)*VLOOKUP('Données projet'!$B$10,Paramètres!$A$1:$I$89,5,0)</f>
        <v>#N/A</v>
      </c>
      <c r="AK138" s="14" t="e">
        <f t="shared" si="143"/>
        <v>#N/A</v>
      </c>
      <c r="AL138" s="22" t="e">
        <f t="shared" si="112"/>
        <v>#N/A</v>
      </c>
      <c r="AM138" s="62" t="e">
        <f t="shared" si="113"/>
        <v>#N/A</v>
      </c>
      <c r="AN138" s="62" t="e">
        <f ca="1">AVERAGE(OFFSET($AM$3,0,0,'Données projet'!$E$10+1,1))-AVERAGE(OFFSET($H$3,0,0,'Données projet'!$E$10+1,1))</f>
        <v>#N/A</v>
      </c>
      <c r="AO138" s="62" t="e">
        <f t="shared" si="144"/>
        <v>#N/A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 t="e">
        <f>EXP(-LN(2)/35)*AU137+(1-EXP(-LN(2)/35))/(LN(2)/35)*AQ138*AR138*VLOOKUP('Données projet'!$B$10,Paramètres!$A$1:$I$89,3,0)*0.475*44/12</f>
        <v>#N/A</v>
      </c>
      <c r="AV138" s="23" t="e">
        <f>EXP(-LN(2)/25)*AV137+(1-EXP(-LN(2)/25))/(LN(2)/25)*Calculateur!AQ138*Calculateur!AS138*VLOOKUP('Données projet'!$B$10,Paramètres!$A$1:$I$89,3,0)*0.475*44/12</f>
        <v>#N/A</v>
      </c>
      <c r="AW138" s="23" t="e">
        <f>EXP(-LN(2)/2)*AW137+(1-EXP(-LN(2)/2))/(LN(2)/2)*AQ138*AT138*VLOOKUP('Données projet'!$B$10,Paramètres!$A$1:$I$89,3,0)*0.475*44/12</f>
        <v>#N/A</v>
      </c>
      <c r="AX138" s="23" t="e">
        <f t="shared" si="114"/>
        <v>#N/A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 t="e">
        <f>BD138*VLOOKUP('Données projet'!$B$11,Paramètres!$A$1:$I$89,3,0)*VLOOKUP('Données projet'!$B$11,Paramètres!$A$1:$I$89,5,0)</f>
        <v>#N/A</v>
      </c>
      <c r="BF138" s="14" t="e">
        <f t="shared" si="145"/>
        <v>#N/A</v>
      </c>
      <c r="BG138" s="22" t="e">
        <f t="shared" si="115"/>
        <v>#N/A</v>
      </c>
      <c r="BH138" s="62" t="e">
        <f t="shared" si="116"/>
        <v>#N/A</v>
      </c>
      <c r="BI138" s="62" t="e">
        <f ca="1">AVERAGE(OFFSET($BH$3,0,0,'Données projet'!$E$11+1,1))-AVERAGE(OFFSET($H$3,0,0,'Données projet'!$E$11+1,1))</f>
        <v>#N/A</v>
      </c>
      <c r="BJ138" s="62" t="e">
        <f t="shared" si="146"/>
        <v>#N/A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 t="e">
        <f>EXP(-LN(2)/35)*BP137+(1-EXP(-LN(2)/35))/(LN(2)/35)*BL138*BM138*VLOOKUP('Données projet'!$B$11,Paramètres!$A$1:$I$89,3,0)*0.475*44/12</f>
        <v>#N/A</v>
      </c>
      <c r="BQ138" s="23" t="e">
        <f>EXP(-LN(2)/25)*BQ137+(1-EXP(-LN(2)/25))/(LN(2)/25)*Calculateur!BL138*Calculateur!BN138*VLOOKUP('Données projet'!$B$11,Paramètres!$A$1:$I$89,3,0)*0.475*44/12</f>
        <v>#N/A</v>
      </c>
      <c r="BR138" s="23" t="e">
        <f>EXP(-LN(2)/2)*BR137+(1-EXP(-LN(2)/2))/(LN(2)/2)*BL138*BO138*VLOOKUP('Données projet'!$B$11,Paramètres!$A$1:$I$89,3,0)*0.475*44/12</f>
        <v>#N/A</v>
      </c>
      <c r="BS138" s="24" t="e">
        <f t="shared" si="117"/>
        <v>#N/A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3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67.183999999999983</v>
      </c>
      <c r="D139" s="12">
        <f t="shared" si="140"/>
        <v>18.972483175556398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10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665.06758942534759</v>
      </c>
      <c r="H139" s="70">
        <f t="shared" si="110"/>
        <v>443.38920819742737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-1.1368683772161603E-13</v>
      </c>
      <c r="O139" s="14">
        <f>N139*VLOOKUP('Données projet'!$B$9,Paramètres!$A$1:$I$89,3,0)*VLOOKUP('Données projet'!$B$9,Paramètres!$A$1:$I$89,5,0)</f>
        <v>-6.7984728957526396E-14</v>
      </c>
      <c r="P139" s="14" t="e">
        <f t="shared" si="141"/>
        <v>#NUM!</v>
      </c>
      <c r="Q139" s="22" t="e">
        <f t="shared" si="108"/>
        <v>#NUM!</v>
      </c>
      <c r="R139" s="62" t="e">
        <f t="shared" si="109"/>
        <v>#NUM!</v>
      </c>
      <c r="S139" s="62">
        <f ca="1">AVERAGE(OFFSET($R$3,0,0,'Données projet'!$E$9+1,1))-AVERAGE(OFFSET($H$3,0,0,'Données projet'!$E$9+1,1))</f>
        <v>255.1976414275677</v>
      </c>
      <c r="T139" s="62">
        <f t="shared" si="142"/>
        <v>266.42714758321767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1.4347416015865899</v>
      </c>
      <c r="AA139" s="23">
        <f>EXP(-LN(2)/25)*AA138+(1-EXP(-LN(2)/25))/(LN(2)/25)*Calculateur!V139*Calculateur!X139*VLOOKUP('Données projet'!$B$9,Paramètres!$A$1:$I$89,3,0)*0.475*44/12</f>
        <v>0.69761486779024118</v>
      </c>
      <c r="AB139" s="23">
        <f>EXP(-LN(2)/2)*AB138+(1-EXP(-LN(2)/2))/(LN(2)/2)*V139*Y139*VLOOKUP('Données projet'!$B$9,Paramètres!$A$1:$I$89,3,0)*0.475*44/12</f>
        <v>6.7265776837892572E-16</v>
      </c>
      <c r="AC139" s="24">
        <f t="shared" si="111"/>
        <v>2.1323564693768322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0</v>
      </c>
      <c r="AJ139" s="14" t="e">
        <f>AI139*VLOOKUP('Données projet'!$B$10,Paramètres!$A$1:$I$89,3,0)*VLOOKUP('Données projet'!$B$10,Paramètres!$A$1:$I$89,5,0)</f>
        <v>#N/A</v>
      </c>
      <c r="AK139" s="14" t="e">
        <f t="shared" si="143"/>
        <v>#N/A</v>
      </c>
      <c r="AL139" s="22" t="e">
        <f t="shared" si="112"/>
        <v>#N/A</v>
      </c>
      <c r="AM139" s="62" t="e">
        <f t="shared" si="113"/>
        <v>#N/A</v>
      </c>
      <c r="AN139" s="62" t="e">
        <f ca="1">AVERAGE(OFFSET($AM$3,0,0,'Données projet'!$E$10+1,1))-AVERAGE(OFFSET($H$3,0,0,'Données projet'!$E$10+1,1))</f>
        <v>#N/A</v>
      </c>
      <c r="AO139" s="62" t="e">
        <f t="shared" si="144"/>
        <v>#N/A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 t="e">
        <f>EXP(-LN(2)/35)*AU138+(1-EXP(-LN(2)/35))/(LN(2)/35)*AQ139*AR139*VLOOKUP('Données projet'!$B$10,Paramètres!$A$1:$I$89,3,0)*0.475*44/12</f>
        <v>#N/A</v>
      </c>
      <c r="AV139" s="23" t="e">
        <f>EXP(-LN(2)/25)*AV138+(1-EXP(-LN(2)/25))/(LN(2)/25)*Calculateur!AQ139*Calculateur!AS139*VLOOKUP('Données projet'!$B$10,Paramètres!$A$1:$I$89,3,0)*0.475*44/12</f>
        <v>#N/A</v>
      </c>
      <c r="AW139" s="23" t="e">
        <f>EXP(-LN(2)/2)*AW138+(1-EXP(-LN(2)/2))/(LN(2)/2)*AQ139*AT139*VLOOKUP('Données projet'!$B$10,Paramètres!$A$1:$I$89,3,0)*0.475*44/12</f>
        <v>#N/A</v>
      </c>
      <c r="AX139" s="23" t="e">
        <f t="shared" si="114"/>
        <v>#N/A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 t="e">
        <f>BD139*VLOOKUP('Données projet'!$B$11,Paramètres!$A$1:$I$89,3,0)*VLOOKUP('Données projet'!$B$11,Paramètres!$A$1:$I$89,5,0)</f>
        <v>#N/A</v>
      </c>
      <c r="BF139" s="14" t="e">
        <f t="shared" si="145"/>
        <v>#N/A</v>
      </c>
      <c r="BG139" s="22" t="e">
        <f t="shared" si="115"/>
        <v>#N/A</v>
      </c>
      <c r="BH139" s="62" t="e">
        <f t="shared" si="116"/>
        <v>#N/A</v>
      </c>
      <c r="BI139" s="62" t="e">
        <f ca="1">AVERAGE(OFFSET($BH$3,0,0,'Données projet'!$E$11+1,1))-AVERAGE(OFFSET($H$3,0,0,'Données projet'!$E$11+1,1))</f>
        <v>#N/A</v>
      </c>
      <c r="BJ139" s="62" t="e">
        <f t="shared" si="146"/>
        <v>#N/A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 t="e">
        <f>EXP(-LN(2)/35)*BP138+(1-EXP(-LN(2)/35))/(LN(2)/35)*BL139*BM139*VLOOKUP('Données projet'!$B$11,Paramètres!$A$1:$I$89,3,0)*0.475*44/12</f>
        <v>#N/A</v>
      </c>
      <c r="BQ139" s="23" t="e">
        <f>EXP(-LN(2)/25)*BQ138+(1-EXP(-LN(2)/25))/(LN(2)/25)*Calculateur!BL139*Calculateur!BN139*VLOOKUP('Données projet'!$B$11,Paramètres!$A$1:$I$89,3,0)*0.475*44/12</f>
        <v>#N/A</v>
      </c>
      <c r="BR139" s="23" t="e">
        <f>EXP(-LN(2)/2)*BR138+(1-EXP(-LN(2)/2))/(LN(2)/2)*BL139*BO139*VLOOKUP('Données projet'!$B$11,Paramètres!$A$1:$I$89,3,0)*0.475*44/12</f>
        <v>#N/A</v>
      </c>
      <c r="BS139" s="24" t="e">
        <f t="shared" si="117"/>
        <v>#N/A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3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67.677999999999983</v>
      </c>
      <c r="D140" s="12">
        <f t="shared" si="140"/>
        <v>19.09569590824248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10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669.83203858994182</v>
      </c>
      <c r="H140" s="70">
        <f t="shared" si="110"/>
        <v>444.4641870401889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-1.1368683772161603E-13</v>
      </c>
      <c r="O140" s="14">
        <f>N140*VLOOKUP('Données projet'!$B$9,Paramètres!$A$1:$I$89,3,0)*VLOOKUP('Données projet'!$B$9,Paramètres!$A$1:$I$89,5,0)</f>
        <v>-6.7984728957526396E-14</v>
      </c>
      <c r="P140" s="14" t="e">
        <f t="shared" si="141"/>
        <v>#NUM!</v>
      </c>
      <c r="Q140" s="22" t="e">
        <f t="shared" si="108"/>
        <v>#NUM!</v>
      </c>
      <c r="R140" s="62" t="e">
        <f t="shared" si="109"/>
        <v>#NUM!</v>
      </c>
      <c r="S140" s="62">
        <f ca="1">AVERAGE(OFFSET($R$3,0,0,'Données projet'!$E$9+1,1))-AVERAGE(OFFSET($H$3,0,0,'Données projet'!$E$9+1,1))</f>
        <v>255.1976414275677</v>
      </c>
      <c r="T140" s="62">
        <f t="shared" si="142"/>
        <v>266.42714758321767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1.4066071938854443</v>
      </c>
      <c r="AA140" s="23">
        <f>EXP(-LN(2)/25)*AA139+(1-EXP(-LN(2)/25))/(LN(2)/25)*Calculateur!V140*Calculateur!X140*VLOOKUP('Données projet'!$B$9,Paramètres!$A$1:$I$89,3,0)*0.475*44/12</f>
        <v>0.67853855254454554</v>
      </c>
      <c r="AB140" s="23">
        <f>EXP(-LN(2)/2)*AB139+(1-EXP(-LN(2)/2))/(LN(2)/2)*V140*Y140*VLOOKUP('Données projet'!$B$9,Paramètres!$A$1:$I$89,3,0)*0.475*44/12</f>
        <v>4.7564086943854838E-16</v>
      </c>
      <c r="AC140" s="24">
        <f t="shared" si="111"/>
        <v>2.0851457464299901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0</v>
      </c>
      <c r="AJ140" s="14" t="e">
        <f>AI140*VLOOKUP('Données projet'!$B$10,Paramètres!$A$1:$I$89,3,0)*VLOOKUP('Données projet'!$B$10,Paramètres!$A$1:$I$89,5,0)</f>
        <v>#N/A</v>
      </c>
      <c r="AK140" s="14" t="e">
        <f t="shared" si="143"/>
        <v>#N/A</v>
      </c>
      <c r="AL140" s="22" t="e">
        <f t="shared" si="112"/>
        <v>#N/A</v>
      </c>
      <c r="AM140" s="62" t="e">
        <f t="shared" si="113"/>
        <v>#N/A</v>
      </c>
      <c r="AN140" s="62" t="e">
        <f ca="1">AVERAGE(OFFSET($AM$3,0,0,'Données projet'!$E$10+1,1))-AVERAGE(OFFSET($H$3,0,0,'Données projet'!$E$10+1,1))</f>
        <v>#N/A</v>
      </c>
      <c r="AO140" s="62" t="e">
        <f t="shared" si="144"/>
        <v>#N/A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 t="e">
        <f>EXP(-LN(2)/35)*AU139+(1-EXP(-LN(2)/35))/(LN(2)/35)*AQ140*AR140*VLOOKUP('Données projet'!$B$10,Paramètres!$A$1:$I$89,3,0)*0.475*44/12</f>
        <v>#N/A</v>
      </c>
      <c r="AV140" s="23" t="e">
        <f>EXP(-LN(2)/25)*AV139+(1-EXP(-LN(2)/25))/(LN(2)/25)*Calculateur!AQ140*Calculateur!AS140*VLOOKUP('Données projet'!$B$10,Paramètres!$A$1:$I$89,3,0)*0.475*44/12</f>
        <v>#N/A</v>
      </c>
      <c r="AW140" s="23" t="e">
        <f>EXP(-LN(2)/2)*AW139+(1-EXP(-LN(2)/2))/(LN(2)/2)*AQ140*AT140*VLOOKUP('Données projet'!$B$10,Paramètres!$A$1:$I$89,3,0)*0.475*44/12</f>
        <v>#N/A</v>
      </c>
      <c r="AX140" s="23" t="e">
        <f t="shared" si="114"/>
        <v>#N/A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 t="e">
        <f>BD140*VLOOKUP('Données projet'!$B$11,Paramètres!$A$1:$I$89,3,0)*VLOOKUP('Données projet'!$B$11,Paramètres!$A$1:$I$89,5,0)</f>
        <v>#N/A</v>
      </c>
      <c r="BF140" s="14" t="e">
        <f t="shared" si="145"/>
        <v>#N/A</v>
      </c>
      <c r="BG140" s="22" t="e">
        <f t="shared" si="115"/>
        <v>#N/A</v>
      </c>
      <c r="BH140" s="62" t="e">
        <f t="shared" si="116"/>
        <v>#N/A</v>
      </c>
      <c r="BI140" s="62" t="e">
        <f ca="1">AVERAGE(OFFSET($BH$3,0,0,'Données projet'!$E$11+1,1))-AVERAGE(OFFSET($H$3,0,0,'Données projet'!$E$11+1,1))</f>
        <v>#N/A</v>
      </c>
      <c r="BJ140" s="62" t="e">
        <f t="shared" si="146"/>
        <v>#N/A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 t="e">
        <f>EXP(-LN(2)/35)*BP139+(1-EXP(-LN(2)/35))/(LN(2)/35)*BL140*BM140*VLOOKUP('Données projet'!$B$11,Paramètres!$A$1:$I$89,3,0)*0.475*44/12</f>
        <v>#N/A</v>
      </c>
      <c r="BQ140" s="23" t="e">
        <f>EXP(-LN(2)/25)*BQ139+(1-EXP(-LN(2)/25))/(LN(2)/25)*Calculateur!BL140*Calculateur!BN140*VLOOKUP('Données projet'!$B$11,Paramètres!$A$1:$I$89,3,0)*0.475*44/12</f>
        <v>#N/A</v>
      </c>
      <c r="BR140" s="23" t="e">
        <f>EXP(-LN(2)/2)*BR139+(1-EXP(-LN(2)/2))/(LN(2)/2)*BL140*BO140*VLOOKUP('Données projet'!$B$11,Paramètres!$A$1:$I$89,3,0)*0.475*44/12</f>
        <v>#N/A</v>
      </c>
      <c r="BS140" s="24" t="e">
        <f t="shared" si="117"/>
        <v>#N/A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3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68.171999999999983</v>
      </c>
      <c r="D141" s="12">
        <f t="shared" si="140"/>
        <v>19.21880399855084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10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674.59567998881346</v>
      </c>
      <c r="H141" s="70">
        <f t="shared" si="110"/>
        <v>445.5389836308093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-1.1368683772161603E-13</v>
      </c>
      <c r="O141" s="14">
        <f>N141*VLOOKUP('Données projet'!$B$9,Paramètres!$A$1:$I$89,3,0)*VLOOKUP('Données projet'!$B$9,Paramètres!$A$1:$I$89,5,0)</f>
        <v>-6.7984728957526396E-14</v>
      </c>
      <c r="P141" s="14" t="e">
        <f t="shared" si="141"/>
        <v>#NUM!</v>
      </c>
      <c r="Q141" s="22" t="e">
        <f t="shared" si="108"/>
        <v>#NUM!</v>
      </c>
      <c r="R141" s="62" t="e">
        <f t="shared" si="109"/>
        <v>#NUM!</v>
      </c>
      <c r="S141" s="62">
        <f ca="1">AVERAGE(OFFSET($R$3,0,0,'Données projet'!$E$9+1,1))-AVERAGE(OFFSET($H$3,0,0,'Données projet'!$E$9+1,1))</f>
        <v>255.1976414275677</v>
      </c>
      <c r="T141" s="62">
        <f t="shared" si="142"/>
        <v>266.42714758321767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1.3790244847590238</v>
      </c>
      <c r="AA141" s="23">
        <f>EXP(-LN(2)/25)*AA140+(1-EXP(-LN(2)/25))/(LN(2)/25)*Calculateur!V141*Calculateur!X141*VLOOKUP('Données projet'!$B$9,Paramètres!$A$1:$I$89,3,0)*0.475*44/12</f>
        <v>0.65998388014242326</v>
      </c>
      <c r="AB141" s="23">
        <f>EXP(-LN(2)/2)*AB140+(1-EXP(-LN(2)/2))/(LN(2)/2)*V141*Y141*VLOOKUP('Données projet'!$B$9,Paramètres!$A$1:$I$89,3,0)*0.475*44/12</f>
        <v>3.3632888418946286E-16</v>
      </c>
      <c r="AC141" s="24">
        <f t="shared" si="111"/>
        <v>2.0390083649014477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0</v>
      </c>
      <c r="AJ141" s="14" t="e">
        <f>AI141*VLOOKUP('Données projet'!$B$10,Paramètres!$A$1:$I$89,3,0)*VLOOKUP('Données projet'!$B$10,Paramètres!$A$1:$I$89,5,0)</f>
        <v>#N/A</v>
      </c>
      <c r="AK141" s="14" t="e">
        <f t="shared" si="143"/>
        <v>#N/A</v>
      </c>
      <c r="AL141" s="22" t="e">
        <f t="shared" si="112"/>
        <v>#N/A</v>
      </c>
      <c r="AM141" s="62" t="e">
        <f t="shared" si="113"/>
        <v>#N/A</v>
      </c>
      <c r="AN141" s="62" t="e">
        <f ca="1">AVERAGE(OFFSET($AM$3,0,0,'Données projet'!$E$10+1,1))-AVERAGE(OFFSET($H$3,0,0,'Données projet'!$E$10+1,1))</f>
        <v>#N/A</v>
      </c>
      <c r="AO141" s="62" t="e">
        <f t="shared" si="144"/>
        <v>#N/A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 t="e">
        <f>EXP(-LN(2)/35)*AU140+(1-EXP(-LN(2)/35))/(LN(2)/35)*AQ141*AR141*VLOOKUP('Données projet'!$B$10,Paramètres!$A$1:$I$89,3,0)*0.475*44/12</f>
        <v>#N/A</v>
      </c>
      <c r="AV141" s="23" t="e">
        <f>EXP(-LN(2)/25)*AV140+(1-EXP(-LN(2)/25))/(LN(2)/25)*Calculateur!AQ141*Calculateur!AS141*VLOOKUP('Données projet'!$B$10,Paramètres!$A$1:$I$89,3,0)*0.475*44/12</f>
        <v>#N/A</v>
      </c>
      <c r="AW141" s="23" t="e">
        <f>EXP(-LN(2)/2)*AW140+(1-EXP(-LN(2)/2))/(LN(2)/2)*AQ141*AT141*VLOOKUP('Données projet'!$B$10,Paramètres!$A$1:$I$89,3,0)*0.475*44/12</f>
        <v>#N/A</v>
      </c>
      <c r="AX141" s="23" t="e">
        <f t="shared" si="114"/>
        <v>#N/A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 t="e">
        <f>BD141*VLOOKUP('Données projet'!$B$11,Paramètres!$A$1:$I$89,3,0)*VLOOKUP('Données projet'!$B$11,Paramètres!$A$1:$I$89,5,0)</f>
        <v>#N/A</v>
      </c>
      <c r="BF141" s="14" t="e">
        <f t="shared" si="145"/>
        <v>#N/A</v>
      </c>
      <c r="BG141" s="22" t="e">
        <f t="shared" si="115"/>
        <v>#N/A</v>
      </c>
      <c r="BH141" s="62" t="e">
        <f t="shared" si="116"/>
        <v>#N/A</v>
      </c>
      <c r="BI141" s="62" t="e">
        <f ca="1">AVERAGE(OFFSET($BH$3,0,0,'Données projet'!$E$11+1,1))-AVERAGE(OFFSET($H$3,0,0,'Données projet'!$E$11+1,1))</f>
        <v>#N/A</v>
      </c>
      <c r="BJ141" s="62" t="e">
        <f t="shared" si="146"/>
        <v>#N/A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 t="e">
        <f>EXP(-LN(2)/35)*BP140+(1-EXP(-LN(2)/35))/(LN(2)/35)*BL141*BM141*VLOOKUP('Données projet'!$B$11,Paramètres!$A$1:$I$89,3,0)*0.475*44/12</f>
        <v>#N/A</v>
      </c>
      <c r="BQ141" s="23" t="e">
        <f>EXP(-LN(2)/25)*BQ140+(1-EXP(-LN(2)/25))/(LN(2)/25)*Calculateur!BL141*Calculateur!BN141*VLOOKUP('Données projet'!$B$11,Paramètres!$A$1:$I$89,3,0)*0.475*44/12</f>
        <v>#N/A</v>
      </c>
      <c r="BR141" s="23" t="e">
        <f>EXP(-LN(2)/2)*BR140+(1-EXP(-LN(2)/2))/(LN(2)/2)*BL141*BO141*VLOOKUP('Données projet'!$B$11,Paramètres!$A$1:$I$89,3,0)*0.475*44/12</f>
        <v>#N/A</v>
      </c>
      <c r="BS141" s="24" t="e">
        <f t="shared" si="117"/>
        <v>#N/A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3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68.665999999999983</v>
      </c>
      <c r="D142" s="12">
        <f t="shared" si="140"/>
        <v>19.341808292681065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10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679.35852015402918</v>
      </c>
      <c r="H142" s="70">
        <f t="shared" si="110"/>
        <v>446.61359944308612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-1.1368683772161603E-13</v>
      </c>
      <c r="O142" s="14">
        <f>N142*VLOOKUP('Données projet'!$B$9,Paramètres!$A$1:$I$89,3,0)*VLOOKUP('Données projet'!$B$9,Paramètres!$A$1:$I$89,5,0)</f>
        <v>-6.7984728957526396E-14</v>
      </c>
      <c r="P142" s="14" t="e">
        <f t="shared" si="141"/>
        <v>#NUM!</v>
      </c>
      <c r="Q142" s="22" t="e">
        <f t="shared" si="108"/>
        <v>#NUM!</v>
      </c>
      <c r="R142" s="62" t="e">
        <f t="shared" si="109"/>
        <v>#NUM!</v>
      </c>
      <c r="S142" s="62">
        <f ca="1">AVERAGE(OFFSET($R$3,0,0,'Données projet'!$E$9+1,1))-AVERAGE(OFFSET($H$3,0,0,'Données projet'!$E$9+1,1))</f>
        <v>255.1976414275677</v>
      </c>
      <c r="T142" s="62">
        <f t="shared" si="142"/>
        <v>266.42714758321767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1.3519826557347812</v>
      </c>
      <c r="AA142" s="23">
        <f>EXP(-LN(2)/25)*AA141+(1-EXP(-LN(2)/25))/(LN(2)/25)*Calculateur!V142*Calculateur!X142*VLOOKUP('Données projet'!$B$9,Paramètres!$A$1:$I$89,3,0)*0.475*44/12</f>
        <v>0.64193658623288485</v>
      </c>
      <c r="AB142" s="23">
        <f>EXP(-LN(2)/2)*AB141+(1-EXP(-LN(2)/2))/(LN(2)/2)*V142*Y142*VLOOKUP('Données projet'!$B$9,Paramètres!$A$1:$I$89,3,0)*0.475*44/12</f>
        <v>2.3782043471927419E-16</v>
      </c>
      <c r="AC142" s="24">
        <f t="shared" si="111"/>
        <v>1.9939192419676661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0</v>
      </c>
      <c r="AJ142" s="14" t="e">
        <f>AI142*VLOOKUP('Données projet'!$B$10,Paramètres!$A$1:$I$89,3,0)*VLOOKUP('Données projet'!$B$10,Paramètres!$A$1:$I$89,5,0)</f>
        <v>#N/A</v>
      </c>
      <c r="AK142" s="14" t="e">
        <f t="shared" si="143"/>
        <v>#N/A</v>
      </c>
      <c r="AL142" s="22" t="e">
        <f t="shared" si="112"/>
        <v>#N/A</v>
      </c>
      <c r="AM142" s="62" t="e">
        <f t="shared" si="113"/>
        <v>#N/A</v>
      </c>
      <c r="AN142" s="62" t="e">
        <f ca="1">AVERAGE(OFFSET($AM$3,0,0,'Données projet'!$E$10+1,1))-AVERAGE(OFFSET($H$3,0,0,'Données projet'!$E$10+1,1))</f>
        <v>#N/A</v>
      </c>
      <c r="AO142" s="62" t="e">
        <f t="shared" si="144"/>
        <v>#N/A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 t="e">
        <f>EXP(-LN(2)/35)*AU141+(1-EXP(-LN(2)/35))/(LN(2)/35)*AQ142*AR142*VLOOKUP('Données projet'!$B$10,Paramètres!$A$1:$I$89,3,0)*0.475*44/12</f>
        <v>#N/A</v>
      </c>
      <c r="AV142" s="23" t="e">
        <f>EXP(-LN(2)/25)*AV141+(1-EXP(-LN(2)/25))/(LN(2)/25)*Calculateur!AQ142*Calculateur!AS142*VLOOKUP('Données projet'!$B$10,Paramètres!$A$1:$I$89,3,0)*0.475*44/12</f>
        <v>#N/A</v>
      </c>
      <c r="AW142" s="23" t="e">
        <f>EXP(-LN(2)/2)*AW141+(1-EXP(-LN(2)/2))/(LN(2)/2)*AQ142*AT142*VLOOKUP('Données projet'!$B$10,Paramètres!$A$1:$I$89,3,0)*0.475*44/12</f>
        <v>#N/A</v>
      </c>
      <c r="AX142" s="23" t="e">
        <f t="shared" si="114"/>
        <v>#N/A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 t="e">
        <f>BD142*VLOOKUP('Données projet'!$B$11,Paramètres!$A$1:$I$89,3,0)*VLOOKUP('Données projet'!$B$11,Paramètres!$A$1:$I$89,5,0)</f>
        <v>#N/A</v>
      </c>
      <c r="BF142" s="14" t="e">
        <f t="shared" si="145"/>
        <v>#N/A</v>
      </c>
      <c r="BG142" s="22" t="e">
        <f t="shared" si="115"/>
        <v>#N/A</v>
      </c>
      <c r="BH142" s="62" t="e">
        <f t="shared" si="116"/>
        <v>#N/A</v>
      </c>
      <c r="BI142" s="62" t="e">
        <f ca="1">AVERAGE(OFFSET($BH$3,0,0,'Données projet'!$E$11+1,1))-AVERAGE(OFFSET($H$3,0,0,'Données projet'!$E$11+1,1))</f>
        <v>#N/A</v>
      </c>
      <c r="BJ142" s="62" t="e">
        <f t="shared" si="146"/>
        <v>#N/A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 t="e">
        <f>EXP(-LN(2)/35)*BP141+(1-EXP(-LN(2)/35))/(LN(2)/35)*BL142*BM142*VLOOKUP('Données projet'!$B$11,Paramètres!$A$1:$I$89,3,0)*0.475*44/12</f>
        <v>#N/A</v>
      </c>
      <c r="BQ142" s="23" t="e">
        <f>EXP(-LN(2)/25)*BQ141+(1-EXP(-LN(2)/25))/(LN(2)/25)*Calculateur!BL142*Calculateur!BN142*VLOOKUP('Données projet'!$B$11,Paramètres!$A$1:$I$89,3,0)*0.475*44/12</f>
        <v>#N/A</v>
      </c>
      <c r="BR142" s="23" t="e">
        <f>EXP(-LN(2)/2)*BR141+(1-EXP(-LN(2)/2))/(LN(2)/2)*BL142*BO142*VLOOKUP('Données projet'!$B$11,Paramètres!$A$1:$I$89,3,0)*0.475*44/12</f>
        <v>#N/A</v>
      </c>
      <c r="BS142" s="24" t="e">
        <f t="shared" si="117"/>
        <v>#N/A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3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69.159999999999982</v>
      </c>
      <c r="D143" s="12">
        <f t="shared" si="140"/>
        <v>19.464709623953723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10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684.12056551823923</v>
      </c>
      <c r="H143" s="70">
        <f t="shared" si="110"/>
        <v>447.68803592838606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-1.1368683772161603E-13</v>
      </c>
      <c r="O143" s="14">
        <f>N143*VLOOKUP('Données projet'!$B$9,Paramètres!$A$1:$I$89,3,0)*VLOOKUP('Données projet'!$B$9,Paramètres!$A$1:$I$89,5,0)</f>
        <v>-6.7984728957526396E-14</v>
      </c>
      <c r="P143" s="14" t="e">
        <f t="shared" si="141"/>
        <v>#NUM!</v>
      </c>
      <c r="Q143" s="22" t="e">
        <f t="shared" si="108"/>
        <v>#NUM!</v>
      </c>
      <c r="R143" s="62" t="e">
        <f t="shared" si="109"/>
        <v>#NUM!</v>
      </c>
      <c r="S143" s="62">
        <f ca="1">AVERAGE(OFFSET($R$3,0,0,'Données projet'!$E$9+1,1))-AVERAGE(OFFSET($H$3,0,0,'Données projet'!$E$9+1,1))</f>
        <v>255.1976414275677</v>
      </c>
      <c r="T143" s="62">
        <f t="shared" si="142"/>
        <v>266.42714758321767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1.3254711004838169</v>
      </c>
      <c r="AA143" s="23">
        <f>EXP(-LN(2)/25)*AA142+(1-EXP(-LN(2)/25))/(LN(2)/25)*Calculateur!V143*Calculateur!X143*VLOOKUP('Données projet'!$B$9,Paramètres!$A$1:$I$89,3,0)*0.475*44/12</f>
        <v>0.62438279652436868</v>
      </c>
      <c r="AB143" s="23">
        <f>EXP(-LN(2)/2)*AB142+(1-EXP(-LN(2)/2))/(LN(2)/2)*V143*Y143*VLOOKUP('Données projet'!$B$9,Paramètres!$A$1:$I$89,3,0)*0.475*44/12</f>
        <v>1.6816444209473143E-16</v>
      </c>
      <c r="AC143" s="24">
        <f t="shared" si="111"/>
        <v>1.9498538970081858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0</v>
      </c>
      <c r="AJ143" s="14" t="e">
        <f>AI143*VLOOKUP('Données projet'!$B$10,Paramètres!$A$1:$I$89,3,0)*VLOOKUP('Données projet'!$B$10,Paramètres!$A$1:$I$89,5,0)</f>
        <v>#N/A</v>
      </c>
      <c r="AK143" s="14" t="e">
        <f t="shared" si="143"/>
        <v>#N/A</v>
      </c>
      <c r="AL143" s="22" t="e">
        <f t="shared" si="112"/>
        <v>#N/A</v>
      </c>
      <c r="AM143" s="62" t="e">
        <f t="shared" si="113"/>
        <v>#N/A</v>
      </c>
      <c r="AN143" s="62" t="e">
        <f ca="1">AVERAGE(OFFSET($AM$3,0,0,'Données projet'!$E$10+1,1))-AVERAGE(OFFSET($H$3,0,0,'Données projet'!$E$10+1,1))</f>
        <v>#N/A</v>
      </c>
      <c r="AO143" s="62" t="e">
        <f t="shared" si="144"/>
        <v>#N/A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 t="e">
        <f>EXP(-LN(2)/35)*AU142+(1-EXP(-LN(2)/35))/(LN(2)/35)*AQ143*AR143*VLOOKUP('Données projet'!$B$10,Paramètres!$A$1:$I$89,3,0)*0.475*44/12</f>
        <v>#N/A</v>
      </c>
      <c r="AV143" s="23" t="e">
        <f>EXP(-LN(2)/25)*AV142+(1-EXP(-LN(2)/25))/(LN(2)/25)*Calculateur!AQ143*Calculateur!AS143*VLOOKUP('Données projet'!$B$10,Paramètres!$A$1:$I$89,3,0)*0.475*44/12</f>
        <v>#N/A</v>
      </c>
      <c r="AW143" s="23" t="e">
        <f>EXP(-LN(2)/2)*AW142+(1-EXP(-LN(2)/2))/(LN(2)/2)*AQ143*AT143*VLOOKUP('Données projet'!$B$10,Paramètres!$A$1:$I$89,3,0)*0.475*44/12</f>
        <v>#N/A</v>
      </c>
      <c r="AX143" s="23" t="e">
        <f t="shared" si="114"/>
        <v>#N/A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 t="e">
        <f>BD143*VLOOKUP('Données projet'!$B$11,Paramètres!$A$1:$I$89,3,0)*VLOOKUP('Données projet'!$B$11,Paramètres!$A$1:$I$89,5,0)</f>
        <v>#N/A</v>
      </c>
      <c r="BF143" s="14" t="e">
        <f t="shared" si="145"/>
        <v>#N/A</v>
      </c>
      <c r="BG143" s="22" t="e">
        <f t="shared" si="115"/>
        <v>#N/A</v>
      </c>
      <c r="BH143" s="62" t="e">
        <f t="shared" si="116"/>
        <v>#N/A</v>
      </c>
      <c r="BI143" s="62" t="e">
        <f ca="1">AVERAGE(OFFSET($BH$3,0,0,'Données projet'!$E$11+1,1))-AVERAGE(OFFSET($H$3,0,0,'Données projet'!$E$11+1,1))</f>
        <v>#N/A</v>
      </c>
      <c r="BJ143" s="62" t="e">
        <f t="shared" si="146"/>
        <v>#N/A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 t="e">
        <f>EXP(-LN(2)/35)*BP142+(1-EXP(-LN(2)/35))/(LN(2)/35)*BL143*BM143*VLOOKUP('Données projet'!$B$11,Paramètres!$A$1:$I$89,3,0)*0.475*44/12</f>
        <v>#N/A</v>
      </c>
      <c r="BQ143" s="23" t="e">
        <f>EXP(-LN(2)/25)*BQ142+(1-EXP(-LN(2)/25))/(LN(2)/25)*Calculateur!BL143*Calculateur!BN143*VLOOKUP('Données projet'!$B$11,Paramètres!$A$1:$I$89,3,0)*0.475*44/12</f>
        <v>#N/A</v>
      </c>
      <c r="BR143" s="23" t="e">
        <f>EXP(-LN(2)/2)*BR142+(1-EXP(-LN(2)/2))/(LN(2)/2)*BL143*BO143*VLOOKUP('Données projet'!$B$11,Paramètres!$A$1:$I$89,3,0)*0.475*44/12</f>
        <v>#N/A</v>
      </c>
      <c r="BS143" s="24" t="e">
        <f t="shared" si="117"/>
        <v>#N/A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3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69.653999999999982</v>
      </c>
      <c r="D144" s="12">
        <f t="shared" si="140"/>
        <v>19.587508813096782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10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688.8818224168873</v>
      </c>
      <c r="H144" s="70">
        <f t="shared" si="110"/>
        <v>448.76229451614353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-1.1368683772161603E-13</v>
      </c>
      <c r="O144" s="14">
        <f>N144*VLOOKUP('Données projet'!$B$9,Paramètres!$A$1:$I$89,3,0)*VLOOKUP('Données projet'!$B$9,Paramètres!$A$1:$I$89,5,0)</f>
        <v>-6.7984728957526396E-14</v>
      </c>
      <c r="P144" s="14" t="e">
        <f t="shared" si="141"/>
        <v>#NUM!</v>
      </c>
      <c r="Q144" s="22" t="e">
        <f t="shared" si="108"/>
        <v>#NUM!</v>
      </c>
      <c r="R144" s="62" t="e">
        <f t="shared" si="109"/>
        <v>#NUM!</v>
      </c>
      <c r="S144" s="62">
        <f ca="1">AVERAGE(OFFSET($R$3,0,0,'Données projet'!$E$9+1,1))-AVERAGE(OFFSET($H$3,0,0,'Données projet'!$E$9+1,1))</f>
        <v>255.1976414275677</v>
      </c>
      <c r="T144" s="62">
        <f t="shared" si="142"/>
        <v>266.42714758321767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1.299479420660872</v>
      </c>
      <c r="AA144" s="23">
        <f>EXP(-LN(2)/25)*AA143+(1-EXP(-LN(2)/25))/(LN(2)/25)*Calculateur!V144*Calculateur!X144*VLOOKUP('Données projet'!$B$9,Paramètres!$A$1:$I$89,3,0)*0.475*44/12</f>
        <v>0.6073090161185456</v>
      </c>
      <c r="AB144" s="23">
        <f>EXP(-LN(2)/2)*AB143+(1-EXP(-LN(2)/2))/(LN(2)/2)*V144*Y144*VLOOKUP('Données projet'!$B$9,Paramètres!$A$1:$I$89,3,0)*0.475*44/12</f>
        <v>1.189102173596371E-16</v>
      </c>
      <c r="AC144" s="24">
        <f t="shared" si="111"/>
        <v>1.9067884367794179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0</v>
      </c>
      <c r="AJ144" s="14" t="e">
        <f>AI144*VLOOKUP('Données projet'!$B$10,Paramètres!$A$1:$I$89,3,0)*VLOOKUP('Données projet'!$B$10,Paramètres!$A$1:$I$89,5,0)</f>
        <v>#N/A</v>
      </c>
      <c r="AK144" s="14" t="e">
        <f t="shared" si="143"/>
        <v>#N/A</v>
      </c>
      <c r="AL144" s="22" t="e">
        <f t="shared" si="112"/>
        <v>#N/A</v>
      </c>
      <c r="AM144" s="62" t="e">
        <f t="shared" si="113"/>
        <v>#N/A</v>
      </c>
      <c r="AN144" s="62" t="e">
        <f ca="1">AVERAGE(OFFSET($AM$3,0,0,'Données projet'!$E$10+1,1))-AVERAGE(OFFSET($H$3,0,0,'Données projet'!$E$10+1,1))</f>
        <v>#N/A</v>
      </c>
      <c r="AO144" s="62" t="e">
        <f t="shared" si="144"/>
        <v>#N/A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 t="e">
        <f>EXP(-LN(2)/35)*AU143+(1-EXP(-LN(2)/35))/(LN(2)/35)*AQ144*AR144*VLOOKUP('Données projet'!$B$10,Paramètres!$A$1:$I$89,3,0)*0.475*44/12</f>
        <v>#N/A</v>
      </c>
      <c r="AV144" s="23" t="e">
        <f>EXP(-LN(2)/25)*AV143+(1-EXP(-LN(2)/25))/(LN(2)/25)*Calculateur!AQ144*Calculateur!AS144*VLOOKUP('Données projet'!$B$10,Paramètres!$A$1:$I$89,3,0)*0.475*44/12</f>
        <v>#N/A</v>
      </c>
      <c r="AW144" s="23" t="e">
        <f>EXP(-LN(2)/2)*AW143+(1-EXP(-LN(2)/2))/(LN(2)/2)*AQ144*AT144*VLOOKUP('Données projet'!$B$10,Paramètres!$A$1:$I$89,3,0)*0.475*44/12</f>
        <v>#N/A</v>
      </c>
      <c r="AX144" s="23" t="e">
        <f t="shared" si="114"/>
        <v>#N/A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 t="e">
        <f>BD144*VLOOKUP('Données projet'!$B$11,Paramètres!$A$1:$I$89,3,0)*VLOOKUP('Données projet'!$B$11,Paramètres!$A$1:$I$89,5,0)</f>
        <v>#N/A</v>
      </c>
      <c r="BF144" s="14" t="e">
        <f t="shared" si="145"/>
        <v>#N/A</v>
      </c>
      <c r="BG144" s="22" t="e">
        <f t="shared" si="115"/>
        <v>#N/A</v>
      </c>
      <c r="BH144" s="62" t="e">
        <f t="shared" si="116"/>
        <v>#N/A</v>
      </c>
      <c r="BI144" s="62" t="e">
        <f ca="1">AVERAGE(OFFSET($BH$3,0,0,'Données projet'!$E$11+1,1))-AVERAGE(OFFSET($H$3,0,0,'Données projet'!$E$11+1,1))</f>
        <v>#N/A</v>
      </c>
      <c r="BJ144" s="62" t="e">
        <f t="shared" si="146"/>
        <v>#N/A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 t="e">
        <f>EXP(-LN(2)/35)*BP143+(1-EXP(-LN(2)/35))/(LN(2)/35)*BL144*BM144*VLOOKUP('Données projet'!$B$11,Paramètres!$A$1:$I$89,3,0)*0.475*44/12</f>
        <v>#N/A</v>
      </c>
      <c r="BQ144" s="23" t="e">
        <f>EXP(-LN(2)/25)*BQ143+(1-EXP(-LN(2)/25))/(LN(2)/25)*Calculateur!BL144*Calculateur!BN144*VLOOKUP('Données projet'!$B$11,Paramètres!$A$1:$I$89,3,0)*0.475*44/12</f>
        <v>#N/A</v>
      </c>
      <c r="BR144" s="23" t="e">
        <f>EXP(-LN(2)/2)*BR143+(1-EXP(-LN(2)/2))/(LN(2)/2)*BL144*BO144*VLOOKUP('Données projet'!$B$11,Paramètres!$A$1:$I$89,3,0)*0.475*44/12</f>
        <v>#N/A</v>
      </c>
      <c r="BS144" s="24" t="e">
        <f t="shared" si="117"/>
        <v>#N/A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3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70.147999999999982</v>
      </c>
      <c r="D145" s="12">
        <f t="shared" si="140"/>
        <v>19.710206668524005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10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693.64229709036078</v>
      </c>
      <c r="H145" s="70">
        <f t="shared" si="110"/>
        <v>449.83637661434591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-1.1368683772161603E-13</v>
      </c>
      <c r="O145" s="14">
        <f>N145*VLOOKUP('Données projet'!$B$9,Paramètres!$A$1:$I$89,3,0)*VLOOKUP('Données projet'!$B$9,Paramètres!$A$1:$I$89,5,0)</f>
        <v>-6.7984728957526396E-14</v>
      </c>
      <c r="P145" s="14" t="e">
        <f t="shared" si="141"/>
        <v>#NUM!</v>
      </c>
      <c r="Q145" s="22" t="e">
        <f t="shared" si="108"/>
        <v>#NUM!</v>
      </c>
      <c r="R145" s="62" t="e">
        <f t="shared" si="109"/>
        <v>#NUM!</v>
      </c>
      <c r="S145" s="62">
        <f ca="1">AVERAGE(OFFSET($R$3,0,0,'Données projet'!$E$9+1,1))-AVERAGE(OFFSET($H$3,0,0,'Données projet'!$E$9+1,1))</f>
        <v>255.1976414275677</v>
      </c>
      <c r="T145" s="62">
        <f t="shared" si="142"/>
        <v>266.42714758321767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1.2739974218258958</v>
      </c>
      <c r="AA145" s="23">
        <f>EXP(-LN(2)/25)*AA144+(1-EXP(-LN(2)/25))/(LN(2)/25)*Calculateur!V145*Calculateur!X145*VLOOKUP('Données projet'!$B$9,Paramètres!$A$1:$I$89,3,0)*0.475*44/12</f>
        <v>0.59070211913579085</v>
      </c>
      <c r="AB145" s="23">
        <f>EXP(-LN(2)/2)*AB144+(1-EXP(-LN(2)/2))/(LN(2)/2)*V145*Y145*VLOOKUP('Données projet'!$B$9,Paramètres!$A$1:$I$89,3,0)*0.475*44/12</f>
        <v>8.4082221047365715E-17</v>
      </c>
      <c r="AC145" s="24">
        <f t="shared" si="111"/>
        <v>1.8646995409616867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0</v>
      </c>
      <c r="AJ145" s="14" t="e">
        <f>AI145*VLOOKUP('Données projet'!$B$10,Paramètres!$A$1:$I$89,3,0)*VLOOKUP('Données projet'!$B$10,Paramètres!$A$1:$I$89,5,0)</f>
        <v>#N/A</v>
      </c>
      <c r="AK145" s="14" t="e">
        <f t="shared" si="143"/>
        <v>#N/A</v>
      </c>
      <c r="AL145" s="22" t="e">
        <f t="shared" si="112"/>
        <v>#N/A</v>
      </c>
      <c r="AM145" s="62" t="e">
        <f t="shared" si="113"/>
        <v>#N/A</v>
      </c>
      <c r="AN145" s="62" t="e">
        <f ca="1">AVERAGE(OFFSET($AM$3,0,0,'Données projet'!$E$10+1,1))-AVERAGE(OFFSET($H$3,0,0,'Données projet'!$E$10+1,1))</f>
        <v>#N/A</v>
      </c>
      <c r="AO145" s="62" t="e">
        <f t="shared" si="144"/>
        <v>#N/A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 t="e">
        <f>EXP(-LN(2)/35)*AU144+(1-EXP(-LN(2)/35))/(LN(2)/35)*AQ145*AR145*VLOOKUP('Données projet'!$B$10,Paramètres!$A$1:$I$89,3,0)*0.475*44/12</f>
        <v>#N/A</v>
      </c>
      <c r="AV145" s="23" t="e">
        <f>EXP(-LN(2)/25)*AV144+(1-EXP(-LN(2)/25))/(LN(2)/25)*Calculateur!AQ145*Calculateur!AS145*VLOOKUP('Données projet'!$B$10,Paramètres!$A$1:$I$89,3,0)*0.475*44/12</f>
        <v>#N/A</v>
      </c>
      <c r="AW145" s="23" t="e">
        <f>EXP(-LN(2)/2)*AW144+(1-EXP(-LN(2)/2))/(LN(2)/2)*AQ145*AT145*VLOOKUP('Données projet'!$B$10,Paramètres!$A$1:$I$89,3,0)*0.475*44/12</f>
        <v>#N/A</v>
      </c>
      <c r="AX145" s="23" t="e">
        <f t="shared" si="114"/>
        <v>#N/A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 t="e">
        <f>BD145*VLOOKUP('Données projet'!$B$11,Paramètres!$A$1:$I$89,3,0)*VLOOKUP('Données projet'!$B$11,Paramètres!$A$1:$I$89,5,0)</f>
        <v>#N/A</v>
      </c>
      <c r="BF145" s="14" t="e">
        <f t="shared" si="145"/>
        <v>#N/A</v>
      </c>
      <c r="BG145" s="22" t="e">
        <f t="shared" si="115"/>
        <v>#N/A</v>
      </c>
      <c r="BH145" s="62" t="e">
        <f t="shared" si="116"/>
        <v>#N/A</v>
      </c>
      <c r="BI145" s="62" t="e">
        <f ca="1">AVERAGE(OFFSET($BH$3,0,0,'Données projet'!$E$11+1,1))-AVERAGE(OFFSET($H$3,0,0,'Données projet'!$E$11+1,1))</f>
        <v>#N/A</v>
      </c>
      <c r="BJ145" s="62" t="e">
        <f t="shared" si="146"/>
        <v>#N/A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 t="e">
        <f>EXP(-LN(2)/35)*BP144+(1-EXP(-LN(2)/35))/(LN(2)/35)*BL145*BM145*VLOOKUP('Données projet'!$B$11,Paramètres!$A$1:$I$89,3,0)*0.475*44/12</f>
        <v>#N/A</v>
      </c>
      <c r="BQ145" s="23" t="e">
        <f>EXP(-LN(2)/25)*BQ144+(1-EXP(-LN(2)/25))/(LN(2)/25)*Calculateur!BL145*Calculateur!BN145*VLOOKUP('Données projet'!$B$11,Paramètres!$A$1:$I$89,3,0)*0.475*44/12</f>
        <v>#N/A</v>
      </c>
      <c r="BR145" s="23" t="e">
        <f>EXP(-LN(2)/2)*BR144+(1-EXP(-LN(2)/2))/(LN(2)/2)*BL145*BO145*VLOOKUP('Données projet'!$B$11,Paramètres!$A$1:$I$89,3,0)*0.475*44/12</f>
        <v>#N/A</v>
      </c>
      <c r="BS145" s="24" t="e">
        <f t="shared" si="117"/>
        <v>#N/A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3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70.641999999999982</v>
      </c>
      <c r="D146" s="12">
        <f t="shared" si="140"/>
        <v>19.832803986604944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10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698.40199568607306</v>
      </c>
      <c r="H146" s="70">
        <f t="shared" si="110"/>
        <v>450.91028361000355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-1.1368683772161603E-13</v>
      </c>
      <c r="O146" s="14">
        <f>N146*VLOOKUP('Données projet'!$B$9,Paramètres!$A$1:$I$89,3,0)*VLOOKUP('Données projet'!$B$9,Paramètres!$A$1:$I$89,5,0)</f>
        <v>-6.7984728957526396E-14</v>
      </c>
      <c r="P146" s="14" t="e">
        <f t="shared" si="141"/>
        <v>#NUM!</v>
      </c>
      <c r="Q146" s="22" t="e">
        <f t="shared" si="108"/>
        <v>#NUM!</v>
      </c>
      <c r="R146" s="62" t="e">
        <f t="shared" si="109"/>
        <v>#NUM!</v>
      </c>
      <c r="S146" s="62">
        <f ca="1">AVERAGE(OFFSET($R$3,0,0,'Données projet'!$E$9+1,1))-AVERAGE(OFFSET($H$3,0,0,'Données projet'!$E$9+1,1))</f>
        <v>255.1976414275677</v>
      </c>
      <c r="T146" s="62">
        <f t="shared" si="142"/>
        <v>266.42714758321767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1.2490151094455888</v>
      </c>
      <c r="AA146" s="23">
        <f>EXP(-LN(2)/25)*AA145+(1-EXP(-LN(2)/25))/(LN(2)/25)*Calculateur!V146*Calculateur!X146*VLOOKUP('Données projet'!$B$9,Paramètres!$A$1:$I$89,3,0)*0.475*44/12</f>
        <v>0.57454933862434832</v>
      </c>
      <c r="AB146" s="23">
        <f>EXP(-LN(2)/2)*AB145+(1-EXP(-LN(2)/2))/(LN(2)/2)*V146*Y146*VLOOKUP('Données projet'!$B$9,Paramètres!$A$1:$I$89,3,0)*0.475*44/12</f>
        <v>5.9455108679818548E-17</v>
      </c>
      <c r="AC146" s="24">
        <f t="shared" si="111"/>
        <v>1.8235644480699371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0</v>
      </c>
      <c r="AJ146" s="14" t="e">
        <f>AI146*VLOOKUP('Données projet'!$B$10,Paramètres!$A$1:$I$89,3,0)*VLOOKUP('Données projet'!$B$10,Paramètres!$A$1:$I$89,5,0)</f>
        <v>#N/A</v>
      </c>
      <c r="AK146" s="14" t="e">
        <f t="shared" si="143"/>
        <v>#N/A</v>
      </c>
      <c r="AL146" s="22" t="e">
        <f t="shared" si="112"/>
        <v>#N/A</v>
      </c>
      <c r="AM146" s="62" t="e">
        <f t="shared" si="113"/>
        <v>#N/A</v>
      </c>
      <c r="AN146" s="62" t="e">
        <f ca="1">AVERAGE(OFFSET($AM$3,0,0,'Données projet'!$E$10+1,1))-AVERAGE(OFFSET($H$3,0,0,'Données projet'!$E$10+1,1))</f>
        <v>#N/A</v>
      </c>
      <c r="AO146" s="62" t="e">
        <f t="shared" si="144"/>
        <v>#N/A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 t="e">
        <f>EXP(-LN(2)/35)*AU145+(1-EXP(-LN(2)/35))/(LN(2)/35)*AQ146*AR146*VLOOKUP('Données projet'!$B$10,Paramètres!$A$1:$I$89,3,0)*0.475*44/12</f>
        <v>#N/A</v>
      </c>
      <c r="AV146" s="23" t="e">
        <f>EXP(-LN(2)/25)*AV145+(1-EXP(-LN(2)/25))/(LN(2)/25)*Calculateur!AQ146*Calculateur!AS146*VLOOKUP('Données projet'!$B$10,Paramètres!$A$1:$I$89,3,0)*0.475*44/12</f>
        <v>#N/A</v>
      </c>
      <c r="AW146" s="23" t="e">
        <f>EXP(-LN(2)/2)*AW145+(1-EXP(-LN(2)/2))/(LN(2)/2)*AQ146*AT146*VLOOKUP('Données projet'!$B$10,Paramètres!$A$1:$I$89,3,0)*0.475*44/12</f>
        <v>#N/A</v>
      </c>
      <c r="AX146" s="23" t="e">
        <f t="shared" si="114"/>
        <v>#N/A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 t="e">
        <f>BD146*VLOOKUP('Données projet'!$B$11,Paramètres!$A$1:$I$89,3,0)*VLOOKUP('Données projet'!$B$11,Paramètres!$A$1:$I$89,5,0)</f>
        <v>#N/A</v>
      </c>
      <c r="BF146" s="14" t="e">
        <f t="shared" si="145"/>
        <v>#N/A</v>
      </c>
      <c r="BG146" s="22" t="e">
        <f t="shared" si="115"/>
        <v>#N/A</v>
      </c>
      <c r="BH146" s="62" t="e">
        <f t="shared" si="116"/>
        <v>#N/A</v>
      </c>
      <c r="BI146" s="62" t="e">
        <f ca="1">AVERAGE(OFFSET($BH$3,0,0,'Données projet'!$E$11+1,1))-AVERAGE(OFFSET($H$3,0,0,'Données projet'!$E$11+1,1))</f>
        <v>#N/A</v>
      </c>
      <c r="BJ146" s="62" t="e">
        <f t="shared" si="146"/>
        <v>#N/A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 t="e">
        <f>EXP(-LN(2)/35)*BP145+(1-EXP(-LN(2)/35))/(LN(2)/35)*BL146*BM146*VLOOKUP('Données projet'!$B$11,Paramètres!$A$1:$I$89,3,0)*0.475*44/12</f>
        <v>#N/A</v>
      </c>
      <c r="BQ146" s="23" t="e">
        <f>EXP(-LN(2)/25)*BQ145+(1-EXP(-LN(2)/25))/(LN(2)/25)*Calculateur!BL146*Calculateur!BN146*VLOOKUP('Données projet'!$B$11,Paramètres!$A$1:$I$89,3,0)*0.475*44/12</f>
        <v>#N/A</v>
      </c>
      <c r="BR146" s="23" t="e">
        <f>EXP(-LN(2)/2)*BR145+(1-EXP(-LN(2)/2))/(LN(2)/2)*BL146*BO146*VLOOKUP('Données projet'!$B$11,Paramètres!$A$1:$I$89,3,0)*0.475*44/12</f>
        <v>#N/A</v>
      </c>
      <c r="BS146" s="24" t="e">
        <f t="shared" si="117"/>
        <v>#N/A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3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71.135999999999981</v>
      </c>
      <c r="D147" s="12">
        <f t="shared" si="140"/>
        <v>19.955301551927469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10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703.16092426049261</v>
      </c>
      <c r="H147" s="70">
        <f t="shared" si="110"/>
        <v>451.98401686960693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-1.1368683772161603E-13</v>
      </c>
      <c r="O147" s="14">
        <f>N147*VLOOKUP('Données projet'!$B$9,Paramètres!$A$1:$I$89,3,0)*VLOOKUP('Données projet'!$B$9,Paramètres!$A$1:$I$89,5,0)</f>
        <v>-6.7984728957526396E-14</v>
      </c>
      <c r="P147" s="14" t="e">
        <f t="shared" si="141"/>
        <v>#NUM!</v>
      </c>
      <c r="Q147" s="22" t="e">
        <f t="shared" si="108"/>
        <v>#NUM!</v>
      </c>
      <c r="R147" s="62" t="e">
        <f t="shared" si="109"/>
        <v>#NUM!</v>
      </c>
      <c r="S147" s="62">
        <f ca="1">AVERAGE(OFFSET($R$3,0,0,'Données projet'!$E$9+1,1))-AVERAGE(OFFSET($H$3,0,0,'Données projet'!$E$9+1,1))</f>
        <v>255.1976414275677</v>
      </c>
      <c r="T147" s="62">
        <f t="shared" si="142"/>
        <v>266.42714758321767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1.2245226849733537</v>
      </c>
      <c r="AA147" s="23">
        <f>EXP(-LN(2)/25)*AA146+(1-EXP(-LN(2)/25))/(LN(2)/25)*Calculateur!V147*Calculateur!X147*VLOOKUP('Données projet'!$B$9,Paramètres!$A$1:$I$89,3,0)*0.475*44/12</f>
        <v>0.55883825674542897</v>
      </c>
      <c r="AB147" s="23">
        <f>EXP(-LN(2)/2)*AB146+(1-EXP(-LN(2)/2))/(LN(2)/2)*V147*Y147*VLOOKUP('Données projet'!$B$9,Paramètres!$A$1:$I$89,3,0)*0.475*44/12</f>
        <v>4.2041110523682858E-17</v>
      </c>
      <c r="AC147" s="24">
        <f t="shared" si="111"/>
        <v>1.7833609417187826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0</v>
      </c>
      <c r="AJ147" s="14" t="e">
        <f>AI147*VLOOKUP('Données projet'!$B$10,Paramètres!$A$1:$I$89,3,0)*VLOOKUP('Données projet'!$B$10,Paramètres!$A$1:$I$89,5,0)</f>
        <v>#N/A</v>
      </c>
      <c r="AK147" s="14" t="e">
        <f t="shared" si="143"/>
        <v>#N/A</v>
      </c>
      <c r="AL147" s="22" t="e">
        <f t="shared" si="112"/>
        <v>#N/A</v>
      </c>
      <c r="AM147" s="62" t="e">
        <f t="shared" si="113"/>
        <v>#N/A</v>
      </c>
      <c r="AN147" s="62" t="e">
        <f ca="1">AVERAGE(OFFSET($AM$3,0,0,'Données projet'!$E$10+1,1))-AVERAGE(OFFSET($H$3,0,0,'Données projet'!$E$10+1,1))</f>
        <v>#N/A</v>
      </c>
      <c r="AO147" s="62" t="e">
        <f t="shared" si="144"/>
        <v>#N/A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 t="e">
        <f>EXP(-LN(2)/35)*AU146+(1-EXP(-LN(2)/35))/(LN(2)/35)*AQ147*AR147*VLOOKUP('Données projet'!$B$10,Paramètres!$A$1:$I$89,3,0)*0.475*44/12</f>
        <v>#N/A</v>
      </c>
      <c r="AV147" s="23" t="e">
        <f>EXP(-LN(2)/25)*AV146+(1-EXP(-LN(2)/25))/(LN(2)/25)*Calculateur!AQ147*Calculateur!AS147*VLOOKUP('Données projet'!$B$10,Paramètres!$A$1:$I$89,3,0)*0.475*44/12</f>
        <v>#N/A</v>
      </c>
      <c r="AW147" s="23" t="e">
        <f>EXP(-LN(2)/2)*AW146+(1-EXP(-LN(2)/2))/(LN(2)/2)*AQ147*AT147*VLOOKUP('Données projet'!$B$10,Paramètres!$A$1:$I$89,3,0)*0.475*44/12</f>
        <v>#N/A</v>
      </c>
      <c r="AX147" s="23" t="e">
        <f t="shared" si="114"/>
        <v>#N/A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 t="e">
        <f>BD147*VLOOKUP('Données projet'!$B$11,Paramètres!$A$1:$I$89,3,0)*VLOOKUP('Données projet'!$B$11,Paramètres!$A$1:$I$89,5,0)</f>
        <v>#N/A</v>
      </c>
      <c r="BF147" s="14" t="e">
        <f t="shared" si="145"/>
        <v>#N/A</v>
      </c>
      <c r="BG147" s="22" t="e">
        <f t="shared" si="115"/>
        <v>#N/A</v>
      </c>
      <c r="BH147" s="62" t="e">
        <f t="shared" si="116"/>
        <v>#N/A</v>
      </c>
      <c r="BI147" s="62" t="e">
        <f ca="1">AVERAGE(OFFSET($BH$3,0,0,'Données projet'!$E$11+1,1))-AVERAGE(OFFSET($H$3,0,0,'Données projet'!$E$11+1,1))</f>
        <v>#N/A</v>
      </c>
      <c r="BJ147" s="62" t="e">
        <f t="shared" si="146"/>
        <v>#N/A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 t="e">
        <f>EXP(-LN(2)/35)*BP146+(1-EXP(-LN(2)/35))/(LN(2)/35)*BL147*BM147*VLOOKUP('Données projet'!$B$11,Paramètres!$A$1:$I$89,3,0)*0.475*44/12</f>
        <v>#N/A</v>
      </c>
      <c r="BQ147" s="23" t="e">
        <f>EXP(-LN(2)/25)*BQ146+(1-EXP(-LN(2)/25))/(LN(2)/25)*Calculateur!BL147*Calculateur!BN147*VLOOKUP('Données projet'!$B$11,Paramètres!$A$1:$I$89,3,0)*0.475*44/12</f>
        <v>#N/A</v>
      </c>
      <c r="BR147" s="23" t="e">
        <f>EXP(-LN(2)/2)*BR146+(1-EXP(-LN(2)/2))/(LN(2)/2)*BL147*BO147*VLOOKUP('Données projet'!$B$11,Paramètres!$A$1:$I$89,3,0)*0.475*44/12</f>
        <v>#N/A</v>
      </c>
      <c r="BS147" s="24" t="e">
        <f t="shared" si="117"/>
        <v>#N/A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3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71.629999999999981</v>
      </c>
      <c r="D148" s="12">
        <f t="shared" si="140"/>
        <v>20.077700137552494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10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707.91908878110689</v>
      </c>
      <c r="H148" s="70">
        <f t="shared" si="110"/>
        <v>453.05757773957055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-1.1368683772161603E-13</v>
      </c>
      <c r="O148" s="14">
        <f>N148*VLOOKUP('Données projet'!$B$9,Paramètres!$A$1:$I$89,3,0)*VLOOKUP('Données projet'!$B$9,Paramètres!$A$1:$I$89,5,0)</f>
        <v>-6.7984728957526396E-14</v>
      </c>
      <c r="P148" s="14" t="e">
        <f t="shared" si="141"/>
        <v>#NUM!</v>
      </c>
      <c r="Q148" s="22" t="e">
        <f t="shared" si="108"/>
        <v>#NUM!</v>
      </c>
      <c r="R148" s="62" t="e">
        <f t="shared" si="109"/>
        <v>#NUM!</v>
      </c>
      <c r="S148" s="62">
        <f ca="1">AVERAGE(OFFSET($R$3,0,0,'Données projet'!$E$9+1,1))-AVERAGE(OFFSET($H$3,0,0,'Données projet'!$E$9+1,1))</f>
        <v>255.1976414275677</v>
      </c>
      <c r="T148" s="62">
        <f t="shared" si="142"/>
        <v>266.42714758321767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1.2005105420061153</v>
      </c>
      <c r="AA148" s="23">
        <f>EXP(-LN(2)/25)*AA147+(1-EXP(-LN(2)/25))/(LN(2)/25)*Calculateur!V148*Calculateur!X148*VLOOKUP('Données projet'!$B$9,Paramètres!$A$1:$I$89,3,0)*0.475*44/12</f>
        <v>0.54355679522669853</v>
      </c>
      <c r="AB148" s="23">
        <f>EXP(-LN(2)/2)*AB147+(1-EXP(-LN(2)/2))/(LN(2)/2)*V148*Y148*VLOOKUP('Données projet'!$B$9,Paramètres!$A$1:$I$89,3,0)*0.475*44/12</f>
        <v>2.9727554339909274E-17</v>
      </c>
      <c r="AC148" s="24">
        <f t="shared" si="111"/>
        <v>1.7440673372328139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0</v>
      </c>
      <c r="AJ148" s="14" t="e">
        <f>AI148*VLOOKUP('Données projet'!$B$10,Paramètres!$A$1:$I$89,3,0)*VLOOKUP('Données projet'!$B$10,Paramètres!$A$1:$I$89,5,0)</f>
        <v>#N/A</v>
      </c>
      <c r="AK148" s="14" t="e">
        <f t="shared" si="143"/>
        <v>#N/A</v>
      </c>
      <c r="AL148" s="22" t="e">
        <f t="shared" si="112"/>
        <v>#N/A</v>
      </c>
      <c r="AM148" s="62" t="e">
        <f t="shared" si="113"/>
        <v>#N/A</v>
      </c>
      <c r="AN148" s="62" t="e">
        <f ca="1">AVERAGE(OFFSET($AM$3,0,0,'Données projet'!$E$10+1,1))-AVERAGE(OFFSET($H$3,0,0,'Données projet'!$E$10+1,1))</f>
        <v>#N/A</v>
      </c>
      <c r="AO148" s="62" t="e">
        <f t="shared" si="144"/>
        <v>#N/A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 t="e">
        <f>EXP(-LN(2)/35)*AU147+(1-EXP(-LN(2)/35))/(LN(2)/35)*AQ148*AR148*VLOOKUP('Données projet'!$B$10,Paramètres!$A$1:$I$89,3,0)*0.475*44/12</f>
        <v>#N/A</v>
      </c>
      <c r="AV148" s="23" t="e">
        <f>EXP(-LN(2)/25)*AV147+(1-EXP(-LN(2)/25))/(LN(2)/25)*Calculateur!AQ148*Calculateur!AS148*VLOOKUP('Données projet'!$B$10,Paramètres!$A$1:$I$89,3,0)*0.475*44/12</f>
        <v>#N/A</v>
      </c>
      <c r="AW148" s="23" t="e">
        <f>EXP(-LN(2)/2)*AW147+(1-EXP(-LN(2)/2))/(LN(2)/2)*AQ148*AT148*VLOOKUP('Données projet'!$B$10,Paramètres!$A$1:$I$89,3,0)*0.475*44/12</f>
        <v>#N/A</v>
      </c>
      <c r="AX148" s="23" t="e">
        <f t="shared" si="114"/>
        <v>#N/A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 t="e">
        <f>BD148*VLOOKUP('Données projet'!$B$11,Paramètres!$A$1:$I$89,3,0)*VLOOKUP('Données projet'!$B$11,Paramètres!$A$1:$I$89,5,0)</f>
        <v>#N/A</v>
      </c>
      <c r="BF148" s="14" t="e">
        <f t="shared" si="145"/>
        <v>#N/A</v>
      </c>
      <c r="BG148" s="22" t="e">
        <f t="shared" si="115"/>
        <v>#N/A</v>
      </c>
      <c r="BH148" s="62" t="e">
        <f t="shared" si="116"/>
        <v>#N/A</v>
      </c>
      <c r="BI148" s="62" t="e">
        <f ca="1">AVERAGE(OFFSET($BH$3,0,0,'Données projet'!$E$11+1,1))-AVERAGE(OFFSET($H$3,0,0,'Données projet'!$E$11+1,1))</f>
        <v>#N/A</v>
      </c>
      <c r="BJ148" s="62" t="e">
        <f t="shared" si="146"/>
        <v>#N/A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 t="e">
        <f>EXP(-LN(2)/35)*BP147+(1-EXP(-LN(2)/35))/(LN(2)/35)*BL148*BM148*VLOOKUP('Données projet'!$B$11,Paramètres!$A$1:$I$89,3,0)*0.475*44/12</f>
        <v>#N/A</v>
      </c>
      <c r="BQ148" s="23" t="e">
        <f>EXP(-LN(2)/25)*BQ147+(1-EXP(-LN(2)/25))/(LN(2)/25)*Calculateur!BL148*Calculateur!BN148*VLOOKUP('Données projet'!$B$11,Paramètres!$A$1:$I$89,3,0)*0.475*44/12</f>
        <v>#N/A</v>
      </c>
      <c r="BR148" s="23" t="e">
        <f>EXP(-LN(2)/2)*BR147+(1-EXP(-LN(2)/2))/(LN(2)/2)*BL148*BO148*VLOOKUP('Données projet'!$B$11,Paramètres!$A$1:$I$89,3,0)*0.475*44/12</f>
        <v>#N/A</v>
      </c>
      <c r="BS148" s="24" t="e">
        <f t="shared" si="117"/>
        <v>#N/A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3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72.123999999999981</v>
      </c>
      <c r="D149" s="12">
        <f t="shared" si="140"/>
        <v>20.200000505261777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10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712.67649512833634</v>
      </c>
      <c r="H149" s="70">
        <f t="shared" si="110"/>
        <v>454.13096754666418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-1.1368683772161603E-13</v>
      </c>
      <c r="O149" s="14">
        <f>N149*VLOOKUP('Données projet'!$B$9,Paramètres!$A$1:$I$89,3,0)*VLOOKUP('Données projet'!$B$9,Paramètres!$A$1:$I$89,5,0)</f>
        <v>-6.7984728957526396E-14</v>
      </c>
      <c r="P149" s="14" t="e">
        <f t="shared" si="141"/>
        <v>#NUM!</v>
      </c>
      <c r="Q149" s="22" t="e">
        <f t="shared" si="108"/>
        <v>#NUM!</v>
      </c>
      <c r="R149" s="62" t="e">
        <f t="shared" si="109"/>
        <v>#NUM!</v>
      </c>
      <c r="S149" s="62">
        <f ca="1">AVERAGE(OFFSET($R$3,0,0,'Données projet'!$E$9+1,1))-AVERAGE(OFFSET($H$3,0,0,'Données projet'!$E$9+1,1))</f>
        <v>255.1976414275677</v>
      </c>
      <c r="T149" s="62">
        <f t="shared" si="142"/>
        <v>266.42714758321767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1.1769692625165034</v>
      </c>
      <c r="AA149" s="23">
        <f>EXP(-LN(2)/25)*AA148+(1-EXP(-LN(2)/25))/(LN(2)/25)*Calculateur!V149*Calculateur!X149*VLOOKUP('Données projet'!$B$9,Paramètres!$A$1:$I$89,3,0)*0.475*44/12</f>
        <v>0.52869320607681491</v>
      </c>
      <c r="AB149" s="23">
        <f>EXP(-LN(2)/2)*AB148+(1-EXP(-LN(2)/2))/(LN(2)/2)*V149*Y149*VLOOKUP('Données projet'!$B$9,Paramètres!$A$1:$I$89,3,0)*0.475*44/12</f>
        <v>2.1020555261841429E-17</v>
      </c>
      <c r="AC149" s="24">
        <f t="shared" si="111"/>
        <v>1.7056624685933182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0</v>
      </c>
      <c r="AJ149" s="14" t="e">
        <f>AI149*VLOOKUP('Données projet'!$B$10,Paramètres!$A$1:$I$89,3,0)*VLOOKUP('Données projet'!$B$10,Paramètres!$A$1:$I$89,5,0)</f>
        <v>#N/A</v>
      </c>
      <c r="AK149" s="14" t="e">
        <f t="shared" si="143"/>
        <v>#N/A</v>
      </c>
      <c r="AL149" s="22" t="e">
        <f t="shared" si="112"/>
        <v>#N/A</v>
      </c>
      <c r="AM149" s="62" t="e">
        <f t="shared" si="113"/>
        <v>#N/A</v>
      </c>
      <c r="AN149" s="62" t="e">
        <f ca="1">AVERAGE(OFFSET($AM$3,0,0,'Données projet'!$E$10+1,1))-AVERAGE(OFFSET($H$3,0,0,'Données projet'!$E$10+1,1))</f>
        <v>#N/A</v>
      </c>
      <c r="AO149" s="62" t="e">
        <f t="shared" si="144"/>
        <v>#N/A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 t="e">
        <f>EXP(-LN(2)/35)*AU148+(1-EXP(-LN(2)/35))/(LN(2)/35)*AQ149*AR149*VLOOKUP('Données projet'!$B$10,Paramètres!$A$1:$I$89,3,0)*0.475*44/12</f>
        <v>#N/A</v>
      </c>
      <c r="AV149" s="23" t="e">
        <f>EXP(-LN(2)/25)*AV148+(1-EXP(-LN(2)/25))/(LN(2)/25)*Calculateur!AQ149*Calculateur!AS149*VLOOKUP('Données projet'!$B$10,Paramètres!$A$1:$I$89,3,0)*0.475*44/12</f>
        <v>#N/A</v>
      </c>
      <c r="AW149" s="23" t="e">
        <f>EXP(-LN(2)/2)*AW148+(1-EXP(-LN(2)/2))/(LN(2)/2)*AQ149*AT149*VLOOKUP('Données projet'!$B$10,Paramètres!$A$1:$I$89,3,0)*0.475*44/12</f>
        <v>#N/A</v>
      </c>
      <c r="AX149" s="23" t="e">
        <f t="shared" si="114"/>
        <v>#N/A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 t="e">
        <f>BD149*VLOOKUP('Données projet'!$B$11,Paramètres!$A$1:$I$89,3,0)*VLOOKUP('Données projet'!$B$11,Paramètres!$A$1:$I$89,5,0)</f>
        <v>#N/A</v>
      </c>
      <c r="BF149" s="14" t="e">
        <f t="shared" si="145"/>
        <v>#N/A</v>
      </c>
      <c r="BG149" s="22" t="e">
        <f t="shared" si="115"/>
        <v>#N/A</v>
      </c>
      <c r="BH149" s="62" t="e">
        <f t="shared" si="116"/>
        <v>#N/A</v>
      </c>
      <c r="BI149" s="62" t="e">
        <f ca="1">AVERAGE(OFFSET($BH$3,0,0,'Données projet'!$E$11+1,1))-AVERAGE(OFFSET($H$3,0,0,'Données projet'!$E$11+1,1))</f>
        <v>#N/A</v>
      </c>
      <c r="BJ149" s="62" t="e">
        <f t="shared" si="146"/>
        <v>#N/A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 t="e">
        <f>EXP(-LN(2)/35)*BP148+(1-EXP(-LN(2)/35))/(LN(2)/35)*BL149*BM149*VLOOKUP('Données projet'!$B$11,Paramètres!$A$1:$I$89,3,0)*0.475*44/12</f>
        <v>#N/A</v>
      </c>
      <c r="BQ149" s="23" t="e">
        <f>EXP(-LN(2)/25)*BQ148+(1-EXP(-LN(2)/25))/(LN(2)/25)*Calculateur!BL149*Calculateur!BN149*VLOOKUP('Données projet'!$B$11,Paramètres!$A$1:$I$89,3,0)*0.475*44/12</f>
        <v>#N/A</v>
      </c>
      <c r="BR149" s="23" t="e">
        <f>EXP(-LN(2)/2)*BR148+(1-EXP(-LN(2)/2))/(LN(2)/2)*BL149*BO149*VLOOKUP('Données projet'!$B$11,Paramètres!$A$1:$I$89,3,0)*0.475*44/12</f>
        <v>#N/A</v>
      </c>
      <c r="BS149" s="24" t="e">
        <f t="shared" si="117"/>
        <v>#N/A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3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72.617999999999981</v>
      </c>
      <c r="D150" s="12">
        <f t="shared" si="140"/>
        <v>20.322203405798444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10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717.43314909739138</v>
      </c>
      <c r="H150" s="70">
        <f t="shared" si="110"/>
        <v>455.20418759843221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-1.1368683772161603E-13</v>
      </c>
      <c r="O150" s="14">
        <f>N150*VLOOKUP('Données projet'!$B$9,Paramètres!$A$1:$I$89,3,0)*VLOOKUP('Données projet'!$B$9,Paramètres!$A$1:$I$89,5,0)</f>
        <v>-6.7984728957526396E-14</v>
      </c>
      <c r="P150" s="14" t="e">
        <f t="shared" si="141"/>
        <v>#NUM!</v>
      </c>
      <c r="Q150" s="22" t="e">
        <f t="shared" si="108"/>
        <v>#NUM!</v>
      </c>
      <c r="R150" s="62" t="e">
        <f t="shared" si="109"/>
        <v>#NUM!</v>
      </c>
      <c r="S150" s="62">
        <f ca="1">AVERAGE(OFFSET($R$3,0,0,'Données projet'!$E$9+1,1))-AVERAGE(OFFSET($H$3,0,0,'Données projet'!$E$9+1,1))</f>
        <v>255.1976414275677</v>
      </c>
      <c r="T150" s="62">
        <f t="shared" si="142"/>
        <v>266.42714758321767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1.15388961315892</v>
      </c>
      <c r="AA150" s="23">
        <f>EXP(-LN(2)/25)*AA149+(1-EXP(-LN(2)/25))/(LN(2)/25)*Calculateur!V150*Calculateur!X150*VLOOKUP('Données projet'!$B$9,Paramètres!$A$1:$I$89,3,0)*0.475*44/12</f>
        <v>0.51423606255387699</v>
      </c>
      <c r="AB150" s="23">
        <f>EXP(-LN(2)/2)*AB149+(1-EXP(-LN(2)/2))/(LN(2)/2)*V150*Y150*VLOOKUP('Données projet'!$B$9,Paramètres!$A$1:$I$89,3,0)*0.475*44/12</f>
        <v>1.4863777169954637E-17</v>
      </c>
      <c r="AC150" s="24">
        <f t="shared" si="111"/>
        <v>1.6681256757127971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0</v>
      </c>
      <c r="AJ150" s="14" t="e">
        <f>AI150*VLOOKUP('Données projet'!$B$10,Paramètres!$A$1:$I$89,3,0)*VLOOKUP('Données projet'!$B$10,Paramètres!$A$1:$I$89,5,0)</f>
        <v>#N/A</v>
      </c>
      <c r="AK150" s="14" t="e">
        <f t="shared" si="143"/>
        <v>#N/A</v>
      </c>
      <c r="AL150" s="22" t="e">
        <f t="shared" si="112"/>
        <v>#N/A</v>
      </c>
      <c r="AM150" s="62" t="e">
        <f t="shared" si="113"/>
        <v>#N/A</v>
      </c>
      <c r="AN150" s="62" t="e">
        <f ca="1">AVERAGE(OFFSET($AM$3,0,0,'Données projet'!$E$10+1,1))-AVERAGE(OFFSET($H$3,0,0,'Données projet'!$E$10+1,1))</f>
        <v>#N/A</v>
      </c>
      <c r="AO150" s="62" t="e">
        <f t="shared" si="144"/>
        <v>#N/A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 t="e">
        <f>EXP(-LN(2)/35)*AU149+(1-EXP(-LN(2)/35))/(LN(2)/35)*AQ150*AR150*VLOOKUP('Données projet'!$B$10,Paramètres!$A$1:$I$89,3,0)*0.475*44/12</f>
        <v>#N/A</v>
      </c>
      <c r="AV150" s="23" t="e">
        <f>EXP(-LN(2)/25)*AV149+(1-EXP(-LN(2)/25))/(LN(2)/25)*Calculateur!AQ150*Calculateur!AS150*VLOOKUP('Données projet'!$B$10,Paramètres!$A$1:$I$89,3,0)*0.475*44/12</f>
        <v>#N/A</v>
      </c>
      <c r="AW150" s="23" t="e">
        <f>EXP(-LN(2)/2)*AW149+(1-EXP(-LN(2)/2))/(LN(2)/2)*AQ150*AT150*VLOOKUP('Données projet'!$B$10,Paramètres!$A$1:$I$89,3,0)*0.475*44/12</f>
        <v>#N/A</v>
      </c>
      <c r="AX150" s="23" t="e">
        <f t="shared" si="114"/>
        <v>#N/A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 t="e">
        <f>BD150*VLOOKUP('Données projet'!$B$11,Paramètres!$A$1:$I$89,3,0)*VLOOKUP('Données projet'!$B$11,Paramètres!$A$1:$I$89,5,0)</f>
        <v>#N/A</v>
      </c>
      <c r="BF150" s="14" t="e">
        <f t="shared" si="145"/>
        <v>#N/A</v>
      </c>
      <c r="BG150" s="22" t="e">
        <f t="shared" si="115"/>
        <v>#N/A</v>
      </c>
      <c r="BH150" s="62" t="e">
        <f t="shared" si="116"/>
        <v>#N/A</v>
      </c>
      <c r="BI150" s="62" t="e">
        <f ca="1">AVERAGE(OFFSET($BH$3,0,0,'Données projet'!$E$11+1,1))-AVERAGE(OFFSET($H$3,0,0,'Données projet'!$E$11+1,1))</f>
        <v>#N/A</v>
      </c>
      <c r="BJ150" s="62" t="e">
        <f t="shared" si="146"/>
        <v>#N/A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 t="e">
        <f>EXP(-LN(2)/35)*BP149+(1-EXP(-LN(2)/35))/(LN(2)/35)*BL150*BM150*VLOOKUP('Données projet'!$B$11,Paramètres!$A$1:$I$89,3,0)*0.475*44/12</f>
        <v>#N/A</v>
      </c>
      <c r="BQ150" s="23" t="e">
        <f>EXP(-LN(2)/25)*BQ149+(1-EXP(-LN(2)/25))/(LN(2)/25)*Calculateur!BL150*Calculateur!BN150*VLOOKUP('Données projet'!$B$11,Paramètres!$A$1:$I$89,3,0)*0.475*44/12</f>
        <v>#N/A</v>
      </c>
      <c r="BR150" s="23" t="e">
        <f>EXP(-LN(2)/2)*BR149+(1-EXP(-LN(2)/2))/(LN(2)/2)*BL150*BO150*VLOOKUP('Données projet'!$B$11,Paramètres!$A$1:$I$89,3,0)*0.475*44/12</f>
        <v>#N/A</v>
      </c>
      <c r="BS150" s="24" t="e">
        <f t="shared" si="117"/>
        <v>#N/A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3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73.111999999999981</v>
      </c>
      <c r="D151" s="12">
        <f t="shared" si="140"/>
        <v>20.444309579101066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10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722.18905640007824</v>
      </c>
      <c r="H151" s="70">
        <f t="shared" si="110"/>
        <v>456.27723918360095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-1.1368683772161603E-13</v>
      </c>
      <c r="O151" s="14">
        <f>N151*VLOOKUP('Données projet'!$B$9,Paramètres!$A$1:$I$89,3,0)*VLOOKUP('Données projet'!$B$9,Paramètres!$A$1:$I$89,5,0)</f>
        <v>-6.7984728957526396E-14</v>
      </c>
      <c r="P151" s="14" t="e">
        <f t="shared" si="141"/>
        <v>#NUM!</v>
      </c>
      <c r="Q151" s="22" t="e">
        <f t="shared" si="108"/>
        <v>#NUM!</v>
      </c>
      <c r="R151" s="62" t="e">
        <f t="shared" si="109"/>
        <v>#NUM!</v>
      </c>
      <c r="S151" s="62">
        <f ca="1">AVERAGE(OFFSET($R$3,0,0,'Données projet'!$E$9+1,1))-AVERAGE(OFFSET($H$3,0,0,'Données projet'!$E$9+1,1))</f>
        <v>255.1976414275677</v>
      </c>
      <c r="T151" s="62">
        <f t="shared" si="142"/>
        <v>266.42714758321767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1.1312625416480429</v>
      </c>
      <c r="AA151" s="23">
        <f>EXP(-LN(2)/25)*AA150+(1-EXP(-LN(2)/25))/(LN(2)/25)*Calculateur!V151*Calculateur!X151*VLOOKUP('Données projet'!$B$9,Paramètres!$A$1:$I$89,3,0)*0.475*44/12</f>
        <v>0.50017425038084196</v>
      </c>
      <c r="AB151" s="23">
        <f>EXP(-LN(2)/2)*AB150+(1-EXP(-LN(2)/2))/(LN(2)/2)*V151*Y151*VLOOKUP('Données projet'!$B$9,Paramètres!$A$1:$I$89,3,0)*0.475*44/12</f>
        <v>1.0510277630920714E-17</v>
      </c>
      <c r="AC151" s="24">
        <f t="shared" si="111"/>
        <v>1.6314367920288848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0</v>
      </c>
      <c r="AJ151" s="14" t="e">
        <f>AI151*VLOOKUP('Données projet'!$B$10,Paramètres!$A$1:$I$89,3,0)*VLOOKUP('Données projet'!$B$10,Paramètres!$A$1:$I$89,5,0)</f>
        <v>#N/A</v>
      </c>
      <c r="AK151" s="14" t="e">
        <f t="shared" si="143"/>
        <v>#N/A</v>
      </c>
      <c r="AL151" s="22" t="e">
        <f t="shared" si="112"/>
        <v>#N/A</v>
      </c>
      <c r="AM151" s="62" t="e">
        <f t="shared" si="113"/>
        <v>#N/A</v>
      </c>
      <c r="AN151" s="62" t="e">
        <f ca="1">AVERAGE(OFFSET($AM$3,0,0,'Données projet'!$E$10+1,1))-AVERAGE(OFFSET($H$3,0,0,'Données projet'!$E$10+1,1))</f>
        <v>#N/A</v>
      </c>
      <c r="AO151" s="62" t="e">
        <f t="shared" si="144"/>
        <v>#N/A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 t="e">
        <f>EXP(-LN(2)/35)*AU150+(1-EXP(-LN(2)/35))/(LN(2)/35)*AQ151*AR151*VLOOKUP('Données projet'!$B$10,Paramètres!$A$1:$I$89,3,0)*0.475*44/12</f>
        <v>#N/A</v>
      </c>
      <c r="AV151" s="23" t="e">
        <f>EXP(-LN(2)/25)*AV150+(1-EXP(-LN(2)/25))/(LN(2)/25)*Calculateur!AQ151*Calculateur!AS151*VLOOKUP('Données projet'!$B$10,Paramètres!$A$1:$I$89,3,0)*0.475*44/12</f>
        <v>#N/A</v>
      </c>
      <c r="AW151" s="23" t="e">
        <f>EXP(-LN(2)/2)*AW150+(1-EXP(-LN(2)/2))/(LN(2)/2)*AQ151*AT151*VLOOKUP('Données projet'!$B$10,Paramètres!$A$1:$I$89,3,0)*0.475*44/12</f>
        <v>#N/A</v>
      </c>
      <c r="AX151" s="23" t="e">
        <f t="shared" si="114"/>
        <v>#N/A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 t="e">
        <f>BD151*VLOOKUP('Données projet'!$B$11,Paramètres!$A$1:$I$89,3,0)*VLOOKUP('Données projet'!$B$11,Paramètres!$A$1:$I$89,5,0)</f>
        <v>#N/A</v>
      </c>
      <c r="BF151" s="14" t="e">
        <f t="shared" si="145"/>
        <v>#N/A</v>
      </c>
      <c r="BG151" s="22" t="e">
        <f t="shared" si="115"/>
        <v>#N/A</v>
      </c>
      <c r="BH151" s="62" t="e">
        <f t="shared" si="116"/>
        <v>#N/A</v>
      </c>
      <c r="BI151" s="62" t="e">
        <f ca="1">AVERAGE(OFFSET($BH$3,0,0,'Données projet'!$E$11+1,1))-AVERAGE(OFFSET($H$3,0,0,'Données projet'!$E$11+1,1))</f>
        <v>#N/A</v>
      </c>
      <c r="BJ151" s="62" t="e">
        <f t="shared" si="146"/>
        <v>#N/A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 t="e">
        <f>EXP(-LN(2)/35)*BP150+(1-EXP(-LN(2)/35))/(LN(2)/35)*BL151*BM151*VLOOKUP('Données projet'!$B$11,Paramètres!$A$1:$I$89,3,0)*0.475*44/12</f>
        <v>#N/A</v>
      </c>
      <c r="BQ151" s="23" t="e">
        <f>EXP(-LN(2)/25)*BQ150+(1-EXP(-LN(2)/25))/(LN(2)/25)*Calculateur!BL151*Calculateur!BN151*VLOOKUP('Données projet'!$B$11,Paramètres!$A$1:$I$89,3,0)*0.475*44/12</f>
        <v>#N/A</v>
      </c>
      <c r="BR151" s="23" t="e">
        <f>EXP(-LN(2)/2)*BR150+(1-EXP(-LN(2)/2))/(LN(2)/2)*BL151*BO151*VLOOKUP('Données projet'!$B$11,Paramètres!$A$1:$I$89,3,0)*0.475*44/12</f>
        <v>#N/A</v>
      </c>
      <c r="BS151" s="24" t="e">
        <f t="shared" si="117"/>
        <v>#N/A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3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73.60599999999998</v>
      </c>
      <c r="D152" s="12">
        <f t="shared" si="140"/>
        <v>20.566319754530966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10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726.94422266655465</v>
      </c>
      <c r="H152" s="70">
        <f t="shared" si="110"/>
        <v>457.35012357247467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-1.1368683772161603E-13</v>
      </c>
      <c r="O152" s="14">
        <f>N152*VLOOKUP('Données projet'!$B$9,Paramètres!$A$1:$I$89,3,0)*VLOOKUP('Données projet'!$B$9,Paramètres!$A$1:$I$89,5,0)</f>
        <v>-6.7984728957526396E-14</v>
      </c>
      <c r="P152" s="14" t="e">
        <f t="shared" si="141"/>
        <v>#NUM!</v>
      </c>
      <c r="Q152" s="22" t="e">
        <f t="shared" si="108"/>
        <v>#NUM!</v>
      </c>
      <c r="R152" s="62" t="e">
        <f t="shared" si="109"/>
        <v>#NUM!</v>
      </c>
      <c r="S152" s="62">
        <f ca="1">AVERAGE(OFFSET($R$3,0,0,'Données projet'!$E$9+1,1))-AVERAGE(OFFSET($H$3,0,0,'Données projet'!$E$9+1,1))</f>
        <v>255.1976414275677</v>
      </c>
      <c r="T152" s="62">
        <f t="shared" si="142"/>
        <v>266.42714758321767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1.1090791732083431</v>
      </c>
      <c r="AA152" s="23">
        <f>EXP(-LN(2)/25)*AA151+(1-EXP(-LN(2)/25))/(LN(2)/25)*Calculateur!V152*Calculateur!X152*VLOOKUP('Données projet'!$B$9,Paramètres!$A$1:$I$89,3,0)*0.475*44/12</f>
        <v>0.48649695920115715</v>
      </c>
      <c r="AB152" s="23">
        <f>EXP(-LN(2)/2)*AB151+(1-EXP(-LN(2)/2))/(LN(2)/2)*V152*Y152*VLOOKUP('Données projet'!$B$9,Paramètres!$A$1:$I$89,3,0)*0.475*44/12</f>
        <v>7.4318885849773185E-18</v>
      </c>
      <c r="AC152" s="24">
        <f t="shared" si="111"/>
        <v>1.5955761324095004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0</v>
      </c>
      <c r="AJ152" s="14" t="e">
        <f>AI152*VLOOKUP('Données projet'!$B$10,Paramètres!$A$1:$I$89,3,0)*VLOOKUP('Données projet'!$B$10,Paramètres!$A$1:$I$89,5,0)</f>
        <v>#N/A</v>
      </c>
      <c r="AK152" s="14" t="e">
        <f t="shared" si="143"/>
        <v>#N/A</v>
      </c>
      <c r="AL152" s="22" t="e">
        <f t="shared" si="112"/>
        <v>#N/A</v>
      </c>
      <c r="AM152" s="62" t="e">
        <f t="shared" si="113"/>
        <v>#N/A</v>
      </c>
      <c r="AN152" s="62" t="e">
        <f ca="1">AVERAGE(OFFSET($AM$3,0,0,'Données projet'!$E$10+1,1))-AVERAGE(OFFSET($H$3,0,0,'Données projet'!$E$10+1,1))</f>
        <v>#N/A</v>
      </c>
      <c r="AO152" s="62" t="e">
        <f t="shared" si="144"/>
        <v>#N/A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 t="e">
        <f>EXP(-LN(2)/35)*AU151+(1-EXP(-LN(2)/35))/(LN(2)/35)*AQ152*AR152*VLOOKUP('Données projet'!$B$10,Paramètres!$A$1:$I$89,3,0)*0.475*44/12</f>
        <v>#N/A</v>
      </c>
      <c r="AV152" s="23" t="e">
        <f>EXP(-LN(2)/25)*AV151+(1-EXP(-LN(2)/25))/(LN(2)/25)*Calculateur!AQ152*Calculateur!AS152*VLOOKUP('Données projet'!$B$10,Paramètres!$A$1:$I$89,3,0)*0.475*44/12</f>
        <v>#N/A</v>
      </c>
      <c r="AW152" s="23" t="e">
        <f>EXP(-LN(2)/2)*AW151+(1-EXP(-LN(2)/2))/(LN(2)/2)*AQ152*AT152*VLOOKUP('Données projet'!$B$10,Paramètres!$A$1:$I$89,3,0)*0.475*44/12</f>
        <v>#N/A</v>
      </c>
      <c r="AX152" s="23" t="e">
        <f t="shared" si="114"/>
        <v>#N/A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 t="e">
        <f>BD152*VLOOKUP('Données projet'!$B$11,Paramètres!$A$1:$I$89,3,0)*VLOOKUP('Données projet'!$B$11,Paramètres!$A$1:$I$89,5,0)</f>
        <v>#N/A</v>
      </c>
      <c r="BF152" s="14" t="e">
        <f t="shared" si="145"/>
        <v>#N/A</v>
      </c>
      <c r="BG152" s="22" t="e">
        <f t="shared" si="115"/>
        <v>#N/A</v>
      </c>
      <c r="BH152" s="62" t="e">
        <f t="shared" si="116"/>
        <v>#N/A</v>
      </c>
      <c r="BI152" s="62" t="e">
        <f ca="1">AVERAGE(OFFSET($BH$3,0,0,'Données projet'!$E$11+1,1))-AVERAGE(OFFSET($H$3,0,0,'Données projet'!$E$11+1,1))</f>
        <v>#N/A</v>
      </c>
      <c r="BJ152" s="62" t="e">
        <f t="shared" si="146"/>
        <v>#N/A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 t="e">
        <f>EXP(-LN(2)/35)*BP151+(1-EXP(-LN(2)/35))/(LN(2)/35)*BL152*BM152*VLOOKUP('Données projet'!$B$11,Paramètres!$A$1:$I$89,3,0)*0.475*44/12</f>
        <v>#N/A</v>
      </c>
      <c r="BQ152" s="23" t="e">
        <f>EXP(-LN(2)/25)*BQ151+(1-EXP(-LN(2)/25))/(LN(2)/25)*Calculateur!BL152*Calculateur!BN152*VLOOKUP('Données projet'!$B$11,Paramètres!$A$1:$I$89,3,0)*0.475*44/12</f>
        <v>#N/A</v>
      </c>
      <c r="BR152" s="23" t="e">
        <f>EXP(-LN(2)/2)*BR151+(1-EXP(-LN(2)/2))/(LN(2)/2)*BL152*BO152*VLOOKUP('Données projet'!$B$11,Paramètres!$A$1:$I$89,3,0)*0.475*44/12</f>
        <v>#N/A</v>
      </c>
      <c r="BS152" s="24" t="e">
        <f t="shared" si="117"/>
        <v>#N/A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3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74.09999999999998</v>
      </c>
      <c r="D153" s="12">
        <f t="shared" si="140"/>
        <v>20.688234651093431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10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731.69865344703669</v>
      </c>
      <c r="H153" s="70">
        <f t="shared" si="110"/>
        <v>458.42284201732099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-1.1368683772161603E-13</v>
      </c>
      <c r="O153" s="14">
        <f>N153*VLOOKUP('Données projet'!$B$9,Paramètres!$A$1:$I$89,3,0)*VLOOKUP('Données projet'!$B$9,Paramètres!$A$1:$I$89,5,0)</f>
        <v>-6.7984728957526396E-14</v>
      </c>
      <c r="P153" s="14" t="e">
        <f t="shared" si="141"/>
        <v>#NUM!</v>
      </c>
      <c r="Q153" s="22" t="e">
        <f t="shared" si="108"/>
        <v>#NUM!</v>
      </c>
      <c r="R153" s="62" t="e">
        <f t="shared" si="109"/>
        <v>#NUM!</v>
      </c>
      <c r="S153" s="62">
        <f ca="1">AVERAGE(OFFSET($R$3,0,0,'Données projet'!$E$9+1,1))-AVERAGE(OFFSET($H$3,0,0,'Données projet'!$E$9+1,1))</f>
        <v>255.1976414275677</v>
      </c>
      <c r="T153" s="62">
        <f t="shared" si="142"/>
        <v>266.42714758321767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1.0873308070932273</v>
      </c>
      <c r="AA153" s="23">
        <f>EXP(-LN(2)/25)*AA152+(1-EXP(-LN(2)/25))/(LN(2)/25)*Calculateur!V153*Calculateur!X153*VLOOKUP('Données projet'!$B$9,Paramètres!$A$1:$I$89,3,0)*0.475*44/12</f>
        <v>0.47319367426803832</v>
      </c>
      <c r="AB153" s="23">
        <f>EXP(-LN(2)/2)*AB152+(1-EXP(-LN(2)/2))/(LN(2)/2)*V153*Y153*VLOOKUP('Données projet'!$B$9,Paramètres!$A$1:$I$89,3,0)*0.475*44/12</f>
        <v>5.2551388154603572E-18</v>
      </c>
      <c r="AC153" s="24">
        <f t="shared" si="111"/>
        <v>1.5605244813612655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0</v>
      </c>
      <c r="AJ153" s="14" t="e">
        <f>AI153*VLOOKUP('Données projet'!$B$10,Paramètres!$A$1:$I$89,3,0)*VLOOKUP('Données projet'!$B$10,Paramètres!$A$1:$I$89,5,0)</f>
        <v>#N/A</v>
      </c>
      <c r="AK153" s="14" t="e">
        <f t="shared" si="143"/>
        <v>#N/A</v>
      </c>
      <c r="AL153" s="22" t="e">
        <f t="shared" si="112"/>
        <v>#N/A</v>
      </c>
      <c r="AM153" s="62" t="e">
        <f t="shared" si="113"/>
        <v>#N/A</v>
      </c>
      <c r="AN153" s="62" t="e">
        <f ca="1">AVERAGE(OFFSET($AM$3,0,0,'Données projet'!$E$10+1,1))-AVERAGE(OFFSET($H$3,0,0,'Données projet'!$E$10+1,1))</f>
        <v>#N/A</v>
      </c>
      <c r="AO153" s="62" t="e">
        <f t="shared" si="144"/>
        <v>#N/A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 t="e">
        <f>EXP(-LN(2)/35)*AU152+(1-EXP(-LN(2)/35))/(LN(2)/35)*AQ153*AR153*VLOOKUP('Données projet'!$B$10,Paramètres!$A$1:$I$89,3,0)*0.475*44/12</f>
        <v>#N/A</v>
      </c>
      <c r="AV153" s="23" t="e">
        <f>EXP(-LN(2)/25)*AV152+(1-EXP(-LN(2)/25))/(LN(2)/25)*Calculateur!AQ153*Calculateur!AS153*VLOOKUP('Données projet'!$B$10,Paramètres!$A$1:$I$89,3,0)*0.475*44/12</f>
        <v>#N/A</v>
      </c>
      <c r="AW153" s="23" t="e">
        <f>EXP(-LN(2)/2)*AW152+(1-EXP(-LN(2)/2))/(LN(2)/2)*AQ153*AT153*VLOOKUP('Données projet'!$B$10,Paramètres!$A$1:$I$89,3,0)*0.475*44/12</f>
        <v>#N/A</v>
      </c>
      <c r="AX153" s="23" t="e">
        <f t="shared" si="114"/>
        <v>#N/A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 t="e">
        <f>BD153*VLOOKUP('Données projet'!$B$11,Paramètres!$A$1:$I$89,3,0)*VLOOKUP('Données projet'!$B$11,Paramètres!$A$1:$I$89,5,0)</f>
        <v>#N/A</v>
      </c>
      <c r="BF153" s="14" t="e">
        <f t="shared" si="145"/>
        <v>#N/A</v>
      </c>
      <c r="BG153" s="22" t="e">
        <f t="shared" si="115"/>
        <v>#N/A</v>
      </c>
      <c r="BH153" s="62" t="e">
        <f t="shared" si="116"/>
        <v>#N/A</v>
      </c>
      <c r="BI153" s="62" t="e">
        <f ca="1">AVERAGE(OFFSET($BH$3,0,0,'Données projet'!$E$11+1,1))-AVERAGE(OFFSET($H$3,0,0,'Données projet'!$E$11+1,1))</f>
        <v>#N/A</v>
      </c>
      <c r="BJ153" s="62" t="e">
        <f t="shared" si="146"/>
        <v>#N/A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 t="e">
        <f>EXP(-LN(2)/35)*BP152+(1-EXP(-LN(2)/35))/(LN(2)/35)*BL153*BM153*VLOOKUP('Données projet'!$B$11,Paramètres!$A$1:$I$89,3,0)*0.475*44/12</f>
        <v>#N/A</v>
      </c>
      <c r="BQ153" s="23" t="e">
        <f>EXP(-LN(2)/25)*BQ152+(1-EXP(-LN(2)/25))/(LN(2)/25)*Calculateur!BL153*Calculateur!BN153*VLOOKUP('Données projet'!$B$11,Paramètres!$A$1:$I$89,3,0)*0.475*44/12</f>
        <v>#N/A</v>
      </c>
      <c r="BR153" s="23" t="e">
        <f>EXP(-LN(2)/2)*BR152+(1-EXP(-LN(2)/2))/(LN(2)/2)*BL153*BO153*VLOOKUP('Données projet'!$B$11,Paramètres!$A$1:$I$89,3,0)*0.475*44/12</f>
        <v>#N/A</v>
      </c>
      <c r="BS153" s="24" t="e">
        <f t="shared" si="117"/>
        <v>#N/A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3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74.59399999999998</v>
      </c>
      <c r="D154" s="12">
        <f t="shared" si="140"/>
        <v>20.810054977652769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10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736.45235421345978</v>
      </c>
      <c r="H154" s="70">
        <f t="shared" si="110"/>
        <v>459.49539575274514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-1.1368683772161603E-13</v>
      </c>
      <c r="O154" s="14">
        <f>N154*VLOOKUP('Données projet'!$B$9,Paramètres!$A$1:$I$89,3,0)*VLOOKUP('Données projet'!$B$9,Paramètres!$A$1:$I$89,5,0)</f>
        <v>-6.7984728957526396E-14</v>
      </c>
      <c r="P154" s="14" t="e">
        <f t="shared" si="141"/>
        <v>#NUM!</v>
      </c>
      <c r="Q154" s="22" t="e">
        <f t="shared" ref="Q154:Q203" si="162">(O154+P154)*0.475*44/12</f>
        <v>#NUM!</v>
      </c>
      <c r="R154" s="62" t="e">
        <f t="shared" si="109"/>
        <v>#NUM!</v>
      </c>
      <c r="S154" s="62">
        <f ca="1">AVERAGE(OFFSET($R$3,0,0,'Données projet'!$E$9+1,1))-AVERAGE(OFFSET($H$3,0,0,'Données projet'!$E$9+1,1))</f>
        <v>255.1976414275677</v>
      </c>
      <c r="T154" s="62">
        <f t="shared" si="142"/>
        <v>266.42714758321767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1.0660089131724353</v>
      </c>
      <c r="AA154" s="23">
        <f>EXP(-LN(2)/25)*AA153+(1-EXP(-LN(2)/25))/(LN(2)/25)*Calculateur!V154*Calculateur!X154*VLOOKUP('Données projet'!$B$9,Paramètres!$A$1:$I$89,3,0)*0.475*44/12</f>
        <v>0.46025416836100497</v>
      </c>
      <c r="AB154" s="23">
        <f>EXP(-LN(2)/2)*AB153+(1-EXP(-LN(2)/2))/(LN(2)/2)*V154*Y154*VLOOKUP('Données projet'!$B$9,Paramètres!$A$1:$I$89,3,0)*0.475*44/12</f>
        <v>3.7159442924886592E-18</v>
      </c>
      <c r="AC154" s="24">
        <f t="shared" ref="AC154:AC203" si="163">SUM(Z154:AB154)</f>
        <v>1.5262630815334401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0</v>
      </c>
      <c r="AJ154" s="14" t="e">
        <f>AI154*VLOOKUP('Données projet'!$B$10,Paramètres!$A$1:$I$89,3,0)*VLOOKUP('Données projet'!$B$10,Paramètres!$A$1:$I$89,5,0)</f>
        <v>#N/A</v>
      </c>
      <c r="AK154" s="14" t="e">
        <f t="shared" ref="AK154:AK203" si="164">EXP(-1.0587+0.8836*LN(AJ154)+0.284)</f>
        <v>#N/A</v>
      </c>
      <c r="AL154" s="22" t="e">
        <f t="shared" ref="AL154:AL203" si="165">(AJ154+AK154)*0.475*44/12</f>
        <v>#N/A</v>
      </c>
      <c r="AM154" s="62" t="e">
        <f t="shared" si="113"/>
        <v>#N/A</v>
      </c>
      <c r="AN154" s="62" t="e">
        <f ca="1">AVERAGE(OFFSET($AM$3,0,0,'Données projet'!$E$10+1,1))-AVERAGE(OFFSET($H$3,0,0,'Données projet'!$E$10+1,1))</f>
        <v>#N/A</v>
      </c>
      <c r="AO154" s="62" t="e">
        <f t="shared" si="144"/>
        <v>#N/A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 t="e">
        <f>EXP(-LN(2)/35)*AU153+(1-EXP(-LN(2)/35))/(LN(2)/35)*AQ154*AR154*VLOOKUP('Données projet'!$B$10,Paramètres!$A$1:$I$89,3,0)*0.475*44/12</f>
        <v>#N/A</v>
      </c>
      <c r="AV154" s="23" t="e">
        <f>EXP(-LN(2)/25)*AV153+(1-EXP(-LN(2)/25))/(LN(2)/25)*Calculateur!AQ154*Calculateur!AS154*VLOOKUP('Données projet'!$B$10,Paramètres!$A$1:$I$89,3,0)*0.475*44/12</f>
        <v>#N/A</v>
      </c>
      <c r="AW154" s="23" t="e">
        <f>EXP(-LN(2)/2)*AW153+(1-EXP(-LN(2)/2))/(LN(2)/2)*AQ154*AT154*VLOOKUP('Données projet'!$B$10,Paramètres!$A$1:$I$89,3,0)*0.475*44/12</f>
        <v>#N/A</v>
      </c>
      <c r="AX154" s="23" t="e">
        <f t="shared" ref="AX154:AX203" si="166">SUM(AU154:AW154)</f>
        <v>#N/A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 t="e">
        <f>BD154*VLOOKUP('Données projet'!$B$11,Paramètres!$A$1:$I$89,3,0)*VLOOKUP('Données projet'!$B$11,Paramètres!$A$1:$I$89,5,0)</f>
        <v>#N/A</v>
      </c>
      <c r="BF154" s="14" t="e">
        <f t="shared" ref="BF154:BF203" si="167">EXP(-1.0587+0.8836*LN(BE154)+0.284)</f>
        <v>#N/A</v>
      </c>
      <c r="BG154" s="22" t="e">
        <f t="shared" ref="BG154:BG203" si="168">(BE154+BF154)*0.475*44/12</f>
        <v>#N/A</v>
      </c>
      <c r="BH154" s="62" t="e">
        <f t="shared" si="116"/>
        <v>#N/A</v>
      </c>
      <c r="BI154" s="62" t="e">
        <f ca="1">AVERAGE(OFFSET($BH$3,0,0,'Données projet'!$E$11+1,1))-AVERAGE(OFFSET($H$3,0,0,'Données projet'!$E$11+1,1))</f>
        <v>#N/A</v>
      </c>
      <c r="BJ154" s="62" t="e">
        <f t="shared" si="146"/>
        <v>#N/A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 t="e">
        <f>EXP(-LN(2)/35)*BP153+(1-EXP(-LN(2)/35))/(LN(2)/35)*BL154*BM154*VLOOKUP('Données projet'!$B$11,Paramètres!$A$1:$I$89,3,0)*0.475*44/12</f>
        <v>#N/A</v>
      </c>
      <c r="BQ154" s="23" t="e">
        <f>EXP(-LN(2)/25)*BQ153+(1-EXP(-LN(2)/25))/(LN(2)/25)*Calculateur!BL154*Calculateur!BN154*VLOOKUP('Données projet'!$B$11,Paramètres!$A$1:$I$89,3,0)*0.475*44/12</f>
        <v>#N/A</v>
      </c>
      <c r="BR154" s="23" t="e">
        <f>EXP(-LN(2)/2)*BR153+(1-EXP(-LN(2)/2))/(LN(2)/2)*BL154*BO154*VLOOKUP('Données projet'!$B$11,Paramètres!$A$1:$I$89,3,0)*0.475*44/12</f>
        <v>#N/A</v>
      </c>
      <c r="BS154" s="24" t="e">
        <f t="shared" ref="BS154:BS203" si="169">SUM(BP154:BR154)</f>
        <v>#N/A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3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75.08799999999998</v>
      </c>
      <c r="D155" s="12">
        <f t="shared" si="140"/>
        <v>20.931781433141548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10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741.20533036109248</v>
      </c>
      <c r="H155" s="70">
        <f t="shared" si="110"/>
        <v>460.56778599605479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-1.1368683772161603E-13</v>
      </c>
      <c r="O155" s="14">
        <f>N155*VLOOKUP('Données projet'!$B$9,Paramètres!$A$1:$I$89,3,0)*VLOOKUP('Données projet'!$B$9,Paramètres!$A$1:$I$89,5,0)</f>
        <v>-6.7984728957526396E-14</v>
      </c>
      <c r="P155" s="14" t="e">
        <f t="shared" si="141"/>
        <v>#NUM!</v>
      </c>
      <c r="Q155" s="22" t="e">
        <f t="shared" si="162"/>
        <v>#NUM!</v>
      </c>
      <c r="R155" s="62" t="e">
        <f t="shared" si="109"/>
        <v>#NUM!</v>
      </c>
      <c r="S155" s="62">
        <f ca="1">AVERAGE(OFFSET($R$3,0,0,'Données projet'!$E$9+1,1))-AVERAGE(OFFSET($H$3,0,0,'Données projet'!$E$9+1,1))</f>
        <v>255.1976414275677</v>
      </c>
      <c r="T155" s="62">
        <f t="shared" si="142"/>
        <v>266.42714758321767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1.0451051285863588</v>
      </c>
      <c r="AA155" s="23">
        <f>EXP(-LN(2)/25)*AA154+(1-EXP(-LN(2)/25))/(LN(2)/25)*Calculateur!V155*Calculateur!X155*VLOOKUP('Données projet'!$B$9,Paramètres!$A$1:$I$89,3,0)*0.475*44/12</f>
        <v>0.44766849392345848</v>
      </c>
      <c r="AB155" s="23">
        <f>EXP(-LN(2)/2)*AB154+(1-EXP(-LN(2)/2))/(LN(2)/2)*V155*Y155*VLOOKUP('Données projet'!$B$9,Paramètres!$A$1:$I$89,3,0)*0.475*44/12</f>
        <v>2.6275694077301786E-18</v>
      </c>
      <c r="AC155" s="24">
        <f t="shared" si="163"/>
        <v>1.4927736225098174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0</v>
      </c>
      <c r="AJ155" s="14" t="e">
        <f>AI155*VLOOKUP('Données projet'!$B$10,Paramètres!$A$1:$I$89,3,0)*VLOOKUP('Données projet'!$B$10,Paramètres!$A$1:$I$89,5,0)</f>
        <v>#N/A</v>
      </c>
      <c r="AK155" s="14" t="e">
        <f t="shared" si="164"/>
        <v>#N/A</v>
      </c>
      <c r="AL155" s="22" t="e">
        <f t="shared" si="165"/>
        <v>#N/A</v>
      </c>
      <c r="AM155" s="62" t="e">
        <f t="shared" si="113"/>
        <v>#N/A</v>
      </c>
      <c r="AN155" s="62" t="e">
        <f ca="1">AVERAGE(OFFSET($AM$3,0,0,'Données projet'!$E$10+1,1))-AVERAGE(OFFSET($H$3,0,0,'Données projet'!$E$10+1,1))</f>
        <v>#N/A</v>
      </c>
      <c r="AO155" s="62" t="e">
        <f t="shared" si="144"/>
        <v>#N/A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 t="e">
        <f>EXP(-LN(2)/35)*AU154+(1-EXP(-LN(2)/35))/(LN(2)/35)*AQ155*AR155*VLOOKUP('Données projet'!$B$10,Paramètres!$A$1:$I$89,3,0)*0.475*44/12</f>
        <v>#N/A</v>
      </c>
      <c r="AV155" s="23" t="e">
        <f>EXP(-LN(2)/25)*AV154+(1-EXP(-LN(2)/25))/(LN(2)/25)*Calculateur!AQ155*Calculateur!AS155*VLOOKUP('Données projet'!$B$10,Paramètres!$A$1:$I$89,3,0)*0.475*44/12</f>
        <v>#N/A</v>
      </c>
      <c r="AW155" s="23" t="e">
        <f>EXP(-LN(2)/2)*AW154+(1-EXP(-LN(2)/2))/(LN(2)/2)*AQ155*AT155*VLOOKUP('Données projet'!$B$10,Paramètres!$A$1:$I$89,3,0)*0.475*44/12</f>
        <v>#N/A</v>
      </c>
      <c r="AX155" s="23" t="e">
        <f t="shared" si="166"/>
        <v>#N/A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 t="e">
        <f>BD155*VLOOKUP('Données projet'!$B$11,Paramètres!$A$1:$I$89,3,0)*VLOOKUP('Données projet'!$B$11,Paramètres!$A$1:$I$89,5,0)</f>
        <v>#N/A</v>
      </c>
      <c r="BF155" s="14" t="e">
        <f t="shared" si="167"/>
        <v>#N/A</v>
      </c>
      <c r="BG155" s="22" t="e">
        <f t="shared" si="168"/>
        <v>#N/A</v>
      </c>
      <c r="BH155" s="62" t="e">
        <f t="shared" si="116"/>
        <v>#N/A</v>
      </c>
      <c r="BI155" s="62" t="e">
        <f ca="1">AVERAGE(OFFSET($BH$3,0,0,'Données projet'!$E$11+1,1))-AVERAGE(OFFSET($H$3,0,0,'Données projet'!$E$11+1,1))</f>
        <v>#N/A</v>
      </c>
      <c r="BJ155" s="62" t="e">
        <f t="shared" si="146"/>
        <v>#N/A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 t="e">
        <f>EXP(-LN(2)/35)*BP154+(1-EXP(-LN(2)/35))/(LN(2)/35)*BL155*BM155*VLOOKUP('Données projet'!$B$11,Paramètres!$A$1:$I$89,3,0)*0.475*44/12</f>
        <v>#N/A</v>
      </c>
      <c r="BQ155" s="23" t="e">
        <f>EXP(-LN(2)/25)*BQ154+(1-EXP(-LN(2)/25))/(LN(2)/25)*Calculateur!BL155*Calculateur!BN155*VLOOKUP('Données projet'!$B$11,Paramètres!$A$1:$I$89,3,0)*0.475*44/12</f>
        <v>#N/A</v>
      </c>
      <c r="BR155" s="23" t="e">
        <f>EXP(-LN(2)/2)*BR154+(1-EXP(-LN(2)/2))/(LN(2)/2)*BL155*BO155*VLOOKUP('Données projet'!$B$11,Paramètres!$A$1:$I$89,3,0)*0.475*44/12</f>
        <v>#N/A</v>
      </c>
      <c r="BS155" s="24" t="e">
        <f t="shared" si="169"/>
        <v>#N/A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3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75.581999999999979</v>
      </c>
      <c r="D156" s="12">
        <f t="shared" si="140"/>
        <v>21.053414706764119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10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745.95758721010895</v>
      </c>
      <c r="H156" s="70">
        <f t="shared" si="110"/>
        <v>461.64001394761408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-1.1368683772161603E-13</v>
      </c>
      <c r="O156" s="14">
        <f>N156*VLOOKUP('Données projet'!$B$9,Paramètres!$A$1:$I$89,3,0)*VLOOKUP('Données projet'!$B$9,Paramètres!$A$1:$I$89,5,0)</f>
        <v>-6.7984728957526396E-14</v>
      </c>
      <c r="P156" s="14" t="e">
        <f t="shared" si="141"/>
        <v>#NUM!</v>
      </c>
      <c r="Q156" s="22" t="e">
        <f t="shared" si="162"/>
        <v>#NUM!</v>
      </c>
      <c r="R156" s="62" t="e">
        <f t="shared" si="109"/>
        <v>#NUM!</v>
      </c>
      <c r="S156" s="62">
        <f ca="1">AVERAGE(OFFSET($R$3,0,0,'Données projet'!$E$9+1,1))-AVERAGE(OFFSET($H$3,0,0,'Données projet'!$E$9+1,1))</f>
        <v>255.1976414275677</v>
      </c>
      <c r="T156" s="62">
        <f t="shared" si="142"/>
        <v>266.42714758321767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1.0246112544659658</v>
      </c>
      <c r="AA156" s="23">
        <f>EXP(-LN(2)/25)*AA155+(1-EXP(-LN(2)/25))/(LN(2)/25)*Calculateur!V156*Calculateur!X156*VLOOKUP('Données projet'!$B$9,Paramètres!$A$1:$I$89,3,0)*0.475*44/12</f>
        <v>0.43542697541525854</v>
      </c>
      <c r="AB156" s="23">
        <f>EXP(-LN(2)/2)*AB155+(1-EXP(-LN(2)/2))/(LN(2)/2)*V156*Y156*VLOOKUP('Données projet'!$B$9,Paramètres!$A$1:$I$89,3,0)*0.475*44/12</f>
        <v>1.8579721462443296E-18</v>
      </c>
      <c r="AC156" s="24">
        <f t="shared" si="163"/>
        <v>1.4600382298812242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0</v>
      </c>
      <c r="AJ156" s="14" t="e">
        <f>AI156*VLOOKUP('Données projet'!$B$10,Paramètres!$A$1:$I$89,3,0)*VLOOKUP('Données projet'!$B$10,Paramètres!$A$1:$I$89,5,0)</f>
        <v>#N/A</v>
      </c>
      <c r="AK156" s="14" t="e">
        <f t="shared" si="164"/>
        <v>#N/A</v>
      </c>
      <c r="AL156" s="22" t="e">
        <f t="shared" si="165"/>
        <v>#N/A</v>
      </c>
      <c r="AM156" s="62" t="e">
        <f t="shared" si="113"/>
        <v>#N/A</v>
      </c>
      <c r="AN156" s="62" t="e">
        <f ca="1">AVERAGE(OFFSET($AM$3,0,0,'Données projet'!$E$10+1,1))-AVERAGE(OFFSET($H$3,0,0,'Données projet'!$E$10+1,1))</f>
        <v>#N/A</v>
      </c>
      <c r="AO156" s="62" t="e">
        <f t="shared" si="144"/>
        <v>#N/A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 t="e">
        <f>EXP(-LN(2)/35)*AU155+(1-EXP(-LN(2)/35))/(LN(2)/35)*AQ156*AR156*VLOOKUP('Données projet'!$B$10,Paramètres!$A$1:$I$89,3,0)*0.475*44/12</f>
        <v>#N/A</v>
      </c>
      <c r="AV156" s="23" t="e">
        <f>EXP(-LN(2)/25)*AV155+(1-EXP(-LN(2)/25))/(LN(2)/25)*Calculateur!AQ156*Calculateur!AS156*VLOOKUP('Données projet'!$B$10,Paramètres!$A$1:$I$89,3,0)*0.475*44/12</f>
        <v>#N/A</v>
      </c>
      <c r="AW156" s="23" t="e">
        <f>EXP(-LN(2)/2)*AW155+(1-EXP(-LN(2)/2))/(LN(2)/2)*AQ156*AT156*VLOOKUP('Données projet'!$B$10,Paramètres!$A$1:$I$89,3,0)*0.475*44/12</f>
        <v>#N/A</v>
      </c>
      <c r="AX156" s="23" t="e">
        <f t="shared" si="166"/>
        <v>#N/A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 t="e">
        <f>BD156*VLOOKUP('Données projet'!$B$11,Paramètres!$A$1:$I$89,3,0)*VLOOKUP('Données projet'!$B$11,Paramètres!$A$1:$I$89,5,0)</f>
        <v>#N/A</v>
      </c>
      <c r="BF156" s="14" t="e">
        <f t="shared" si="167"/>
        <v>#N/A</v>
      </c>
      <c r="BG156" s="22" t="e">
        <f t="shared" si="168"/>
        <v>#N/A</v>
      </c>
      <c r="BH156" s="62" t="e">
        <f t="shared" si="116"/>
        <v>#N/A</v>
      </c>
      <c r="BI156" s="62" t="e">
        <f ca="1">AVERAGE(OFFSET($BH$3,0,0,'Données projet'!$E$11+1,1))-AVERAGE(OFFSET($H$3,0,0,'Données projet'!$E$11+1,1))</f>
        <v>#N/A</v>
      </c>
      <c r="BJ156" s="62" t="e">
        <f t="shared" si="146"/>
        <v>#N/A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 t="e">
        <f>EXP(-LN(2)/35)*BP155+(1-EXP(-LN(2)/35))/(LN(2)/35)*BL156*BM156*VLOOKUP('Données projet'!$B$11,Paramètres!$A$1:$I$89,3,0)*0.475*44/12</f>
        <v>#N/A</v>
      </c>
      <c r="BQ156" s="23" t="e">
        <f>EXP(-LN(2)/25)*BQ155+(1-EXP(-LN(2)/25))/(LN(2)/25)*Calculateur!BL156*Calculateur!BN156*VLOOKUP('Données projet'!$B$11,Paramètres!$A$1:$I$89,3,0)*0.475*44/12</f>
        <v>#N/A</v>
      </c>
      <c r="BR156" s="23" t="e">
        <f>EXP(-LN(2)/2)*BR155+(1-EXP(-LN(2)/2))/(LN(2)/2)*BL156*BO156*VLOOKUP('Données projet'!$B$11,Paramètres!$A$1:$I$89,3,0)*0.475*44/12</f>
        <v>#N/A</v>
      </c>
      <c r="BS156" s="24" t="e">
        <f t="shared" si="169"/>
        <v>#N/A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3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76.075999999999979</v>
      </c>
      <c r="D157" s="12">
        <f t="shared" si="140"/>
        <v>21.174955478194743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10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750.70913000711732</v>
      </c>
      <c r="H157" s="70">
        <f t="shared" si="110"/>
        <v>462.71208079118912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-1.1368683772161603E-13</v>
      </c>
      <c r="O157" s="14">
        <f>N157*VLOOKUP('Données projet'!$B$9,Paramètres!$A$1:$I$89,3,0)*VLOOKUP('Données projet'!$B$9,Paramètres!$A$1:$I$89,5,0)</f>
        <v>-6.7984728957526396E-14</v>
      </c>
      <c r="P157" s="14" t="e">
        <f t="shared" si="141"/>
        <v>#NUM!</v>
      </c>
      <c r="Q157" s="22" t="e">
        <f t="shared" si="162"/>
        <v>#NUM!</v>
      </c>
      <c r="R157" s="62" t="e">
        <f t="shared" si="109"/>
        <v>#NUM!</v>
      </c>
      <c r="S157" s="62">
        <f ca="1">AVERAGE(OFFSET($R$3,0,0,'Données projet'!$E$9+1,1))-AVERAGE(OFFSET($H$3,0,0,'Données projet'!$E$9+1,1))</f>
        <v>255.1976414275677</v>
      </c>
      <c r="T157" s="62">
        <f t="shared" si="142"/>
        <v>266.42714758321767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1.0045192527170446</v>
      </c>
      <c r="AA157" s="23">
        <f>EXP(-LN(2)/25)*AA156+(1-EXP(-LN(2)/25))/(LN(2)/25)*Calculateur!V157*Calculateur!X157*VLOOKUP('Données projet'!$B$9,Paramètres!$A$1:$I$89,3,0)*0.475*44/12</f>
        <v>0.42352020187441886</v>
      </c>
      <c r="AB157" s="23">
        <f>EXP(-LN(2)/2)*AB156+(1-EXP(-LN(2)/2))/(LN(2)/2)*V157*Y157*VLOOKUP('Données projet'!$B$9,Paramètres!$A$1:$I$89,3,0)*0.475*44/12</f>
        <v>1.3137847038650893E-18</v>
      </c>
      <c r="AC157" s="24">
        <f t="shared" si="163"/>
        <v>1.4280394545914634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0</v>
      </c>
      <c r="AJ157" s="14" t="e">
        <f>AI157*VLOOKUP('Données projet'!$B$10,Paramètres!$A$1:$I$89,3,0)*VLOOKUP('Données projet'!$B$10,Paramètres!$A$1:$I$89,5,0)</f>
        <v>#N/A</v>
      </c>
      <c r="AK157" s="14" t="e">
        <f t="shared" si="164"/>
        <v>#N/A</v>
      </c>
      <c r="AL157" s="22" t="e">
        <f t="shared" si="165"/>
        <v>#N/A</v>
      </c>
      <c r="AM157" s="62" t="e">
        <f t="shared" si="113"/>
        <v>#N/A</v>
      </c>
      <c r="AN157" s="62" t="e">
        <f ca="1">AVERAGE(OFFSET($AM$3,0,0,'Données projet'!$E$10+1,1))-AVERAGE(OFFSET($H$3,0,0,'Données projet'!$E$10+1,1))</f>
        <v>#N/A</v>
      </c>
      <c r="AO157" s="62" t="e">
        <f t="shared" si="144"/>
        <v>#N/A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 t="e">
        <f>EXP(-LN(2)/35)*AU156+(1-EXP(-LN(2)/35))/(LN(2)/35)*AQ157*AR157*VLOOKUP('Données projet'!$B$10,Paramètres!$A$1:$I$89,3,0)*0.475*44/12</f>
        <v>#N/A</v>
      </c>
      <c r="AV157" s="23" t="e">
        <f>EXP(-LN(2)/25)*AV156+(1-EXP(-LN(2)/25))/(LN(2)/25)*Calculateur!AQ157*Calculateur!AS157*VLOOKUP('Données projet'!$B$10,Paramètres!$A$1:$I$89,3,0)*0.475*44/12</f>
        <v>#N/A</v>
      </c>
      <c r="AW157" s="23" t="e">
        <f>EXP(-LN(2)/2)*AW156+(1-EXP(-LN(2)/2))/(LN(2)/2)*AQ157*AT157*VLOOKUP('Données projet'!$B$10,Paramètres!$A$1:$I$89,3,0)*0.475*44/12</f>
        <v>#N/A</v>
      </c>
      <c r="AX157" s="23" t="e">
        <f t="shared" si="166"/>
        <v>#N/A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 t="e">
        <f>BD157*VLOOKUP('Données projet'!$B$11,Paramètres!$A$1:$I$89,3,0)*VLOOKUP('Données projet'!$B$11,Paramètres!$A$1:$I$89,5,0)</f>
        <v>#N/A</v>
      </c>
      <c r="BF157" s="14" t="e">
        <f t="shared" si="167"/>
        <v>#N/A</v>
      </c>
      <c r="BG157" s="22" t="e">
        <f t="shared" si="168"/>
        <v>#N/A</v>
      </c>
      <c r="BH157" s="62" t="e">
        <f t="shared" si="116"/>
        <v>#N/A</v>
      </c>
      <c r="BI157" s="62" t="e">
        <f ca="1">AVERAGE(OFFSET($BH$3,0,0,'Données projet'!$E$11+1,1))-AVERAGE(OFFSET($H$3,0,0,'Données projet'!$E$11+1,1))</f>
        <v>#N/A</v>
      </c>
      <c r="BJ157" s="62" t="e">
        <f t="shared" si="146"/>
        <v>#N/A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 t="e">
        <f>EXP(-LN(2)/35)*BP156+(1-EXP(-LN(2)/35))/(LN(2)/35)*BL157*BM157*VLOOKUP('Données projet'!$B$11,Paramètres!$A$1:$I$89,3,0)*0.475*44/12</f>
        <v>#N/A</v>
      </c>
      <c r="BQ157" s="23" t="e">
        <f>EXP(-LN(2)/25)*BQ156+(1-EXP(-LN(2)/25))/(LN(2)/25)*Calculateur!BL157*Calculateur!BN157*VLOOKUP('Données projet'!$B$11,Paramètres!$A$1:$I$89,3,0)*0.475*44/12</f>
        <v>#N/A</v>
      </c>
      <c r="BR157" s="23" t="e">
        <f>EXP(-LN(2)/2)*BR156+(1-EXP(-LN(2)/2))/(LN(2)/2)*BL157*BO157*VLOOKUP('Données projet'!$B$11,Paramètres!$A$1:$I$89,3,0)*0.475*44/12</f>
        <v>#N/A</v>
      </c>
      <c r="BS157" s="24" t="e">
        <f t="shared" si="169"/>
        <v>#N/A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3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76.569999999999979</v>
      </c>
      <c r="D158" s="12">
        <f t="shared" si="140"/>
        <v>21.296404417770301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10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755.4599639266479</v>
      </c>
      <c r="H158" s="70">
        <f t="shared" si="110"/>
        <v>463.78398769428327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-1.1368683772161603E-13</v>
      </c>
      <c r="O158" s="14">
        <f>N158*VLOOKUP('Données projet'!$B$9,Paramètres!$A$1:$I$89,3,0)*VLOOKUP('Données projet'!$B$9,Paramètres!$A$1:$I$89,5,0)</f>
        <v>-6.7984728957526396E-14</v>
      </c>
      <c r="P158" s="14" t="e">
        <f t="shared" si="141"/>
        <v>#NUM!</v>
      </c>
      <c r="Q158" s="22" t="e">
        <f t="shared" si="162"/>
        <v>#NUM!</v>
      </c>
      <c r="R158" s="62" t="e">
        <f t="shared" si="109"/>
        <v>#NUM!</v>
      </c>
      <c r="S158" s="62">
        <f ca="1">AVERAGE(OFFSET($R$3,0,0,'Données projet'!$E$9+1,1))-AVERAGE(OFFSET($H$3,0,0,'Données projet'!$E$9+1,1))</f>
        <v>255.1976414275677</v>
      </c>
      <c r="T158" s="62">
        <f t="shared" si="142"/>
        <v>266.42714758321767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0.98482124286750872</v>
      </c>
      <c r="AA158" s="23">
        <f>EXP(-LN(2)/25)*AA157+(1-EXP(-LN(2)/25))/(LN(2)/25)*Calculateur!V158*Calculateur!X158*VLOOKUP('Données projet'!$B$9,Paramètres!$A$1:$I$89,3,0)*0.475*44/12</f>
        <v>0.41193901968220342</v>
      </c>
      <c r="AB158" s="23">
        <f>EXP(-LN(2)/2)*AB157+(1-EXP(-LN(2)/2))/(LN(2)/2)*V158*Y158*VLOOKUP('Données projet'!$B$9,Paramètres!$A$1:$I$89,3,0)*0.475*44/12</f>
        <v>9.2898607312216481E-19</v>
      </c>
      <c r="AC158" s="24">
        <f t="shared" si="163"/>
        <v>1.3967602625497122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0</v>
      </c>
      <c r="AJ158" s="14" t="e">
        <f>AI158*VLOOKUP('Données projet'!$B$10,Paramètres!$A$1:$I$89,3,0)*VLOOKUP('Données projet'!$B$10,Paramètres!$A$1:$I$89,5,0)</f>
        <v>#N/A</v>
      </c>
      <c r="AK158" s="14" t="e">
        <f t="shared" si="164"/>
        <v>#N/A</v>
      </c>
      <c r="AL158" s="22" t="e">
        <f t="shared" si="165"/>
        <v>#N/A</v>
      </c>
      <c r="AM158" s="62" t="e">
        <f t="shared" si="113"/>
        <v>#N/A</v>
      </c>
      <c r="AN158" s="62" t="e">
        <f ca="1">AVERAGE(OFFSET($AM$3,0,0,'Données projet'!$E$10+1,1))-AVERAGE(OFFSET($H$3,0,0,'Données projet'!$E$10+1,1))</f>
        <v>#N/A</v>
      </c>
      <c r="AO158" s="62" t="e">
        <f t="shared" si="144"/>
        <v>#N/A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 t="e">
        <f>EXP(-LN(2)/35)*AU157+(1-EXP(-LN(2)/35))/(LN(2)/35)*AQ158*AR158*VLOOKUP('Données projet'!$B$10,Paramètres!$A$1:$I$89,3,0)*0.475*44/12</f>
        <v>#N/A</v>
      </c>
      <c r="AV158" s="23" t="e">
        <f>EXP(-LN(2)/25)*AV157+(1-EXP(-LN(2)/25))/(LN(2)/25)*Calculateur!AQ158*Calculateur!AS158*VLOOKUP('Données projet'!$B$10,Paramètres!$A$1:$I$89,3,0)*0.475*44/12</f>
        <v>#N/A</v>
      </c>
      <c r="AW158" s="23" t="e">
        <f>EXP(-LN(2)/2)*AW157+(1-EXP(-LN(2)/2))/(LN(2)/2)*AQ158*AT158*VLOOKUP('Données projet'!$B$10,Paramètres!$A$1:$I$89,3,0)*0.475*44/12</f>
        <v>#N/A</v>
      </c>
      <c r="AX158" s="23" t="e">
        <f t="shared" si="166"/>
        <v>#N/A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 t="e">
        <f>BD158*VLOOKUP('Données projet'!$B$11,Paramètres!$A$1:$I$89,3,0)*VLOOKUP('Données projet'!$B$11,Paramètres!$A$1:$I$89,5,0)</f>
        <v>#N/A</v>
      </c>
      <c r="BF158" s="14" t="e">
        <f t="shared" si="167"/>
        <v>#N/A</v>
      </c>
      <c r="BG158" s="22" t="e">
        <f t="shared" si="168"/>
        <v>#N/A</v>
      </c>
      <c r="BH158" s="62" t="e">
        <f t="shared" si="116"/>
        <v>#N/A</v>
      </c>
      <c r="BI158" s="62" t="e">
        <f ca="1">AVERAGE(OFFSET($BH$3,0,0,'Données projet'!$E$11+1,1))-AVERAGE(OFFSET($H$3,0,0,'Données projet'!$E$11+1,1))</f>
        <v>#N/A</v>
      </c>
      <c r="BJ158" s="62" t="e">
        <f t="shared" si="146"/>
        <v>#N/A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 t="e">
        <f>EXP(-LN(2)/35)*BP157+(1-EXP(-LN(2)/35))/(LN(2)/35)*BL158*BM158*VLOOKUP('Données projet'!$B$11,Paramètres!$A$1:$I$89,3,0)*0.475*44/12</f>
        <v>#N/A</v>
      </c>
      <c r="BQ158" s="23" t="e">
        <f>EXP(-LN(2)/25)*BQ157+(1-EXP(-LN(2)/25))/(LN(2)/25)*Calculateur!BL158*Calculateur!BN158*VLOOKUP('Données projet'!$B$11,Paramètres!$A$1:$I$89,3,0)*0.475*44/12</f>
        <v>#N/A</v>
      </c>
      <c r="BR158" s="23" t="e">
        <f>EXP(-LN(2)/2)*BR157+(1-EXP(-LN(2)/2))/(LN(2)/2)*BL158*BO158*VLOOKUP('Données projet'!$B$11,Paramètres!$A$1:$I$89,3,0)*0.475*44/12</f>
        <v>#N/A</v>
      </c>
      <c r="BS158" s="24" t="e">
        <f t="shared" si="169"/>
        <v>#N/A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3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77.063999999999979</v>
      </c>
      <c r="D159" s="12">
        <f t="shared" si="140"/>
        <v>21.417762186678065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10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760.21009407260237</v>
      </c>
      <c r="H159" s="70">
        <f t="shared" si="110"/>
        <v>464.85573580846426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-1.1368683772161603E-13</v>
      </c>
      <c r="O159" s="14">
        <f>N159*VLOOKUP('Données projet'!$B$9,Paramètres!$A$1:$I$89,3,0)*VLOOKUP('Données projet'!$B$9,Paramètres!$A$1:$I$89,5,0)</f>
        <v>-6.7984728957526396E-14</v>
      </c>
      <c r="P159" s="14" t="e">
        <f t="shared" si="141"/>
        <v>#NUM!</v>
      </c>
      <c r="Q159" s="22" t="e">
        <f t="shared" si="162"/>
        <v>#NUM!</v>
      </c>
      <c r="R159" s="62" t="e">
        <f t="shared" si="109"/>
        <v>#NUM!</v>
      </c>
      <c r="S159" s="62">
        <f ca="1">AVERAGE(OFFSET($R$3,0,0,'Données projet'!$E$9+1,1))-AVERAGE(OFFSET($H$3,0,0,'Données projet'!$E$9+1,1))</f>
        <v>255.1976414275677</v>
      </c>
      <c r="T159" s="62">
        <f t="shared" si="142"/>
        <v>266.42714758321767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0.96550949897652261</v>
      </c>
      <c r="AA159" s="23">
        <f>EXP(-LN(2)/25)*AA158+(1-EXP(-LN(2)/25))/(LN(2)/25)*Calculateur!V159*Calculateur!X159*VLOOKUP('Données projet'!$B$9,Paramètres!$A$1:$I$89,3,0)*0.475*44/12</f>
        <v>0.40067452552606203</v>
      </c>
      <c r="AB159" s="23">
        <f>EXP(-LN(2)/2)*AB158+(1-EXP(-LN(2)/2))/(LN(2)/2)*V159*Y159*VLOOKUP('Données projet'!$B$9,Paramètres!$A$1:$I$89,3,0)*0.475*44/12</f>
        <v>6.5689235193254465E-19</v>
      </c>
      <c r="AC159" s="24">
        <f t="shared" si="163"/>
        <v>1.3661840245025847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0</v>
      </c>
      <c r="AJ159" s="14" t="e">
        <f>AI159*VLOOKUP('Données projet'!$B$10,Paramètres!$A$1:$I$89,3,0)*VLOOKUP('Données projet'!$B$10,Paramètres!$A$1:$I$89,5,0)</f>
        <v>#N/A</v>
      </c>
      <c r="AK159" s="14" t="e">
        <f t="shared" si="164"/>
        <v>#N/A</v>
      </c>
      <c r="AL159" s="22" t="e">
        <f t="shared" si="165"/>
        <v>#N/A</v>
      </c>
      <c r="AM159" s="62" t="e">
        <f t="shared" si="113"/>
        <v>#N/A</v>
      </c>
      <c r="AN159" s="62" t="e">
        <f ca="1">AVERAGE(OFFSET($AM$3,0,0,'Données projet'!$E$10+1,1))-AVERAGE(OFFSET($H$3,0,0,'Données projet'!$E$10+1,1))</f>
        <v>#N/A</v>
      </c>
      <c r="AO159" s="62" t="e">
        <f t="shared" si="144"/>
        <v>#N/A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 t="e">
        <f>EXP(-LN(2)/35)*AU158+(1-EXP(-LN(2)/35))/(LN(2)/35)*AQ159*AR159*VLOOKUP('Données projet'!$B$10,Paramètres!$A$1:$I$89,3,0)*0.475*44/12</f>
        <v>#N/A</v>
      </c>
      <c r="AV159" s="23" t="e">
        <f>EXP(-LN(2)/25)*AV158+(1-EXP(-LN(2)/25))/(LN(2)/25)*Calculateur!AQ159*Calculateur!AS159*VLOOKUP('Données projet'!$B$10,Paramètres!$A$1:$I$89,3,0)*0.475*44/12</f>
        <v>#N/A</v>
      </c>
      <c r="AW159" s="23" t="e">
        <f>EXP(-LN(2)/2)*AW158+(1-EXP(-LN(2)/2))/(LN(2)/2)*AQ159*AT159*VLOOKUP('Données projet'!$B$10,Paramètres!$A$1:$I$89,3,0)*0.475*44/12</f>
        <v>#N/A</v>
      </c>
      <c r="AX159" s="23" t="e">
        <f t="shared" si="166"/>
        <v>#N/A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 t="e">
        <f>BD159*VLOOKUP('Données projet'!$B$11,Paramètres!$A$1:$I$89,3,0)*VLOOKUP('Données projet'!$B$11,Paramètres!$A$1:$I$89,5,0)</f>
        <v>#N/A</v>
      </c>
      <c r="BF159" s="14" t="e">
        <f t="shared" si="167"/>
        <v>#N/A</v>
      </c>
      <c r="BG159" s="22" t="e">
        <f t="shared" si="168"/>
        <v>#N/A</v>
      </c>
      <c r="BH159" s="62" t="e">
        <f t="shared" si="116"/>
        <v>#N/A</v>
      </c>
      <c r="BI159" s="62" t="e">
        <f ca="1">AVERAGE(OFFSET($BH$3,0,0,'Données projet'!$E$11+1,1))-AVERAGE(OFFSET($H$3,0,0,'Données projet'!$E$11+1,1))</f>
        <v>#N/A</v>
      </c>
      <c r="BJ159" s="62" t="e">
        <f t="shared" si="146"/>
        <v>#N/A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 t="e">
        <f>EXP(-LN(2)/35)*BP158+(1-EXP(-LN(2)/35))/(LN(2)/35)*BL159*BM159*VLOOKUP('Données projet'!$B$11,Paramètres!$A$1:$I$89,3,0)*0.475*44/12</f>
        <v>#N/A</v>
      </c>
      <c r="BQ159" s="23" t="e">
        <f>EXP(-LN(2)/25)*BQ158+(1-EXP(-LN(2)/25))/(LN(2)/25)*Calculateur!BL159*Calculateur!BN159*VLOOKUP('Données projet'!$B$11,Paramètres!$A$1:$I$89,3,0)*0.475*44/12</f>
        <v>#N/A</v>
      </c>
      <c r="BR159" s="23" t="e">
        <f>EXP(-LN(2)/2)*BR158+(1-EXP(-LN(2)/2))/(LN(2)/2)*BL159*BO159*VLOOKUP('Données projet'!$B$11,Paramètres!$A$1:$I$89,3,0)*0.475*44/12</f>
        <v>#N/A</v>
      </c>
      <c r="BS159" s="24" t="e">
        <f t="shared" si="169"/>
        <v>#N/A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3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77.557999999999979</v>
      </c>
      <c r="D160" s="12">
        <f t="shared" si="140"/>
        <v>21.539029437138336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10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764.95952547966419</v>
      </c>
      <c r="H160" s="70">
        <f t="shared" si="110"/>
        <v>465.92732626968257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-1.1368683772161603E-13</v>
      </c>
      <c r="O160" s="14">
        <f>N160*VLOOKUP('Données projet'!$B$9,Paramètres!$A$1:$I$89,3,0)*VLOOKUP('Données projet'!$B$9,Paramètres!$A$1:$I$89,5,0)</f>
        <v>-6.7984728957526396E-14</v>
      </c>
      <c r="P160" s="14" t="e">
        <f t="shared" si="141"/>
        <v>#NUM!</v>
      </c>
      <c r="Q160" s="22" t="e">
        <f t="shared" si="162"/>
        <v>#NUM!</v>
      </c>
      <c r="R160" s="62" t="e">
        <f t="shared" si="109"/>
        <v>#NUM!</v>
      </c>
      <c r="S160" s="62">
        <f ca="1">AVERAGE(OFFSET($R$3,0,0,'Données projet'!$E$9+1,1))-AVERAGE(OFFSET($H$3,0,0,'Données projet'!$E$9+1,1))</f>
        <v>255.1976414275677</v>
      </c>
      <c r="T160" s="62">
        <f t="shared" si="142"/>
        <v>266.42714758321767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0.94657644660423812</v>
      </c>
      <c r="AA160" s="23">
        <f>EXP(-LN(2)/25)*AA159+(1-EXP(-LN(2)/25))/(LN(2)/25)*Calculateur!V160*Calculateur!X160*VLOOKUP('Données projet'!$B$9,Paramètres!$A$1:$I$89,3,0)*0.475*44/12</f>
        <v>0.38971805955499433</v>
      </c>
      <c r="AB160" s="23">
        <f>EXP(-LN(2)/2)*AB159+(1-EXP(-LN(2)/2))/(LN(2)/2)*V160*Y160*VLOOKUP('Données projet'!$B$9,Paramètres!$A$1:$I$89,3,0)*0.475*44/12</f>
        <v>4.644930365610824E-19</v>
      </c>
      <c r="AC160" s="24">
        <f t="shared" si="163"/>
        <v>1.3362945061592324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0</v>
      </c>
      <c r="AJ160" s="14" t="e">
        <f>AI160*VLOOKUP('Données projet'!$B$10,Paramètres!$A$1:$I$89,3,0)*VLOOKUP('Données projet'!$B$10,Paramètres!$A$1:$I$89,5,0)</f>
        <v>#N/A</v>
      </c>
      <c r="AK160" s="14" t="e">
        <f t="shared" si="164"/>
        <v>#N/A</v>
      </c>
      <c r="AL160" s="22" t="e">
        <f t="shared" si="165"/>
        <v>#N/A</v>
      </c>
      <c r="AM160" s="62" t="e">
        <f t="shared" si="113"/>
        <v>#N/A</v>
      </c>
      <c r="AN160" s="62" t="e">
        <f ca="1">AVERAGE(OFFSET($AM$3,0,0,'Données projet'!$E$10+1,1))-AVERAGE(OFFSET($H$3,0,0,'Données projet'!$E$10+1,1))</f>
        <v>#N/A</v>
      </c>
      <c r="AO160" s="62" t="e">
        <f t="shared" si="144"/>
        <v>#N/A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 t="e">
        <f>EXP(-LN(2)/35)*AU159+(1-EXP(-LN(2)/35))/(LN(2)/35)*AQ160*AR160*VLOOKUP('Données projet'!$B$10,Paramètres!$A$1:$I$89,3,0)*0.475*44/12</f>
        <v>#N/A</v>
      </c>
      <c r="AV160" s="23" t="e">
        <f>EXP(-LN(2)/25)*AV159+(1-EXP(-LN(2)/25))/(LN(2)/25)*Calculateur!AQ160*Calculateur!AS160*VLOOKUP('Données projet'!$B$10,Paramètres!$A$1:$I$89,3,0)*0.475*44/12</f>
        <v>#N/A</v>
      </c>
      <c r="AW160" s="23" t="e">
        <f>EXP(-LN(2)/2)*AW159+(1-EXP(-LN(2)/2))/(LN(2)/2)*AQ160*AT160*VLOOKUP('Données projet'!$B$10,Paramètres!$A$1:$I$89,3,0)*0.475*44/12</f>
        <v>#N/A</v>
      </c>
      <c r="AX160" s="23" t="e">
        <f t="shared" si="166"/>
        <v>#N/A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 t="e">
        <f>BD160*VLOOKUP('Données projet'!$B$11,Paramètres!$A$1:$I$89,3,0)*VLOOKUP('Données projet'!$B$11,Paramètres!$A$1:$I$89,5,0)</f>
        <v>#N/A</v>
      </c>
      <c r="BF160" s="14" t="e">
        <f t="shared" si="167"/>
        <v>#N/A</v>
      </c>
      <c r="BG160" s="22" t="e">
        <f t="shared" si="168"/>
        <v>#N/A</v>
      </c>
      <c r="BH160" s="62" t="e">
        <f t="shared" si="116"/>
        <v>#N/A</v>
      </c>
      <c r="BI160" s="62" t="e">
        <f ca="1">AVERAGE(OFFSET($BH$3,0,0,'Données projet'!$E$11+1,1))-AVERAGE(OFFSET($H$3,0,0,'Données projet'!$E$11+1,1))</f>
        <v>#N/A</v>
      </c>
      <c r="BJ160" s="62" t="e">
        <f t="shared" si="146"/>
        <v>#N/A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 t="e">
        <f>EXP(-LN(2)/35)*BP159+(1-EXP(-LN(2)/35))/(LN(2)/35)*BL160*BM160*VLOOKUP('Données projet'!$B$11,Paramètres!$A$1:$I$89,3,0)*0.475*44/12</f>
        <v>#N/A</v>
      </c>
      <c r="BQ160" s="23" t="e">
        <f>EXP(-LN(2)/25)*BQ159+(1-EXP(-LN(2)/25))/(LN(2)/25)*Calculateur!BL160*Calculateur!BN160*VLOOKUP('Données projet'!$B$11,Paramètres!$A$1:$I$89,3,0)*0.475*44/12</f>
        <v>#N/A</v>
      </c>
      <c r="BR160" s="23" t="e">
        <f>EXP(-LN(2)/2)*BR159+(1-EXP(-LN(2)/2))/(LN(2)/2)*BL160*BO160*VLOOKUP('Données projet'!$B$11,Paramètres!$A$1:$I$89,3,0)*0.475*44/12</f>
        <v>#N/A</v>
      </c>
      <c r="BS160" s="24" t="e">
        <f t="shared" si="169"/>
        <v>#N/A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3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78.051999999999978</v>
      </c>
      <c r="D161" s="12">
        <f t="shared" si="140"/>
        <v>21.660206812582402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10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769.70826311467101</v>
      </c>
      <c r="H161" s="70">
        <f t="shared" si="110"/>
        <v>466.99876019858095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-1.1368683772161603E-13</v>
      </c>
      <c r="O161" s="14">
        <f>N161*VLOOKUP('Données projet'!$B$9,Paramètres!$A$1:$I$89,3,0)*VLOOKUP('Données projet'!$B$9,Paramètres!$A$1:$I$89,5,0)</f>
        <v>-6.7984728957526396E-14</v>
      </c>
      <c r="P161" s="14" t="e">
        <f t="shared" si="141"/>
        <v>#NUM!</v>
      </c>
      <c r="Q161" s="22" t="e">
        <f t="shared" si="162"/>
        <v>#NUM!</v>
      </c>
      <c r="R161" s="62" t="e">
        <f t="shared" si="109"/>
        <v>#NUM!</v>
      </c>
      <c r="S161" s="62">
        <f ca="1">AVERAGE(OFFSET($R$3,0,0,'Données projet'!$E$9+1,1))-AVERAGE(OFFSET($H$3,0,0,'Données projet'!$E$9+1,1))</f>
        <v>255.1976414275677</v>
      </c>
      <c r="T161" s="62">
        <f t="shared" si="142"/>
        <v>266.42714758321767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0.92801465984095244</v>
      </c>
      <c r="AA161" s="23">
        <f>EXP(-LN(2)/25)*AA160+(1-EXP(-LN(2)/25))/(LN(2)/25)*Calculateur!V161*Calculateur!X161*VLOOKUP('Données projet'!$B$9,Paramètres!$A$1:$I$89,3,0)*0.475*44/12</f>
        <v>0.37906119872208099</v>
      </c>
      <c r="AB161" s="23">
        <f>EXP(-LN(2)/2)*AB160+(1-EXP(-LN(2)/2))/(LN(2)/2)*V161*Y161*VLOOKUP('Données projet'!$B$9,Paramètres!$A$1:$I$89,3,0)*0.475*44/12</f>
        <v>3.2844617596627233E-19</v>
      </c>
      <c r="AC161" s="24">
        <f t="shared" si="163"/>
        <v>1.3070758585630333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0</v>
      </c>
      <c r="AJ161" s="14" t="e">
        <f>AI161*VLOOKUP('Données projet'!$B$10,Paramètres!$A$1:$I$89,3,0)*VLOOKUP('Données projet'!$B$10,Paramètres!$A$1:$I$89,5,0)</f>
        <v>#N/A</v>
      </c>
      <c r="AK161" s="14" t="e">
        <f t="shared" si="164"/>
        <v>#N/A</v>
      </c>
      <c r="AL161" s="22" t="e">
        <f t="shared" si="165"/>
        <v>#N/A</v>
      </c>
      <c r="AM161" s="62" t="e">
        <f t="shared" si="113"/>
        <v>#N/A</v>
      </c>
      <c r="AN161" s="62" t="e">
        <f ca="1">AVERAGE(OFFSET($AM$3,0,0,'Données projet'!$E$10+1,1))-AVERAGE(OFFSET($H$3,0,0,'Données projet'!$E$10+1,1))</f>
        <v>#N/A</v>
      </c>
      <c r="AO161" s="62" t="e">
        <f t="shared" si="144"/>
        <v>#N/A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 t="e">
        <f>EXP(-LN(2)/35)*AU160+(1-EXP(-LN(2)/35))/(LN(2)/35)*AQ161*AR161*VLOOKUP('Données projet'!$B$10,Paramètres!$A$1:$I$89,3,0)*0.475*44/12</f>
        <v>#N/A</v>
      </c>
      <c r="AV161" s="23" t="e">
        <f>EXP(-LN(2)/25)*AV160+(1-EXP(-LN(2)/25))/(LN(2)/25)*Calculateur!AQ161*Calculateur!AS161*VLOOKUP('Données projet'!$B$10,Paramètres!$A$1:$I$89,3,0)*0.475*44/12</f>
        <v>#N/A</v>
      </c>
      <c r="AW161" s="23" t="e">
        <f>EXP(-LN(2)/2)*AW160+(1-EXP(-LN(2)/2))/(LN(2)/2)*AQ161*AT161*VLOOKUP('Données projet'!$B$10,Paramètres!$A$1:$I$89,3,0)*0.475*44/12</f>
        <v>#N/A</v>
      </c>
      <c r="AX161" s="23" t="e">
        <f t="shared" si="166"/>
        <v>#N/A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 t="e">
        <f>BD161*VLOOKUP('Données projet'!$B$11,Paramètres!$A$1:$I$89,3,0)*VLOOKUP('Données projet'!$B$11,Paramètres!$A$1:$I$89,5,0)</f>
        <v>#N/A</v>
      </c>
      <c r="BF161" s="14" t="e">
        <f t="shared" si="167"/>
        <v>#N/A</v>
      </c>
      <c r="BG161" s="22" t="e">
        <f t="shared" si="168"/>
        <v>#N/A</v>
      </c>
      <c r="BH161" s="62" t="e">
        <f t="shared" si="116"/>
        <v>#N/A</v>
      </c>
      <c r="BI161" s="62" t="e">
        <f ca="1">AVERAGE(OFFSET($BH$3,0,0,'Données projet'!$E$11+1,1))-AVERAGE(OFFSET($H$3,0,0,'Données projet'!$E$11+1,1))</f>
        <v>#N/A</v>
      </c>
      <c r="BJ161" s="62" t="e">
        <f t="shared" si="146"/>
        <v>#N/A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 t="e">
        <f>EXP(-LN(2)/35)*BP160+(1-EXP(-LN(2)/35))/(LN(2)/35)*BL161*BM161*VLOOKUP('Données projet'!$B$11,Paramètres!$A$1:$I$89,3,0)*0.475*44/12</f>
        <v>#N/A</v>
      </c>
      <c r="BQ161" s="23" t="e">
        <f>EXP(-LN(2)/25)*BQ160+(1-EXP(-LN(2)/25))/(LN(2)/25)*Calculateur!BL161*Calculateur!BN161*VLOOKUP('Données projet'!$B$11,Paramètres!$A$1:$I$89,3,0)*0.475*44/12</f>
        <v>#N/A</v>
      </c>
      <c r="BR161" s="23" t="e">
        <f>EXP(-LN(2)/2)*BR160+(1-EXP(-LN(2)/2))/(LN(2)/2)*BL161*BO161*VLOOKUP('Données projet'!$B$11,Paramètres!$A$1:$I$89,3,0)*0.475*44/12</f>
        <v>#N/A</v>
      </c>
      <c r="BS161" s="24" t="e">
        <f t="shared" si="169"/>
        <v>#N/A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3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78.545999999999978</v>
      </c>
      <c r="D162" s="12">
        <f t="shared" si="140"/>
        <v>21.781294947825838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10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774.45631187795368</v>
      </c>
      <c r="H162" s="70">
        <f t="shared" si="110"/>
        <v>468.0700387007966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-1.1368683772161603E-13</v>
      </c>
      <c r="O162" s="14">
        <f>N162*VLOOKUP('Données projet'!$B$9,Paramètres!$A$1:$I$89,3,0)*VLOOKUP('Données projet'!$B$9,Paramètres!$A$1:$I$89,5,0)</f>
        <v>-6.7984728957526396E-14</v>
      </c>
      <c r="P162" s="14" t="e">
        <f t="shared" si="141"/>
        <v>#NUM!</v>
      </c>
      <c r="Q162" s="22" t="e">
        <f t="shared" si="162"/>
        <v>#NUM!</v>
      </c>
      <c r="R162" s="62" t="e">
        <f t="shared" si="109"/>
        <v>#NUM!</v>
      </c>
      <c r="S162" s="62">
        <f ca="1">AVERAGE(OFFSET($R$3,0,0,'Données projet'!$E$9+1,1))-AVERAGE(OFFSET($H$3,0,0,'Données projet'!$E$9+1,1))</f>
        <v>255.1976414275677</v>
      </c>
      <c r="T162" s="62">
        <f t="shared" si="142"/>
        <v>266.42714758321767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0.90981685839452275</v>
      </c>
      <c r="AA162" s="23">
        <f>EXP(-LN(2)/25)*AA161+(1-EXP(-LN(2)/25))/(LN(2)/25)*Calculateur!V162*Calculateur!X162*VLOOKUP('Données projet'!$B$9,Paramètres!$A$1:$I$89,3,0)*0.475*44/12</f>
        <v>0.3686957503090636</v>
      </c>
      <c r="AB162" s="23">
        <f>EXP(-LN(2)/2)*AB161+(1-EXP(-LN(2)/2))/(LN(2)/2)*V162*Y162*VLOOKUP('Données projet'!$B$9,Paramètres!$A$1:$I$89,3,0)*0.475*44/12</f>
        <v>2.322465182805412E-19</v>
      </c>
      <c r="AC162" s="24">
        <f t="shared" si="163"/>
        <v>1.2785126087035863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0</v>
      </c>
      <c r="AJ162" s="14" t="e">
        <f>AI162*VLOOKUP('Données projet'!$B$10,Paramètres!$A$1:$I$89,3,0)*VLOOKUP('Données projet'!$B$10,Paramètres!$A$1:$I$89,5,0)</f>
        <v>#N/A</v>
      </c>
      <c r="AK162" s="14" t="e">
        <f t="shared" si="164"/>
        <v>#N/A</v>
      </c>
      <c r="AL162" s="22" t="e">
        <f t="shared" si="165"/>
        <v>#N/A</v>
      </c>
      <c r="AM162" s="62" t="e">
        <f t="shared" si="113"/>
        <v>#N/A</v>
      </c>
      <c r="AN162" s="62" t="e">
        <f ca="1">AVERAGE(OFFSET($AM$3,0,0,'Données projet'!$E$10+1,1))-AVERAGE(OFFSET($H$3,0,0,'Données projet'!$E$10+1,1))</f>
        <v>#N/A</v>
      </c>
      <c r="AO162" s="62" t="e">
        <f t="shared" si="144"/>
        <v>#N/A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 t="e">
        <f>EXP(-LN(2)/35)*AU161+(1-EXP(-LN(2)/35))/(LN(2)/35)*AQ162*AR162*VLOOKUP('Données projet'!$B$10,Paramètres!$A$1:$I$89,3,0)*0.475*44/12</f>
        <v>#N/A</v>
      </c>
      <c r="AV162" s="23" t="e">
        <f>EXP(-LN(2)/25)*AV161+(1-EXP(-LN(2)/25))/(LN(2)/25)*Calculateur!AQ162*Calculateur!AS162*VLOOKUP('Données projet'!$B$10,Paramètres!$A$1:$I$89,3,0)*0.475*44/12</f>
        <v>#N/A</v>
      </c>
      <c r="AW162" s="23" t="e">
        <f>EXP(-LN(2)/2)*AW161+(1-EXP(-LN(2)/2))/(LN(2)/2)*AQ162*AT162*VLOOKUP('Données projet'!$B$10,Paramètres!$A$1:$I$89,3,0)*0.475*44/12</f>
        <v>#N/A</v>
      </c>
      <c r="AX162" s="23" t="e">
        <f t="shared" si="166"/>
        <v>#N/A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 t="e">
        <f>BD162*VLOOKUP('Données projet'!$B$11,Paramètres!$A$1:$I$89,3,0)*VLOOKUP('Données projet'!$B$11,Paramètres!$A$1:$I$89,5,0)</f>
        <v>#N/A</v>
      </c>
      <c r="BF162" s="14" t="e">
        <f t="shared" si="167"/>
        <v>#N/A</v>
      </c>
      <c r="BG162" s="22" t="e">
        <f t="shared" si="168"/>
        <v>#N/A</v>
      </c>
      <c r="BH162" s="62" t="e">
        <f t="shared" si="116"/>
        <v>#N/A</v>
      </c>
      <c r="BI162" s="62" t="e">
        <f ca="1">AVERAGE(OFFSET($BH$3,0,0,'Données projet'!$E$11+1,1))-AVERAGE(OFFSET($H$3,0,0,'Données projet'!$E$11+1,1))</f>
        <v>#N/A</v>
      </c>
      <c r="BJ162" s="62" t="e">
        <f t="shared" si="146"/>
        <v>#N/A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 t="e">
        <f>EXP(-LN(2)/35)*BP161+(1-EXP(-LN(2)/35))/(LN(2)/35)*BL162*BM162*VLOOKUP('Données projet'!$B$11,Paramètres!$A$1:$I$89,3,0)*0.475*44/12</f>
        <v>#N/A</v>
      </c>
      <c r="BQ162" s="23" t="e">
        <f>EXP(-LN(2)/25)*BQ161+(1-EXP(-LN(2)/25))/(LN(2)/25)*Calculateur!BL162*Calculateur!BN162*VLOOKUP('Données projet'!$B$11,Paramètres!$A$1:$I$89,3,0)*0.475*44/12</f>
        <v>#N/A</v>
      </c>
      <c r="BR162" s="23" t="e">
        <f>EXP(-LN(2)/2)*BR161+(1-EXP(-LN(2)/2))/(LN(2)/2)*BL162*BO162*VLOOKUP('Données projet'!$B$11,Paramètres!$A$1:$I$89,3,0)*0.475*44/12</f>
        <v>#N/A</v>
      </c>
      <c r="BS162" s="24" t="e">
        <f t="shared" si="169"/>
        <v>#N/A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3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79.039999999999978</v>
      </c>
      <c r="D163" s="12">
        <f t="shared" si="140"/>
        <v>21.902294469237312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10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779.20367660463887</v>
      </c>
      <c r="H163" s="70">
        <f t="shared" si="110"/>
        <v>469.14116286725493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-1.1368683772161603E-13</v>
      </c>
      <c r="O163" s="14">
        <f>N163*VLOOKUP('Données projet'!$B$9,Paramètres!$A$1:$I$89,3,0)*VLOOKUP('Données projet'!$B$9,Paramètres!$A$1:$I$89,5,0)</f>
        <v>-6.7984728957526396E-14</v>
      </c>
      <c r="P163" s="14" t="e">
        <f t="shared" si="141"/>
        <v>#NUM!</v>
      </c>
      <c r="Q163" s="22" t="e">
        <f t="shared" si="162"/>
        <v>#NUM!</v>
      </c>
      <c r="R163" s="62" t="e">
        <f t="shared" si="109"/>
        <v>#NUM!</v>
      </c>
      <c r="S163" s="62">
        <f ca="1">AVERAGE(OFFSET($R$3,0,0,'Données projet'!$E$9+1,1))-AVERAGE(OFFSET($H$3,0,0,'Données projet'!$E$9+1,1))</f>
        <v>255.1976414275677</v>
      </c>
      <c r="T163" s="62">
        <f t="shared" si="142"/>
        <v>266.42714758321767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0.89197590473489463</v>
      </c>
      <c r="AA163" s="23">
        <f>EXP(-LN(2)/25)*AA162+(1-EXP(-LN(2)/25))/(LN(2)/25)*Calculateur!V163*Calculateur!X163*VLOOKUP('Données projet'!$B$9,Paramètres!$A$1:$I$89,3,0)*0.475*44/12</f>
        <v>0.35861374562799542</v>
      </c>
      <c r="AB163" s="23">
        <f>EXP(-LN(2)/2)*AB162+(1-EXP(-LN(2)/2))/(LN(2)/2)*V163*Y163*VLOOKUP('Données projet'!$B$9,Paramètres!$A$1:$I$89,3,0)*0.475*44/12</f>
        <v>1.6422308798313616E-19</v>
      </c>
      <c r="AC163" s="24">
        <f t="shared" si="163"/>
        <v>1.2505896503628899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0</v>
      </c>
      <c r="AJ163" s="14" t="e">
        <f>AI163*VLOOKUP('Données projet'!$B$10,Paramètres!$A$1:$I$89,3,0)*VLOOKUP('Données projet'!$B$10,Paramètres!$A$1:$I$89,5,0)</f>
        <v>#N/A</v>
      </c>
      <c r="AK163" s="14" t="e">
        <f t="shared" si="164"/>
        <v>#N/A</v>
      </c>
      <c r="AL163" s="22" t="e">
        <f t="shared" si="165"/>
        <v>#N/A</v>
      </c>
      <c r="AM163" s="62" t="e">
        <f t="shared" si="113"/>
        <v>#N/A</v>
      </c>
      <c r="AN163" s="62" t="e">
        <f ca="1">AVERAGE(OFFSET($AM$3,0,0,'Données projet'!$E$10+1,1))-AVERAGE(OFFSET($H$3,0,0,'Données projet'!$E$10+1,1))</f>
        <v>#N/A</v>
      </c>
      <c r="AO163" s="62" t="e">
        <f t="shared" si="144"/>
        <v>#N/A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 t="e">
        <f>EXP(-LN(2)/35)*AU162+(1-EXP(-LN(2)/35))/(LN(2)/35)*AQ163*AR163*VLOOKUP('Données projet'!$B$10,Paramètres!$A$1:$I$89,3,0)*0.475*44/12</f>
        <v>#N/A</v>
      </c>
      <c r="AV163" s="23" t="e">
        <f>EXP(-LN(2)/25)*AV162+(1-EXP(-LN(2)/25))/(LN(2)/25)*Calculateur!AQ163*Calculateur!AS163*VLOOKUP('Données projet'!$B$10,Paramètres!$A$1:$I$89,3,0)*0.475*44/12</f>
        <v>#N/A</v>
      </c>
      <c r="AW163" s="23" t="e">
        <f>EXP(-LN(2)/2)*AW162+(1-EXP(-LN(2)/2))/(LN(2)/2)*AQ163*AT163*VLOOKUP('Données projet'!$B$10,Paramètres!$A$1:$I$89,3,0)*0.475*44/12</f>
        <v>#N/A</v>
      </c>
      <c r="AX163" s="23" t="e">
        <f t="shared" si="166"/>
        <v>#N/A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 t="e">
        <f>BD163*VLOOKUP('Données projet'!$B$11,Paramètres!$A$1:$I$89,3,0)*VLOOKUP('Données projet'!$B$11,Paramètres!$A$1:$I$89,5,0)</f>
        <v>#N/A</v>
      </c>
      <c r="BF163" s="14" t="e">
        <f t="shared" si="167"/>
        <v>#N/A</v>
      </c>
      <c r="BG163" s="22" t="e">
        <f t="shared" si="168"/>
        <v>#N/A</v>
      </c>
      <c r="BH163" s="62" t="e">
        <f t="shared" si="116"/>
        <v>#N/A</v>
      </c>
      <c r="BI163" s="62" t="e">
        <f ca="1">AVERAGE(OFFSET($BH$3,0,0,'Données projet'!$E$11+1,1))-AVERAGE(OFFSET($H$3,0,0,'Données projet'!$E$11+1,1))</f>
        <v>#N/A</v>
      </c>
      <c r="BJ163" s="62" t="e">
        <f t="shared" si="146"/>
        <v>#N/A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 t="e">
        <f>EXP(-LN(2)/35)*BP162+(1-EXP(-LN(2)/35))/(LN(2)/35)*BL163*BM163*VLOOKUP('Données projet'!$B$11,Paramètres!$A$1:$I$89,3,0)*0.475*44/12</f>
        <v>#N/A</v>
      </c>
      <c r="BQ163" s="23" t="e">
        <f>EXP(-LN(2)/25)*BQ162+(1-EXP(-LN(2)/25))/(LN(2)/25)*Calculateur!BL163*Calculateur!BN163*VLOOKUP('Données projet'!$B$11,Paramètres!$A$1:$I$89,3,0)*0.475*44/12</f>
        <v>#N/A</v>
      </c>
      <c r="BR163" s="23" t="e">
        <f>EXP(-LN(2)/2)*BR162+(1-EXP(-LN(2)/2))/(LN(2)/2)*BL163*BO163*VLOOKUP('Données projet'!$B$11,Paramètres!$A$1:$I$89,3,0)*0.475*44/12</f>
        <v>#N/A</v>
      </c>
      <c r="BS163" s="24" t="e">
        <f t="shared" si="169"/>
        <v>#N/A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3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79.533999999999978</v>
      </c>
      <c r="D164" s="12">
        <f t="shared" si="140"/>
        <v>22.023205994903069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10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783.95036206591828</v>
      </c>
      <c r="H164" s="70">
        <f t="shared" si="110"/>
        <v>470.21213377445611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-1.1368683772161603E-13</v>
      </c>
      <c r="O164" s="14">
        <f>N164*VLOOKUP('Données projet'!$B$9,Paramètres!$A$1:$I$89,3,0)*VLOOKUP('Données projet'!$B$9,Paramètres!$A$1:$I$89,5,0)</f>
        <v>-6.7984728957526396E-14</v>
      </c>
      <c r="P164" s="14" t="e">
        <f t="shared" si="141"/>
        <v>#NUM!</v>
      </c>
      <c r="Q164" s="22" t="e">
        <f t="shared" si="162"/>
        <v>#NUM!</v>
      </c>
      <c r="R164" s="62" t="e">
        <f t="shared" si="109"/>
        <v>#NUM!</v>
      </c>
      <c r="S164" s="62">
        <f ca="1">AVERAGE(OFFSET($R$3,0,0,'Données projet'!$E$9+1,1))-AVERAGE(OFFSET($H$3,0,0,'Données projet'!$E$9+1,1))</f>
        <v>255.1976414275677</v>
      </c>
      <c r="T164" s="62">
        <f t="shared" si="142"/>
        <v>266.42714758321767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0.87448480129462458</v>
      </c>
      <c r="AA164" s="23">
        <f>EXP(-LN(2)/25)*AA163+(1-EXP(-LN(2)/25))/(LN(2)/25)*Calculateur!V164*Calculateur!X164*VLOOKUP('Données projet'!$B$9,Paramètres!$A$1:$I$89,3,0)*0.475*44/12</f>
        <v>0.34880743389512064</v>
      </c>
      <c r="AB164" s="23">
        <f>EXP(-LN(2)/2)*AB163+(1-EXP(-LN(2)/2))/(LN(2)/2)*V164*Y164*VLOOKUP('Données projet'!$B$9,Paramètres!$A$1:$I$89,3,0)*0.475*44/12</f>
        <v>1.161232591402706E-19</v>
      </c>
      <c r="AC164" s="24">
        <f t="shared" si="163"/>
        <v>1.2232922351897453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0</v>
      </c>
      <c r="AJ164" s="14" t="e">
        <f>AI164*VLOOKUP('Données projet'!$B$10,Paramètres!$A$1:$I$89,3,0)*VLOOKUP('Données projet'!$B$10,Paramètres!$A$1:$I$89,5,0)</f>
        <v>#N/A</v>
      </c>
      <c r="AK164" s="14" t="e">
        <f t="shared" si="164"/>
        <v>#N/A</v>
      </c>
      <c r="AL164" s="22" t="e">
        <f t="shared" si="165"/>
        <v>#N/A</v>
      </c>
      <c r="AM164" s="62" t="e">
        <f t="shared" si="113"/>
        <v>#N/A</v>
      </c>
      <c r="AN164" s="62" t="e">
        <f ca="1">AVERAGE(OFFSET($AM$3,0,0,'Données projet'!$E$10+1,1))-AVERAGE(OFFSET($H$3,0,0,'Données projet'!$E$10+1,1))</f>
        <v>#N/A</v>
      </c>
      <c r="AO164" s="62" t="e">
        <f t="shared" si="144"/>
        <v>#N/A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 t="e">
        <f>EXP(-LN(2)/35)*AU163+(1-EXP(-LN(2)/35))/(LN(2)/35)*AQ164*AR164*VLOOKUP('Données projet'!$B$10,Paramètres!$A$1:$I$89,3,0)*0.475*44/12</f>
        <v>#N/A</v>
      </c>
      <c r="AV164" s="23" t="e">
        <f>EXP(-LN(2)/25)*AV163+(1-EXP(-LN(2)/25))/(LN(2)/25)*Calculateur!AQ164*Calculateur!AS164*VLOOKUP('Données projet'!$B$10,Paramètres!$A$1:$I$89,3,0)*0.475*44/12</f>
        <v>#N/A</v>
      </c>
      <c r="AW164" s="23" t="e">
        <f>EXP(-LN(2)/2)*AW163+(1-EXP(-LN(2)/2))/(LN(2)/2)*AQ164*AT164*VLOOKUP('Données projet'!$B$10,Paramètres!$A$1:$I$89,3,0)*0.475*44/12</f>
        <v>#N/A</v>
      </c>
      <c r="AX164" s="23" t="e">
        <f t="shared" si="166"/>
        <v>#N/A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 t="e">
        <f>BD164*VLOOKUP('Données projet'!$B$11,Paramètres!$A$1:$I$89,3,0)*VLOOKUP('Données projet'!$B$11,Paramètres!$A$1:$I$89,5,0)</f>
        <v>#N/A</v>
      </c>
      <c r="BF164" s="14" t="e">
        <f t="shared" si="167"/>
        <v>#N/A</v>
      </c>
      <c r="BG164" s="22" t="e">
        <f t="shared" si="168"/>
        <v>#N/A</v>
      </c>
      <c r="BH164" s="62" t="e">
        <f t="shared" si="116"/>
        <v>#N/A</v>
      </c>
      <c r="BI164" s="62" t="e">
        <f ca="1">AVERAGE(OFFSET($BH$3,0,0,'Données projet'!$E$11+1,1))-AVERAGE(OFFSET($H$3,0,0,'Données projet'!$E$11+1,1))</f>
        <v>#N/A</v>
      </c>
      <c r="BJ164" s="62" t="e">
        <f t="shared" si="146"/>
        <v>#N/A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 t="e">
        <f>EXP(-LN(2)/35)*BP163+(1-EXP(-LN(2)/35))/(LN(2)/35)*BL164*BM164*VLOOKUP('Données projet'!$B$11,Paramètres!$A$1:$I$89,3,0)*0.475*44/12</f>
        <v>#N/A</v>
      </c>
      <c r="BQ164" s="23" t="e">
        <f>EXP(-LN(2)/25)*BQ163+(1-EXP(-LN(2)/25))/(LN(2)/25)*Calculateur!BL164*Calculateur!BN164*VLOOKUP('Données projet'!$B$11,Paramètres!$A$1:$I$89,3,0)*0.475*44/12</f>
        <v>#N/A</v>
      </c>
      <c r="BR164" s="23" t="e">
        <f>EXP(-LN(2)/2)*BR163+(1-EXP(-LN(2)/2))/(LN(2)/2)*BL164*BO164*VLOOKUP('Données projet'!$B$11,Paramètres!$A$1:$I$89,3,0)*0.475*44/12</f>
        <v>#N/A</v>
      </c>
      <c r="BS164" s="24" t="e">
        <f t="shared" si="169"/>
        <v>#N/A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3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80.027999999999977</v>
      </c>
      <c r="D165" s="12">
        <f t="shared" si="140"/>
        <v>22.144030134787155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10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788.69637297028669</v>
      </c>
      <c r="H165" s="70">
        <f t="shared" si="110"/>
        <v>471.28295248475422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-1.1368683772161603E-13</v>
      </c>
      <c r="O165" s="14">
        <f>N165*VLOOKUP('Données projet'!$B$9,Paramètres!$A$1:$I$89,3,0)*VLOOKUP('Données projet'!$B$9,Paramètres!$A$1:$I$89,5,0)</f>
        <v>-6.7984728957526396E-14</v>
      </c>
      <c r="P165" s="14" t="e">
        <f t="shared" si="141"/>
        <v>#NUM!</v>
      </c>
      <c r="Q165" s="22" t="e">
        <f t="shared" si="162"/>
        <v>#NUM!</v>
      </c>
      <c r="R165" s="62" t="e">
        <f t="shared" si="109"/>
        <v>#NUM!</v>
      </c>
      <c r="S165" s="62">
        <f ca="1">AVERAGE(OFFSET($R$3,0,0,'Données projet'!$E$9+1,1))-AVERAGE(OFFSET($H$3,0,0,'Données projet'!$E$9+1,1))</f>
        <v>255.1976414275677</v>
      </c>
      <c r="T165" s="62">
        <f t="shared" si="142"/>
        <v>266.42714758321767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0.85733668772429861</v>
      </c>
      <c r="AA165" s="23">
        <f>EXP(-LN(2)/25)*AA164+(1-EXP(-LN(2)/25))/(LN(2)/25)*Calculateur!V165*Calculateur!X165*VLOOKUP('Données projet'!$B$9,Paramètres!$A$1:$I$89,3,0)*0.475*44/12</f>
        <v>0.33926927627227282</v>
      </c>
      <c r="AB165" s="23">
        <f>EXP(-LN(2)/2)*AB164+(1-EXP(-LN(2)/2))/(LN(2)/2)*V165*Y165*VLOOKUP('Données projet'!$B$9,Paramètres!$A$1:$I$89,3,0)*0.475*44/12</f>
        <v>8.2111543991568081E-20</v>
      </c>
      <c r="AC165" s="24">
        <f t="shared" si="163"/>
        <v>1.1966059639965714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0</v>
      </c>
      <c r="AJ165" s="14" t="e">
        <f>AI165*VLOOKUP('Données projet'!$B$10,Paramètres!$A$1:$I$89,3,0)*VLOOKUP('Données projet'!$B$10,Paramètres!$A$1:$I$89,5,0)</f>
        <v>#N/A</v>
      </c>
      <c r="AK165" s="14" t="e">
        <f t="shared" si="164"/>
        <v>#N/A</v>
      </c>
      <c r="AL165" s="22" t="e">
        <f t="shared" si="165"/>
        <v>#N/A</v>
      </c>
      <c r="AM165" s="62" t="e">
        <f t="shared" si="113"/>
        <v>#N/A</v>
      </c>
      <c r="AN165" s="62" t="e">
        <f ca="1">AVERAGE(OFFSET($AM$3,0,0,'Données projet'!$E$10+1,1))-AVERAGE(OFFSET($H$3,0,0,'Données projet'!$E$10+1,1))</f>
        <v>#N/A</v>
      </c>
      <c r="AO165" s="62" t="e">
        <f t="shared" si="144"/>
        <v>#N/A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 t="e">
        <f>EXP(-LN(2)/35)*AU164+(1-EXP(-LN(2)/35))/(LN(2)/35)*AQ165*AR165*VLOOKUP('Données projet'!$B$10,Paramètres!$A$1:$I$89,3,0)*0.475*44/12</f>
        <v>#N/A</v>
      </c>
      <c r="AV165" s="23" t="e">
        <f>EXP(-LN(2)/25)*AV164+(1-EXP(-LN(2)/25))/(LN(2)/25)*Calculateur!AQ165*Calculateur!AS165*VLOOKUP('Données projet'!$B$10,Paramètres!$A$1:$I$89,3,0)*0.475*44/12</f>
        <v>#N/A</v>
      </c>
      <c r="AW165" s="23" t="e">
        <f>EXP(-LN(2)/2)*AW164+(1-EXP(-LN(2)/2))/(LN(2)/2)*AQ165*AT165*VLOOKUP('Données projet'!$B$10,Paramètres!$A$1:$I$89,3,0)*0.475*44/12</f>
        <v>#N/A</v>
      </c>
      <c r="AX165" s="23" t="e">
        <f t="shared" si="166"/>
        <v>#N/A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 t="e">
        <f>BD165*VLOOKUP('Données projet'!$B$11,Paramètres!$A$1:$I$89,3,0)*VLOOKUP('Données projet'!$B$11,Paramètres!$A$1:$I$89,5,0)</f>
        <v>#N/A</v>
      </c>
      <c r="BF165" s="14" t="e">
        <f t="shared" si="167"/>
        <v>#N/A</v>
      </c>
      <c r="BG165" s="22" t="e">
        <f t="shared" si="168"/>
        <v>#N/A</v>
      </c>
      <c r="BH165" s="62" t="e">
        <f t="shared" si="116"/>
        <v>#N/A</v>
      </c>
      <c r="BI165" s="62" t="e">
        <f ca="1">AVERAGE(OFFSET($BH$3,0,0,'Données projet'!$E$11+1,1))-AVERAGE(OFFSET($H$3,0,0,'Données projet'!$E$11+1,1))</f>
        <v>#N/A</v>
      </c>
      <c r="BJ165" s="62" t="e">
        <f t="shared" si="146"/>
        <v>#N/A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 t="e">
        <f>EXP(-LN(2)/35)*BP164+(1-EXP(-LN(2)/35))/(LN(2)/35)*BL165*BM165*VLOOKUP('Données projet'!$B$11,Paramètres!$A$1:$I$89,3,0)*0.475*44/12</f>
        <v>#N/A</v>
      </c>
      <c r="BQ165" s="23" t="e">
        <f>EXP(-LN(2)/25)*BQ164+(1-EXP(-LN(2)/25))/(LN(2)/25)*Calculateur!BL165*Calculateur!BN165*VLOOKUP('Données projet'!$B$11,Paramètres!$A$1:$I$89,3,0)*0.475*44/12</f>
        <v>#N/A</v>
      </c>
      <c r="BR165" s="23" t="e">
        <f>EXP(-LN(2)/2)*BR164+(1-EXP(-LN(2)/2))/(LN(2)/2)*BL165*BO165*VLOOKUP('Données projet'!$B$11,Paramètres!$A$1:$I$89,3,0)*0.475*44/12</f>
        <v>#N/A</v>
      </c>
      <c r="BS165" s="24" t="e">
        <f t="shared" si="169"/>
        <v>#N/A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3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80.521999999999977</v>
      </c>
      <c r="D166" s="12">
        <f t="shared" si="140"/>
        <v>22.264767490887625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10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793.44171396474633</v>
      </c>
      <c r="H166" s="70">
        <f t="shared" si="110"/>
        <v>472.3536200466292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-1.1368683772161603E-13</v>
      </c>
      <c r="O166" s="14">
        <f>N166*VLOOKUP('Données projet'!$B$9,Paramètres!$A$1:$I$89,3,0)*VLOOKUP('Données projet'!$B$9,Paramètres!$A$1:$I$89,5,0)</f>
        <v>-6.7984728957526396E-14</v>
      </c>
      <c r="P166" s="14" t="e">
        <f t="shared" si="141"/>
        <v>#NUM!</v>
      </c>
      <c r="Q166" s="22" t="e">
        <f t="shared" si="162"/>
        <v>#NUM!</v>
      </c>
      <c r="R166" s="62" t="e">
        <f t="shared" si="109"/>
        <v>#NUM!</v>
      </c>
      <c r="S166" s="62">
        <f ca="1">AVERAGE(OFFSET($R$3,0,0,'Données projet'!$E$9+1,1))-AVERAGE(OFFSET($H$3,0,0,'Données projet'!$E$9+1,1))</f>
        <v>255.1976414275677</v>
      </c>
      <c r="T166" s="62">
        <f t="shared" si="142"/>
        <v>266.42714758321767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0.84052483820177015</v>
      </c>
      <c r="AA166" s="23">
        <f>EXP(-LN(2)/25)*AA165+(1-EXP(-LN(2)/25))/(LN(2)/25)*Calculateur!V166*Calculateur!X166*VLOOKUP('Données projet'!$B$9,Paramètres!$A$1:$I$89,3,0)*0.475*44/12</f>
        <v>0.32999194007121169</v>
      </c>
      <c r="AB166" s="23">
        <f>EXP(-LN(2)/2)*AB165+(1-EXP(-LN(2)/2))/(LN(2)/2)*V166*Y166*VLOOKUP('Données projet'!$B$9,Paramètres!$A$1:$I$89,3,0)*0.475*44/12</f>
        <v>5.80616295701353E-20</v>
      </c>
      <c r="AC166" s="24">
        <f t="shared" si="163"/>
        <v>1.1705167782729817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0</v>
      </c>
      <c r="AJ166" s="14" t="e">
        <f>AI166*VLOOKUP('Données projet'!$B$10,Paramètres!$A$1:$I$89,3,0)*VLOOKUP('Données projet'!$B$10,Paramètres!$A$1:$I$89,5,0)</f>
        <v>#N/A</v>
      </c>
      <c r="AK166" s="14" t="e">
        <f t="shared" si="164"/>
        <v>#N/A</v>
      </c>
      <c r="AL166" s="22" t="e">
        <f t="shared" si="165"/>
        <v>#N/A</v>
      </c>
      <c r="AM166" s="62" t="e">
        <f t="shared" si="113"/>
        <v>#N/A</v>
      </c>
      <c r="AN166" s="62" t="e">
        <f ca="1">AVERAGE(OFFSET($AM$3,0,0,'Données projet'!$E$10+1,1))-AVERAGE(OFFSET($H$3,0,0,'Données projet'!$E$10+1,1))</f>
        <v>#N/A</v>
      </c>
      <c r="AO166" s="62" t="e">
        <f t="shared" si="144"/>
        <v>#N/A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 t="e">
        <f>EXP(-LN(2)/35)*AU165+(1-EXP(-LN(2)/35))/(LN(2)/35)*AQ166*AR166*VLOOKUP('Données projet'!$B$10,Paramètres!$A$1:$I$89,3,0)*0.475*44/12</f>
        <v>#N/A</v>
      </c>
      <c r="AV166" s="23" t="e">
        <f>EXP(-LN(2)/25)*AV165+(1-EXP(-LN(2)/25))/(LN(2)/25)*Calculateur!AQ166*Calculateur!AS166*VLOOKUP('Données projet'!$B$10,Paramètres!$A$1:$I$89,3,0)*0.475*44/12</f>
        <v>#N/A</v>
      </c>
      <c r="AW166" s="23" t="e">
        <f>EXP(-LN(2)/2)*AW165+(1-EXP(-LN(2)/2))/(LN(2)/2)*AQ166*AT166*VLOOKUP('Données projet'!$B$10,Paramètres!$A$1:$I$89,3,0)*0.475*44/12</f>
        <v>#N/A</v>
      </c>
      <c r="AX166" s="23" t="e">
        <f t="shared" si="166"/>
        <v>#N/A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 t="e">
        <f>BD166*VLOOKUP('Données projet'!$B$11,Paramètres!$A$1:$I$89,3,0)*VLOOKUP('Données projet'!$B$11,Paramètres!$A$1:$I$89,5,0)</f>
        <v>#N/A</v>
      </c>
      <c r="BF166" s="14" t="e">
        <f t="shared" si="167"/>
        <v>#N/A</v>
      </c>
      <c r="BG166" s="22" t="e">
        <f t="shared" si="168"/>
        <v>#N/A</v>
      </c>
      <c r="BH166" s="62" t="e">
        <f t="shared" si="116"/>
        <v>#N/A</v>
      </c>
      <c r="BI166" s="62" t="e">
        <f ca="1">AVERAGE(OFFSET($BH$3,0,0,'Données projet'!$E$11+1,1))-AVERAGE(OFFSET($H$3,0,0,'Données projet'!$E$11+1,1))</f>
        <v>#N/A</v>
      </c>
      <c r="BJ166" s="62" t="e">
        <f t="shared" si="146"/>
        <v>#N/A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 t="e">
        <f>EXP(-LN(2)/35)*BP165+(1-EXP(-LN(2)/35))/(LN(2)/35)*BL166*BM166*VLOOKUP('Données projet'!$B$11,Paramètres!$A$1:$I$89,3,0)*0.475*44/12</f>
        <v>#N/A</v>
      </c>
      <c r="BQ166" s="23" t="e">
        <f>EXP(-LN(2)/25)*BQ165+(1-EXP(-LN(2)/25))/(LN(2)/25)*Calculateur!BL166*Calculateur!BN166*VLOOKUP('Données projet'!$B$11,Paramètres!$A$1:$I$89,3,0)*0.475*44/12</f>
        <v>#N/A</v>
      </c>
      <c r="BR166" s="23" t="e">
        <f>EXP(-LN(2)/2)*BR165+(1-EXP(-LN(2)/2))/(LN(2)/2)*BL166*BO166*VLOOKUP('Données projet'!$B$11,Paramètres!$A$1:$I$89,3,0)*0.475*44/12</f>
        <v>#N/A</v>
      </c>
      <c r="BS166" s="24" t="e">
        <f t="shared" si="169"/>
        <v>#N/A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3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81.015999999999977</v>
      </c>
      <c r="D167" s="12">
        <f t="shared" si="140"/>
        <v>22.385418657388872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10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798.18638963598414</v>
      </c>
      <c r="H167" s="70">
        <f t="shared" si="110"/>
        <v>473.42413749495222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-1.1368683772161603E-13</v>
      </c>
      <c r="O167" s="14">
        <f>N167*VLOOKUP('Données projet'!$B$9,Paramètres!$A$1:$I$89,3,0)*VLOOKUP('Données projet'!$B$9,Paramètres!$A$1:$I$89,5,0)</f>
        <v>-6.7984728957526396E-14</v>
      </c>
      <c r="P167" s="14" t="e">
        <f t="shared" si="141"/>
        <v>#NUM!</v>
      </c>
      <c r="Q167" s="22" t="e">
        <f t="shared" si="162"/>
        <v>#NUM!</v>
      </c>
      <c r="R167" s="62" t="e">
        <f t="shared" si="109"/>
        <v>#NUM!</v>
      </c>
      <c r="S167" s="62">
        <f ca="1">AVERAGE(OFFSET($R$3,0,0,'Données projet'!$E$9+1,1))-AVERAGE(OFFSET($H$3,0,0,'Données projet'!$E$9+1,1))</f>
        <v>255.1976414275677</v>
      </c>
      <c r="T167" s="62">
        <f t="shared" si="142"/>
        <v>266.42714758321767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0.82404265879416283</v>
      </c>
      <c r="AA167" s="23">
        <f>EXP(-LN(2)/25)*AA166+(1-EXP(-LN(2)/25))/(LN(2)/25)*Calculateur!V167*Calculateur!X167*VLOOKUP('Données projet'!$B$9,Paramètres!$A$1:$I$89,3,0)*0.475*44/12</f>
        <v>0.32096829311644248</v>
      </c>
      <c r="AB167" s="23">
        <f>EXP(-LN(2)/2)*AB166+(1-EXP(-LN(2)/2))/(LN(2)/2)*V167*Y167*VLOOKUP('Données projet'!$B$9,Paramètres!$A$1:$I$89,3,0)*0.475*44/12</f>
        <v>4.1055771995784041E-20</v>
      </c>
      <c r="AC167" s="24">
        <f t="shared" si="163"/>
        <v>1.1450109519106053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0</v>
      </c>
      <c r="AJ167" s="14" t="e">
        <f>AI167*VLOOKUP('Données projet'!$B$10,Paramètres!$A$1:$I$89,3,0)*VLOOKUP('Données projet'!$B$10,Paramètres!$A$1:$I$89,5,0)</f>
        <v>#N/A</v>
      </c>
      <c r="AK167" s="14" t="e">
        <f t="shared" si="164"/>
        <v>#N/A</v>
      </c>
      <c r="AL167" s="22" t="e">
        <f t="shared" si="165"/>
        <v>#N/A</v>
      </c>
      <c r="AM167" s="62" t="e">
        <f t="shared" si="113"/>
        <v>#N/A</v>
      </c>
      <c r="AN167" s="62" t="e">
        <f ca="1">AVERAGE(OFFSET($AM$3,0,0,'Données projet'!$E$10+1,1))-AVERAGE(OFFSET($H$3,0,0,'Données projet'!$E$10+1,1))</f>
        <v>#N/A</v>
      </c>
      <c r="AO167" s="62" t="e">
        <f t="shared" si="144"/>
        <v>#N/A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 t="e">
        <f>EXP(-LN(2)/35)*AU166+(1-EXP(-LN(2)/35))/(LN(2)/35)*AQ167*AR167*VLOOKUP('Données projet'!$B$10,Paramètres!$A$1:$I$89,3,0)*0.475*44/12</f>
        <v>#N/A</v>
      </c>
      <c r="AV167" s="23" t="e">
        <f>EXP(-LN(2)/25)*AV166+(1-EXP(-LN(2)/25))/(LN(2)/25)*Calculateur!AQ167*Calculateur!AS167*VLOOKUP('Données projet'!$B$10,Paramètres!$A$1:$I$89,3,0)*0.475*44/12</f>
        <v>#N/A</v>
      </c>
      <c r="AW167" s="23" t="e">
        <f>EXP(-LN(2)/2)*AW166+(1-EXP(-LN(2)/2))/(LN(2)/2)*AQ167*AT167*VLOOKUP('Données projet'!$B$10,Paramètres!$A$1:$I$89,3,0)*0.475*44/12</f>
        <v>#N/A</v>
      </c>
      <c r="AX167" s="23" t="e">
        <f t="shared" si="166"/>
        <v>#N/A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 t="e">
        <f>BD167*VLOOKUP('Données projet'!$B$11,Paramètres!$A$1:$I$89,3,0)*VLOOKUP('Données projet'!$B$11,Paramètres!$A$1:$I$89,5,0)</f>
        <v>#N/A</v>
      </c>
      <c r="BF167" s="14" t="e">
        <f t="shared" si="167"/>
        <v>#N/A</v>
      </c>
      <c r="BG167" s="22" t="e">
        <f t="shared" si="168"/>
        <v>#N/A</v>
      </c>
      <c r="BH167" s="62" t="e">
        <f t="shared" si="116"/>
        <v>#N/A</v>
      </c>
      <c r="BI167" s="62" t="e">
        <f ca="1">AVERAGE(OFFSET($BH$3,0,0,'Données projet'!$E$11+1,1))-AVERAGE(OFFSET($H$3,0,0,'Données projet'!$E$11+1,1))</f>
        <v>#N/A</v>
      </c>
      <c r="BJ167" s="62" t="e">
        <f t="shared" si="146"/>
        <v>#N/A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 t="e">
        <f>EXP(-LN(2)/35)*BP166+(1-EXP(-LN(2)/35))/(LN(2)/35)*BL167*BM167*VLOOKUP('Données projet'!$B$11,Paramètres!$A$1:$I$89,3,0)*0.475*44/12</f>
        <v>#N/A</v>
      </c>
      <c r="BQ167" s="23" t="e">
        <f>EXP(-LN(2)/25)*BQ166+(1-EXP(-LN(2)/25))/(LN(2)/25)*Calculateur!BL167*Calculateur!BN167*VLOOKUP('Données projet'!$B$11,Paramètres!$A$1:$I$89,3,0)*0.475*44/12</f>
        <v>#N/A</v>
      </c>
      <c r="BR167" s="23" t="e">
        <f>EXP(-LN(2)/2)*BR166+(1-EXP(-LN(2)/2))/(LN(2)/2)*BL167*BO167*VLOOKUP('Données projet'!$B$11,Paramètres!$A$1:$I$89,3,0)*0.475*44/12</f>
        <v>#N/A</v>
      </c>
      <c r="BS167" s="24" t="e">
        <f t="shared" si="169"/>
        <v>#N/A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3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81.509999999999977</v>
      </c>
      <c r="D168" s="12">
        <f t="shared" si="140"/>
        <v>22.505984220809903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10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802.93040451151501</v>
      </c>
      <c r="H168" s="70">
        <f t="shared" si="110"/>
        <v>474.49450585124384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-1.1368683772161603E-13</v>
      </c>
      <c r="O168" s="14">
        <f>N168*VLOOKUP('Données projet'!$B$9,Paramètres!$A$1:$I$89,3,0)*VLOOKUP('Données projet'!$B$9,Paramètres!$A$1:$I$89,5,0)</f>
        <v>-6.7984728957526396E-14</v>
      </c>
      <c r="P168" s="14" t="e">
        <f t="shared" si="141"/>
        <v>#NUM!</v>
      </c>
      <c r="Q168" s="22" t="e">
        <f t="shared" si="162"/>
        <v>#NUM!</v>
      </c>
      <c r="R168" s="62" t="e">
        <f t="shared" si="109"/>
        <v>#NUM!</v>
      </c>
      <c r="S168" s="62">
        <f ca="1">AVERAGE(OFFSET($R$3,0,0,'Données projet'!$E$9+1,1))-AVERAGE(OFFSET($H$3,0,0,'Données projet'!$E$9+1,1))</f>
        <v>255.1976414275677</v>
      </c>
      <c r="T168" s="62">
        <f t="shared" si="142"/>
        <v>266.42714758321767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0.80788368487160189</v>
      </c>
      <c r="AA168" s="23">
        <f>EXP(-LN(2)/25)*AA167+(1-EXP(-LN(2)/25))/(LN(2)/25)*Calculateur!V168*Calculateur!X168*VLOOKUP('Données projet'!$B$9,Paramètres!$A$1:$I$89,3,0)*0.475*44/12</f>
        <v>0.31219139826218439</v>
      </c>
      <c r="AB168" s="23">
        <f>EXP(-LN(2)/2)*AB167+(1-EXP(-LN(2)/2))/(LN(2)/2)*V168*Y168*VLOOKUP('Données projet'!$B$9,Paramètres!$A$1:$I$89,3,0)*0.475*44/12</f>
        <v>2.903081478506765E-20</v>
      </c>
      <c r="AC168" s="24">
        <f t="shared" si="163"/>
        <v>1.1200750831337862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0</v>
      </c>
      <c r="AJ168" s="14" t="e">
        <f>AI168*VLOOKUP('Données projet'!$B$10,Paramètres!$A$1:$I$89,3,0)*VLOOKUP('Données projet'!$B$10,Paramètres!$A$1:$I$89,5,0)</f>
        <v>#N/A</v>
      </c>
      <c r="AK168" s="14" t="e">
        <f t="shared" si="164"/>
        <v>#N/A</v>
      </c>
      <c r="AL168" s="22" t="e">
        <f t="shared" si="165"/>
        <v>#N/A</v>
      </c>
      <c r="AM168" s="62" t="e">
        <f t="shared" si="113"/>
        <v>#N/A</v>
      </c>
      <c r="AN168" s="62" t="e">
        <f ca="1">AVERAGE(OFFSET($AM$3,0,0,'Données projet'!$E$10+1,1))-AVERAGE(OFFSET($H$3,0,0,'Données projet'!$E$10+1,1))</f>
        <v>#N/A</v>
      </c>
      <c r="AO168" s="62" t="e">
        <f t="shared" si="144"/>
        <v>#N/A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 t="e">
        <f>EXP(-LN(2)/35)*AU167+(1-EXP(-LN(2)/35))/(LN(2)/35)*AQ168*AR168*VLOOKUP('Données projet'!$B$10,Paramètres!$A$1:$I$89,3,0)*0.475*44/12</f>
        <v>#N/A</v>
      </c>
      <c r="AV168" s="23" t="e">
        <f>EXP(-LN(2)/25)*AV167+(1-EXP(-LN(2)/25))/(LN(2)/25)*Calculateur!AQ168*Calculateur!AS168*VLOOKUP('Données projet'!$B$10,Paramètres!$A$1:$I$89,3,0)*0.475*44/12</f>
        <v>#N/A</v>
      </c>
      <c r="AW168" s="23" t="e">
        <f>EXP(-LN(2)/2)*AW167+(1-EXP(-LN(2)/2))/(LN(2)/2)*AQ168*AT168*VLOOKUP('Données projet'!$B$10,Paramètres!$A$1:$I$89,3,0)*0.475*44/12</f>
        <v>#N/A</v>
      </c>
      <c r="AX168" s="23" t="e">
        <f t="shared" si="166"/>
        <v>#N/A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 t="e">
        <f>BD168*VLOOKUP('Données projet'!$B$11,Paramètres!$A$1:$I$89,3,0)*VLOOKUP('Données projet'!$B$11,Paramètres!$A$1:$I$89,5,0)</f>
        <v>#N/A</v>
      </c>
      <c r="BF168" s="14" t="e">
        <f t="shared" si="167"/>
        <v>#N/A</v>
      </c>
      <c r="BG168" s="22" t="e">
        <f t="shared" si="168"/>
        <v>#N/A</v>
      </c>
      <c r="BH168" s="62" t="e">
        <f t="shared" si="116"/>
        <v>#N/A</v>
      </c>
      <c r="BI168" s="62" t="e">
        <f ca="1">AVERAGE(OFFSET($BH$3,0,0,'Données projet'!$E$11+1,1))-AVERAGE(OFFSET($H$3,0,0,'Données projet'!$E$11+1,1))</f>
        <v>#N/A</v>
      </c>
      <c r="BJ168" s="62" t="e">
        <f t="shared" si="146"/>
        <v>#N/A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 t="e">
        <f>EXP(-LN(2)/35)*BP167+(1-EXP(-LN(2)/35))/(LN(2)/35)*BL168*BM168*VLOOKUP('Données projet'!$B$11,Paramètres!$A$1:$I$89,3,0)*0.475*44/12</f>
        <v>#N/A</v>
      </c>
      <c r="BQ168" s="23" t="e">
        <f>EXP(-LN(2)/25)*BQ167+(1-EXP(-LN(2)/25))/(LN(2)/25)*Calculateur!BL168*Calculateur!BN168*VLOOKUP('Données projet'!$B$11,Paramètres!$A$1:$I$89,3,0)*0.475*44/12</f>
        <v>#N/A</v>
      </c>
      <c r="BR168" s="23" t="e">
        <f>EXP(-LN(2)/2)*BR167+(1-EXP(-LN(2)/2))/(LN(2)/2)*BL168*BO168*VLOOKUP('Données projet'!$B$11,Paramètres!$A$1:$I$89,3,0)*0.475*44/12</f>
        <v>#N/A</v>
      </c>
      <c r="BS168" s="24" t="e">
        <f t="shared" si="169"/>
        <v>#N/A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3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82.003999999999976</v>
      </c>
      <c r="D169" s="12">
        <f t="shared" si="140"/>
        <v>22.626464760149261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10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807.67376306080121</v>
      </c>
      <c r="H169" s="70">
        <f t="shared" si="110"/>
        <v>475.56472612392656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-1.1368683772161603E-13</v>
      </c>
      <c r="O169" s="14">
        <f>N169*VLOOKUP('Données projet'!$B$9,Paramètres!$A$1:$I$89,3,0)*VLOOKUP('Données projet'!$B$9,Paramètres!$A$1:$I$89,5,0)</f>
        <v>-6.7984728957526396E-14</v>
      </c>
      <c r="P169" s="14" t="e">
        <f t="shared" si="141"/>
        <v>#NUM!</v>
      </c>
      <c r="Q169" s="22" t="e">
        <f t="shared" si="162"/>
        <v>#NUM!</v>
      </c>
      <c r="R169" s="62" t="e">
        <f t="shared" si="109"/>
        <v>#NUM!</v>
      </c>
      <c r="S169" s="62">
        <f ca="1">AVERAGE(OFFSET($R$3,0,0,'Données projet'!$E$9+1,1))-AVERAGE(OFFSET($H$3,0,0,'Données projet'!$E$9+1,1))</f>
        <v>255.1976414275677</v>
      </c>
      <c r="T169" s="62">
        <f t="shared" si="142"/>
        <v>266.42714758321767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0.79204157857166146</v>
      </c>
      <c r="AA169" s="23">
        <f>EXP(-LN(2)/25)*AA168+(1-EXP(-LN(2)/25))/(LN(2)/25)*Calculateur!V169*Calculateur!X169*VLOOKUP('Données projet'!$B$9,Paramètres!$A$1:$I$89,3,0)*0.475*44/12</f>
        <v>0.30365450805927285</v>
      </c>
      <c r="AB169" s="23">
        <f>EXP(-LN(2)/2)*AB168+(1-EXP(-LN(2)/2))/(LN(2)/2)*V169*Y169*VLOOKUP('Données projet'!$B$9,Paramètres!$A$1:$I$89,3,0)*0.475*44/12</f>
        <v>2.052788599789202E-20</v>
      </c>
      <c r="AC169" s="24">
        <f t="shared" si="163"/>
        <v>1.0956960866309342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0</v>
      </c>
      <c r="AJ169" s="14" t="e">
        <f>AI169*VLOOKUP('Données projet'!$B$10,Paramètres!$A$1:$I$89,3,0)*VLOOKUP('Données projet'!$B$10,Paramètres!$A$1:$I$89,5,0)</f>
        <v>#N/A</v>
      </c>
      <c r="AK169" s="14" t="e">
        <f t="shared" si="164"/>
        <v>#N/A</v>
      </c>
      <c r="AL169" s="22" t="e">
        <f t="shared" si="165"/>
        <v>#N/A</v>
      </c>
      <c r="AM169" s="62" t="e">
        <f t="shared" si="113"/>
        <v>#N/A</v>
      </c>
      <c r="AN169" s="62" t="e">
        <f ca="1">AVERAGE(OFFSET($AM$3,0,0,'Données projet'!$E$10+1,1))-AVERAGE(OFFSET($H$3,0,0,'Données projet'!$E$10+1,1))</f>
        <v>#N/A</v>
      </c>
      <c r="AO169" s="62" t="e">
        <f t="shared" si="144"/>
        <v>#N/A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 t="e">
        <f>EXP(-LN(2)/35)*AU168+(1-EXP(-LN(2)/35))/(LN(2)/35)*AQ169*AR169*VLOOKUP('Données projet'!$B$10,Paramètres!$A$1:$I$89,3,0)*0.475*44/12</f>
        <v>#N/A</v>
      </c>
      <c r="AV169" s="23" t="e">
        <f>EXP(-LN(2)/25)*AV168+(1-EXP(-LN(2)/25))/(LN(2)/25)*Calculateur!AQ169*Calculateur!AS169*VLOOKUP('Données projet'!$B$10,Paramètres!$A$1:$I$89,3,0)*0.475*44/12</f>
        <v>#N/A</v>
      </c>
      <c r="AW169" s="23" t="e">
        <f>EXP(-LN(2)/2)*AW168+(1-EXP(-LN(2)/2))/(LN(2)/2)*AQ169*AT169*VLOOKUP('Données projet'!$B$10,Paramètres!$A$1:$I$89,3,0)*0.475*44/12</f>
        <v>#N/A</v>
      </c>
      <c r="AX169" s="23" t="e">
        <f t="shared" si="166"/>
        <v>#N/A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 t="e">
        <f>BD169*VLOOKUP('Données projet'!$B$11,Paramètres!$A$1:$I$89,3,0)*VLOOKUP('Données projet'!$B$11,Paramètres!$A$1:$I$89,5,0)</f>
        <v>#N/A</v>
      </c>
      <c r="BF169" s="14" t="e">
        <f t="shared" si="167"/>
        <v>#N/A</v>
      </c>
      <c r="BG169" s="22" t="e">
        <f t="shared" si="168"/>
        <v>#N/A</v>
      </c>
      <c r="BH169" s="62" t="e">
        <f t="shared" si="116"/>
        <v>#N/A</v>
      </c>
      <c r="BI169" s="62" t="e">
        <f ca="1">AVERAGE(OFFSET($BH$3,0,0,'Données projet'!$E$11+1,1))-AVERAGE(OFFSET($H$3,0,0,'Données projet'!$E$11+1,1))</f>
        <v>#N/A</v>
      </c>
      <c r="BJ169" s="62" t="e">
        <f t="shared" si="146"/>
        <v>#N/A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 t="e">
        <f>EXP(-LN(2)/35)*BP168+(1-EXP(-LN(2)/35))/(LN(2)/35)*BL169*BM169*VLOOKUP('Données projet'!$B$11,Paramètres!$A$1:$I$89,3,0)*0.475*44/12</f>
        <v>#N/A</v>
      </c>
      <c r="BQ169" s="23" t="e">
        <f>EXP(-LN(2)/25)*BQ168+(1-EXP(-LN(2)/25))/(LN(2)/25)*Calculateur!BL169*Calculateur!BN169*VLOOKUP('Données projet'!$B$11,Paramètres!$A$1:$I$89,3,0)*0.475*44/12</f>
        <v>#N/A</v>
      </c>
      <c r="BR169" s="23" t="e">
        <f>EXP(-LN(2)/2)*BR168+(1-EXP(-LN(2)/2))/(LN(2)/2)*BL169*BO169*VLOOKUP('Données projet'!$B$11,Paramètres!$A$1:$I$89,3,0)*0.475*44/12</f>
        <v>#N/A</v>
      </c>
      <c r="BS169" s="24" t="e">
        <f t="shared" si="169"/>
        <v>#N/A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3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82.497999999999976</v>
      </c>
      <c r="D170" s="12">
        <f t="shared" si="140"/>
        <v>22.746860847025957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10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812.41646969634064</v>
      </c>
      <c r="H170" s="70">
        <f t="shared" si="110"/>
        <v>476.63479930857011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-1.1368683772161603E-13</v>
      </c>
      <c r="O170" s="14">
        <f>N170*VLOOKUP('Données projet'!$B$9,Paramètres!$A$1:$I$89,3,0)*VLOOKUP('Données projet'!$B$9,Paramètres!$A$1:$I$89,5,0)</f>
        <v>-6.7984728957526396E-14</v>
      </c>
      <c r="P170" s="14" t="e">
        <f t="shared" si="141"/>
        <v>#NUM!</v>
      </c>
      <c r="Q170" s="22" t="e">
        <f t="shared" si="162"/>
        <v>#NUM!</v>
      </c>
      <c r="R170" s="62" t="e">
        <f t="shared" si="109"/>
        <v>#NUM!</v>
      </c>
      <c r="S170" s="62">
        <f ca="1">AVERAGE(OFFSET($R$3,0,0,'Données projet'!$E$9+1,1))-AVERAGE(OFFSET($H$3,0,0,'Données projet'!$E$9+1,1))</f>
        <v>255.1976414275677</v>
      </c>
      <c r="T170" s="62">
        <f t="shared" si="142"/>
        <v>266.42714758321767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0.77651012631353222</v>
      </c>
      <c r="AA170" s="23">
        <f>EXP(-LN(2)/25)*AA169+(1-EXP(-LN(2)/25))/(LN(2)/25)*Calculateur!V170*Calculateur!X170*VLOOKUP('Données projet'!$B$9,Paramètres!$A$1:$I$89,3,0)*0.475*44/12</f>
        <v>0.29535105956789548</v>
      </c>
      <c r="AB170" s="23">
        <f>EXP(-LN(2)/2)*AB169+(1-EXP(-LN(2)/2))/(LN(2)/2)*V170*Y170*VLOOKUP('Données projet'!$B$9,Paramètres!$A$1:$I$89,3,0)*0.475*44/12</f>
        <v>1.4515407392533825E-20</v>
      </c>
      <c r="AC170" s="24">
        <f t="shared" si="163"/>
        <v>1.0718611858814278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0</v>
      </c>
      <c r="AJ170" s="14" t="e">
        <f>AI170*VLOOKUP('Données projet'!$B$10,Paramètres!$A$1:$I$89,3,0)*VLOOKUP('Données projet'!$B$10,Paramètres!$A$1:$I$89,5,0)</f>
        <v>#N/A</v>
      </c>
      <c r="AK170" s="14" t="e">
        <f t="shared" si="164"/>
        <v>#N/A</v>
      </c>
      <c r="AL170" s="22" t="e">
        <f t="shared" si="165"/>
        <v>#N/A</v>
      </c>
      <c r="AM170" s="62" t="e">
        <f t="shared" si="113"/>
        <v>#N/A</v>
      </c>
      <c r="AN170" s="62" t="e">
        <f ca="1">AVERAGE(OFFSET($AM$3,0,0,'Données projet'!$E$10+1,1))-AVERAGE(OFFSET($H$3,0,0,'Données projet'!$E$10+1,1))</f>
        <v>#N/A</v>
      </c>
      <c r="AO170" s="62" t="e">
        <f t="shared" si="144"/>
        <v>#N/A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 t="e">
        <f>EXP(-LN(2)/35)*AU169+(1-EXP(-LN(2)/35))/(LN(2)/35)*AQ170*AR170*VLOOKUP('Données projet'!$B$10,Paramètres!$A$1:$I$89,3,0)*0.475*44/12</f>
        <v>#N/A</v>
      </c>
      <c r="AV170" s="23" t="e">
        <f>EXP(-LN(2)/25)*AV169+(1-EXP(-LN(2)/25))/(LN(2)/25)*Calculateur!AQ170*Calculateur!AS170*VLOOKUP('Données projet'!$B$10,Paramètres!$A$1:$I$89,3,0)*0.475*44/12</f>
        <v>#N/A</v>
      </c>
      <c r="AW170" s="23" t="e">
        <f>EXP(-LN(2)/2)*AW169+(1-EXP(-LN(2)/2))/(LN(2)/2)*AQ170*AT170*VLOOKUP('Données projet'!$B$10,Paramètres!$A$1:$I$89,3,0)*0.475*44/12</f>
        <v>#N/A</v>
      </c>
      <c r="AX170" s="23" t="e">
        <f t="shared" si="166"/>
        <v>#N/A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 t="e">
        <f>BD170*VLOOKUP('Données projet'!$B$11,Paramètres!$A$1:$I$89,3,0)*VLOOKUP('Données projet'!$B$11,Paramètres!$A$1:$I$89,5,0)</f>
        <v>#N/A</v>
      </c>
      <c r="BF170" s="14" t="e">
        <f t="shared" si="167"/>
        <v>#N/A</v>
      </c>
      <c r="BG170" s="22" t="e">
        <f t="shared" si="168"/>
        <v>#N/A</v>
      </c>
      <c r="BH170" s="62" t="e">
        <f t="shared" si="116"/>
        <v>#N/A</v>
      </c>
      <c r="BI170" s="62" t="e">
        <f ca="1">AVERAGE(OFFSET($BH$3,0,0,'Données projet'!$E$11+1,1))-AVERAGE(OFFSET($H$3,0,0,'Données projet'!$E$11+1,1))</f>
        <v>#N/A</v>
      </c>
      <c r="BJ170" s="62" t="e">
        <f t="shared" si="146"/>
        <v>#N/A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 t="e">
        <f>EXP(-LN(2)/35)*BP169+(1-EXP(-LN(2)/35))/(LN(2)/35)*BL170*BM170*VLOOKUP('Données projet'!$B$11,Paramètres!$A$1:$I$89,3,0)*0.475*44/12</f>
        <v>#N/A</v>
      </c>
      <c r="BQ170" s="23" t="e">
        <f>EXP(-LN(2)/25)*BQ169+(1-EXP(-LN(2)/25))/(LN(2)/25)*Calculateur!BL170*Calculateur!BN170*VLOOKUP('Données projet'!$B$11,Paramètres!$A$1:$I$89,3,0)*0.475*44/12</f>
        <v>#N/A</v>
      </c>
      <c r="BR170" s="23" t="e">
        <f>EXP(-LN(2)/2)*BR169+(1-EXP(-LN(2)/2))/(LN(2)/2)*BL170*BO170*VLOOKUP('Données projet'!$B$11,Paramètres!$A$1:$I$89,3,0)*0.475*44/12</f>
        <v>#N/A</v>
      </c>
      <c r="BS170" s="24" t="e">
        <f t="shared" si="169"/>
        <v>#N/A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3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82.991999999999976</v>
      </c>
      <c r="D171" s="12">
        <f t="shared" si="140"/>
        <v>22.867173045817303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10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817.1585287747298</v>
      </c>
      <c r="H171" s="70">
        <f t="shared" si="110"/>
        <v>477.70472638813175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-1.1368683772161603E-13</v>
      </c>
      <c r="O171" s="14">
        <f>N171*VLOOKUP('Données projet'!$B$9,Paramètres!$A$1:$I$89,3,0)*VLOOKUP('Données projet'!$B$9,Paramètres!$A$1:$I$89,5,0)</f>
        <v>-6.7984728957526396E-14</v>
      </c>
      <c r="P171" s="14" t="e">
        <f t="shared" si="141"/>
        <v>#NUM!</v>
      </c>
      <c r="Q171" s="22" t="e">
        <f t="shared" si="162"/>
        <v>#NUM!</v>
      </c>
      <c r="R171" s="62" t="e">
        <f t="shared" si="109"/>
        <v>#NUM!</v>
      </c>
      <c r="S171" s="62">
        <f ca="1">AVERAGE(OFFSET($R$3,0,0,'Données projet'!$E$9+1,1))-AVERAGE(OFFSET($H$3,0,0,'Données projet'!$E$9+1,1))</f>
        <v>255.1976414275677</v>
      </c>
      <c r="T171" s="62">
        <f t="shared" si="142"/>
        <v>266.42714758321767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0.76128323636093442</v>
      </c>
      <c r="AA171" s="23">
        <f>EXP(-LN(2)/25)*AA170+(1-EXP(-LN(2)/25))/(LN(2)/25)*Calculateur!V171*Calculateur!X171*VLOOKUP('Données projet'!$B$9,Paramètres!$A$1:$I$89,3,0)*0.475*44/12</f>
        <v>0.28727466931217421</v>
      </c>
      <c r="AB171" s="23">
        <f>EXP(-LN(2)/2)*AB170+(1-EXP(-LN(2)/2))/(LN(2)/2)*V171*Y171*VLOOKUP('Données projet'!$B$9,Paramètres!$A$1:$I$89,3,0)*0.475*44/12</f>
        <v>1.026394299894601E-20</v>
      </c>
      <c r="AC171" s="24">
        <f t="shared" si="163"/>
        <v>1.0485579056731087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0</v>
      </c>
      <c r="AJ171" s="14" t="e">
        <f>AI171*VLOOKUP('Données projet'!$B$10,Paramètres!$A$1:$I$89,3,0)*VLOOKUP('Données projet'!$B$10,Paramètres!$A$1:$I$89,5,0)</f>
        <v>#N/A</v>
      </c>
      <c r="AK171" s="14" t="e">
        <f t="shared" si="164"/>
        <v>#N/A</v>
      </c>
      <c r="AL171" s="22" t="e">
        <f t="shared" si="165"/>
        <v>#N/A</v>
      </c>
      <c r="AM171" s="62" t="e">
        <f t="shared" si="113"/>
        <v>#N/A</v>
      </c>
      <c r="AN171" s="62" t="e">
        <f ca="1">AVERAGE(OFFSET($AM$3,0,0,'Données projet'!$E$10+1,1))-AVERAGE(OFFSET($H$3,0,0,'Données projet'!$E$10+1,1))</f>
        <v>#N/A</v>
      </c>
      <c r="AO171" s="62" t="e">
        <f t="shared" si="144"/>
        <v>#N/A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 t="e">
        <f>EXP(-LN(2)/35)*AU170+(1-EXP(-LN(2)/35))/(LN(2)/35)*AQ171*AR171*VLOOKUP('Données projet'!$B$10,Paramètres!$A$1:$I$89,3,0)*0.475*44/12</f>
        <v>#N/A</v>
      </c>
      <c r="AV171" s="23" t="e">
        <f>EXP(-LN(2)/25)*AV170+(1-EXP(-LN(2)/25))/(LN(2)/25)*Calculateur!AQ171*Calculateur!AS171*VLOOKUP('Données projet'!$B$10,Paramètres!$A$1:$I$89,3,0)*0.475*44/12</f>
        <v>#N/A</v>
      </c>
      <c r="AW171" s="23" t="e">
        <f>EXP(-LN(2)/2)*AW170+(1-EXP(-LN(2)/2))/(LN(2)/2)*AQ171*AT171*VLOOKUP('Données projet'!$B$10,Paramètres!$A$1:$I$89,3,0)*0.475*44/12</f>
        <v>#N/A</v>
      </c>
      <c r="AX171" s="23" t="e">
        <f t="shared" si="166"/>
        <v>#N/A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 t="e">
        <f>BD171*VLOOKUP('Données projet'!$B$11,Paramètres!$A$1:$I$89,3,0)*VLOOKUP('Données projet'!$B$11,Paramètres!$A$1:$I$89,5,0)</f>
        <v>#N/A</v>
      </c>
      <c r="BF171" s="14" t="e">
        <f t="shared" si="167"/>
        <v>#N/A</v>
      </c>
      <c r="BG171" s="22" t="e">
        <f t="shared" si="168"/>
        <v>#N/A</v>
      </c>
      <c r="BH171" s="62" t="e">
        <f t="shared" si="116"/>
        <v>#N/A</v>
      </c>
      <c r="BI171" s="62" t="e">
        <f ca="1">AVERAGE(OFFSET($BH$3,0,0,'Données projet'!$E$11+1,1))-AVERAGE(OFFSET($H$3,0,0,'Données projet'!$E$11+1,1))</f>
        <v>#N/A</v>
      </c>
      <c r="BJ171" s="62" t="e">
        <f t="shared" si="146"/>
        <v>#N/A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 t="e">
        <f>EXP(-LN(2)/35)*BP170+(1-EXP(-LN(2)/35))/(LN(2)/35)*BL171*BM171*VLOOKUP('Données projet'!$B$11,Paramètres!$A$1:$I$89,3,0)*0.475*44/12</f>
        <v>#N/A</v>
      </c>
      <c r="BQ171" s="23" t="e">
        <f>EXP(-LN(2)/25)*BQ170+(1-EXP(-LN(2)/25))/(LN(2)/25)*Calculateur!BL171*Calculateur!BN171*VLOOKUP('Données projet'!$B$11,Paramètres!$A$1:$I$89,3,0)*0.475*44/12</f>
        <v>#N/A</v>
      </c>
      <c r="BR171" s="23" t="e">
        <f>EXP(-LN(2)/2)*BR170+(1-EXP(-LN(2)/2))/(LN(2)/2)*BL171*BO171*VLOOKUP('Données projet'!$B$11,Paramètres!$A$1:$I$89,3,0)*0.475*44/12</f>
        <v>#N/A</v>
      </c>
      <c r="BS171" s="24" t="e">
        <f t="shared" si="169"/>
        <v>#N/A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3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83.485999999999976</v>
      </c>
      <c r="D172" s="12">
        <f t="shared" si="140"/>
        <v>22.987401913793153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10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821.89994459770139</v>
      </c>
      <c r="H172" s="70">
        <f t="shared" si="110"/>
        <v>478.77450833318966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-1.1368683772161603E-13</v>
      </c>
      <c r="O172" s="14">
        <f>N172*VLOOKUP('Données projet'!$B$9,Paramètres!$A$1:$I$89,3,0)*VLOOKUP('Données projet'!$B$9,Paramètres!$A$1:$I$89,5,0)</f>
        <v>-6.7984728957526396E-14</v>
      </c>
      <c r="P172" s="14" t="e">
        <f t="shared" si="141"/>
        <v>#NUM!</v>
      </c>
      <c r="Q172" s="22" t="e">
        <f t="shared" si="162"/>
        <v>#NUM!</v>
      </c>
      <c r="R172" s="62" t="e">
        <f t="shared" si="109"/>
        <v>#NUM!</v>
      </c>
      <c r="S172" s="62">
        <f ca="1">AVERAGE(OFFSET($R$3,0,0,'Données projet'!$E$9+1,1))-AVERAGE(OFFSET($H$3,0,0,'Données projet'!$E$9+1,1))</f>
        <v>255.1976414275677</v>
      </c>
      <c r="T172" s="62">
        <f t="shared" si="142"/>
        <v>266.42714758321767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0.74635493643282125</v>
      </c>
      <c r="AA172" s="23">
        <f>EXP(-LN(2)/25)*AA171+(1-EXP(-LN(2)/25))/(LN(2)/25)*Calculateur!V172*Calculateur!X172*VLOOKUP('Données projet'!$B$9,Paramètres!$A$1:$I$89,3,0)*0.475*44/12</f>
        <v>0.27941912837271454</v>
      </c>
      <c r="AB172" s="23">
        <f>EXP(-LN(2)/2)*AB171+(1-EXP(-LN(2)/2))/(LN(2)/2)*V172*Y172*VLOOKUP('Données projet'!$B$9,Paramètres!$A$1:$I$89,3,0)*0.475*44/12</f>
        <v>7.2577036962669126E-21</v>
      </c>
      <c r="AC172" s="24">
        <f t="shared" si="163"/>
        <v>1.0257740648055358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0</v>
      </c>
      <c r="AJ172" s="14" t="e">
        <f>AI172*VLOOKUP('Données projet'!$B$10,Paramètres!$A$1:$I$89,3,0)*VLOOKUP('Données projet'!$B$10,Paramètres!$A$1:$I$89,5,0)</f>
        <v>#N/A</v>
      </c>
      <c r="AK172" s="14" t="e">
        <f t="shared" si="164"/>
        <v>#N/A</v>
      </c>
      <c r="AL172" s="22" t="e">
        <f t="shared" si="165"/>
        <v>#N/A</v>
      </c>
      <c r="AM172" s="62" t="e">
        <f t="shared" si="113"/>
        <v>#N/A</v>
      </c>
      <c r="AN172" s="62" t="e">
        <f ca="1">AVERAGE(OFFSET($AM$3,0,0,'Données projet'!$E$10+1,1))-AVERAGE(OFFSET($H$3,0,0,'Données projet'!$E$10+1,1))</f>
        <v>#N/A</v>
      </c>
      <c r="AO172" s="62" t="e">
        <f t="shared" si="144"/>
        <v>#N/A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 t="e">
        <f>EXP(-LN(2)/35)*AU171+(1-EXP(-LN(2)/35))/(LN(2)/35)*AQ172*AR172*VLOOKUP('Données projet'!$B$10,Paramètres!$A$1:$I$89,3,0)*0.475*44/12</f>
        <v>#N/A</v>
      </c>
      <c r="AV172" s="23" t="e">
        <f>EXP(-LN(2)/25)*AV171+(1-EXP(-LN(2)/25))/(LN(2)/25)*Calculateur!AQ172*Calculateur!AS172*VLOOKUP('Données projet'!$B$10,Paramètres!$A$1:$I$89,3,0)*0.475*44/12</f>
        <v>#N/A</v>
      </c>
      <c r="AW172" s="23" t="e">
        <f>EXP(-LN(2)/2)*AW171+(1-EXP(-LN(2)/2))/(LN(2)/2)*AQ172*AT172*VLOOKUP('Données projet'!$B$10,Paramètres!$A$1:$I$89,3,0)*0.475*44/12</f>
        <v>#N/A</v>
      </c>
      <c r="AX172" s="23" t="e">
        <f t="shared" si="166"/>
        <v>#N/A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 t="e">
        <f>BD172*VLOOKUP('Données projet'!$B$11,Paramètres!$A$1:$I$89,3,0)*VLOOKUP('Données projet'!$B$11,Paramètres!$A$1:$I$89,5,0)</f>
        <v>#N/A</v>
      </c>
      <c r="BF172" s="14" t="e">
        <f t="shared" si="167"/>
        <v>#N/A</v>
      </c>
      <c r="BG172" s="22" t="e">
        <f t="shared" si="168"/>
        <v>#N/A</v>
      </c>
      <c r="BH172" s="62" t="e">
        <f t="shared" si="116"/>
        <v>#N/A</v>
      </c>
      <c r="BI172" s="62" t="e">
        <f ca="1">AVERAGE(OFFSET($BH$3,0,0,'Données projet'!$E$11+1,1))-AVERAGE(OFFSET($H$3,0,0,'Données projet'!$E$11+1,1))</f>
        <v>#N/A</v>
      </c>
      <c r="BJ172" s="62" t="e">
        <f t="shared" si="146"/>
        <v>#N/A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 t="e">
        <f>EXP(-LN(2)/35)*BP171+(1-EXP(-LN(2)/35))/(LN(2)/35)*BL172*BM172*VLOOKUP('Données projet'!$B$11,Paramètres!$A$1:$I$89,3,0)*0.475*44/12</f>
        <v>#N/A</v>
      </c>
      <c r="BQ172" s="23" t="e">
        <f>EXP(-LN(2)/25)*BQ171+(1-EXP(-LN(2)/25))/(LN(2)/25)*Calculateur!BL172*Calculateur!BN172*VLOOKUP('Données projet'!$B$11,Paramètres!$A$1:$I$89,3,0)*0.475*44/12</f>
        <v>#N/A</v>
      </c>
      <c r="BR172" s="23" t="e">
        <f>EXP(-LN(2)/2)*BR171+(1-EXP(-LN(2)/2))/(LN(2)/2)*BL172*BO172*VLOOKUP('Données projet'!$B$11,Paramètres!$A$1:$I$89,3,0)*0.475*44/12</f>
        <v>#N/A</v>
      </c>
      <c r="BS172" s="24" t="e">
        <f t="shared" si="169"/>
        <v>#N/A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3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83.979999999999976</v>
      </c>
      <c r="D173" s="12">
        <f t="shared" si="140"/>
        <v>23.10754800124684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10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826.64072141313329</v>
      </c>
      <c r="H173" s="70">
        <f t="shared" si="110"/>
        <v>479.84414610217152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-1.1368683772161603E-13</v>
      </c>
      <c r="O173" s="14">
        <f>N173*VLOOKUP('Données projet'!$B$9,Paramètres!$A$1:$I$89,3,0)*VLOOKUP('Données projet'!$B$9,Paramètres!$A$1:$I$89,5,0)</f>
        <v>-6.7984728957526396E-14</v>
      </c>
      <c r="P173" s="14" t="e">
        <f t="shared" si="141"/>
        <v>#NUM!</v>
      </c>
      <c r="Q173" s="22" t="e">
        <f t="shared" si="162"/>
        <v>#NUM!</v>
      </c>
      <c r="R173" s="62" t="e">
        <f t="shared" si="109"/>
        <v>#NUM!</v>
      </c>
      <c r="S173" s="62">
        <f ca="1">AVERAGE(OFFSET($R$3,0,0,'Données projet'!$E$9+1,1))-AVERAGE(OFFSET($H$3,0,0,'Données projet'!$E$9+1,1))</f>
        <v>255.1976414275677</v>
      </c>
      <c r="T173" s="62">
        <f t="shared" si="142"/>
        <v>266.42714758321767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0.73171937136093446</v>
      </c>
      <c r="AA173" s="23">
        <f>EXP(-LN(2)/25)*AA172+(1-EXP(-LN(2)/25))/(LN(2)/25)*Calculateur!V173*Calculateur!X173*VLOOKUP('Données projet'!$B$9,Paramètres!$A$1:$I$89,3,0)*0.475*44/12</f>
        <v>0.27177839761334932</v>
      </c>
      <c r="AB173" s="23">
        <f>EXP(-LN(2)/2)*AB172+(1-EXP(-LN(2)/2))/(LN(2)/2)*V173*Y173*VLOOKUP('Données projet'!$B$9,Paramètres!$A$1:$I$89,3,0)*0.475*44/12</f>
        <v>5.1319714994730051E-21</v>
      </c>
      <c r="AC173" s="24">
        <f t="shared" si="163"/>
        <v>1.0034977689742837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0</v>
      </c>
      <c r="AJ173" s="14" t="e">
        <f>AI173*VLOOKUP('Données projet'!$B$10,Paramètres!$A$1:$I$89,3,0)*VLOOKUP('Données projet'!$B$10,Paramètres!$A$1:$I$89,5,0)</f>
        <v>#N/A</v>
      </c>
      <c r="AK173" s="14" t="e">
        <f t="shared" si="164"/>
        <v>#N/A</v>
      </c>
      <c r="AL173" s="22" t="e">
        <f t="shared" si="165"/>
        <v>#N/A</v>
      </c>
      <c r="AM173" s="62" t="e">
        <f t="shared" si="113"/>
        <v>#N/A</v>
      </c>
      <c r="AN173" s="62" t="e">
        <f ca="1">AVERAGE(OFFSET($AM$3,0,0,'Données projet'!$E$10+1,1))-AVERAGE(OFFSET($H$3,0,0,'Données projet'!$E$10+1,1))</f>
        <v>#N/A</v>
      </c>
      <c r="AO173" s="62" t="e">
        <f t="shared" si="144"/>
        <v>#N/A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 t="e">
        <f>EXP(-LN(2)/35)*AU172+(1-EXP(-LN(2)/35))/(LN(2)/35)*AQ173*AR173*VLOOKUP('Données projet'!$B$10,Paramètres!$A$1:$I$89,3,0)*0.475*44/12</f>
        <v>#N/A</v>
      </c>
      <c r="AV173" s="23" t="e">
        <f>EXP(-LN(2)/25)*AV172+(1-EXP(-LN(2)/25))/(LN(2)/25)*Calculateur!AQ173*Calculateur!AS173*VLOOKUP('Données projet'!$B$10,Paramètres!$A$1:$I$89,3,0)*0.475*44/12</f>
        <v>#N/A</v>
      </c>
      <c r="AW173" s="23" t="e">
        <f>EXP(-LN(2)/2)*AW172+(1-EXP(-LN(2)/2))/(LN(2)/2)*AQ173*AT173*VLOOKUP('Données projet'!$B$10,Paramètres!$A$1:$I$89,3,0)*0.475*44/12</f>
        <v>#N/A</v>
      </c>
      <c r="AX173" s="23" t="e">
        <f t="shared" si="166"/>
        <v>#N/A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 t="e">
        <f>BD173*VLOOKUP('Données projet'!$B$11,Paramètres!$A$1:$I$89,3,0)*VLOOKUP('Données projet'!$B$11,Paramètres!$A$1:$I$89,5,0)</f>
        <v>#N/A</v>
      </c>
      <c r="BF173" s="14" t="e">
        <f t="shared" si="167"/>
        <v>#N/A</v>
      </c>
      <c r="BG173" s="22" t="e">
        <f t="shared" si="168"/>
        <v>#N/A</v>
      </c>
      <c r="BH173" s="62" t="e">
        <f t="shared" si="116"/>
        <v>#N/A</v>
      </c>
      <c r="BI173" s="62" t="e">
        <f ca="1">AVERAGE(OFFSET($BH$3,0,0,'Données projet'!$E$11+1,1))-AVERAGE(OFFSET($H$3,0,0,'Données projet'!$E$11+1,1))</f>
        <v>#N/A</v>
      </c>
      <c r="BJ173" s="62" t="e">
        <f t="shared" si="146"/>
        <v>#N/A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 t="e">
        <f>EXP(-LN(2)/35)*BP172+(1-EXP(-LN(2)/35))/(LN(2)/35)*BL173*BM173*VLOOKUP('Données projet'!$B$11,Paramètres!$A$1:$I$89,3,0)*0.475*44/12</f>
        <v>#N/A</v>
      </c>
      <c r="BQ173" s="23" t="e">
        <f>EXP(-LN(2)/25)*BQ172+(1-EXP(-LN(2)/25))/(LN(2)/25)*Calculateur!BL173*Calculateur!BN173*VLOOKUP('Données projet'!$B$11,Paramètres!$A$1:$I$89,3,0)*0.475*44/12</f>
        <v>#N/A</v>
      </c>
      <c r="BR173" s="23" t="e">
        <f>EXP(-LN(2)/2)*BR172+(1-EXP(-LN(2)/2))/(LN(2)/2)*BL173*BO173*VLOOKUP('Données projet'!$B$11,Paramètres!$A$1:$I$89,3,0)*0.475*44/12</f>
        <v>#N/A</v>
      </c>
      <c r="BS173" s="24" t="e">
        <f t="shared" si="169"/>
        <v>#N/A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3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84.473999999999975</v>
      </c>
      <c r="D174" s="12">
        <f t="shared" si="140"/>
        <v>23.22761185162317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10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831.38086341603832</v>
      </c>
      <c r="H174" s="70">
        <f t="shared" si="110"/>
        <v>480.91364064157693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-1.1368683772161603E-13</v>
      </c>
      <c r="O174" s="14">
        <f>N174*VLOOKUP('Données projet'!$B$9,Paramètres!$A$1:$I$89,3,0)*VLOOKUP('Données projet'!$B$9,Paramètres!$A$1:$I$89,5,0)</f>
        <v>-6.7984728957526396E-14</v>
      </c>
      <c r="P174" s="14" t="e">
        <f t="shared" si="141"/>
        <v>#NUM!</v>
      </c>
      <c r="Q174" s="22" t="e">
        <f t="shared" si="162"/>
        <v>#NUM!</v>
      </c>
      <c r="R174" s="62" t="e">
        <f t="shared" si="109"/>
        <v>#NUM!</v>
      </c>
      <c r="S174" s="62">
        <f ca="1">AVERAGE(OFFSET($R$3,0,0,'Données projet'!$E$9+1,1))-AVERAGE(OFFSET($H$3,0,0,'Données projet'!$E$9+1,1))</f>
        <v>255.1976414275677</v>
      </c>
      <c r="T174" s="62">
        <f t="shared" si="142"/>
        <v>266.42714758321767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0.71737080079329418</v>
      </c>
      <c r="AA174" s="23">
        <f>EXP(-LN(2)/25)*AA173+(1-EXP(-LN(2)/25))/(LN(2)/25)*Calculateur!V174*Calculateur!X174*VLOOKUP('Données projet'!$B$9,Paramètres!$A$1:$I$89,3,0)*0.475*44/12</f>
        <v>0.26434660303840751</v>
      </c>
      <c r="AB174" s="23">
        <f>EXP(-LN(2)/2)*AB173+(1-EXP(-LN(2)/2))/(LN(2)/2)*V174*Y174*VLOOKUP('Données projet'!$B$9,Paramètres!$A$1:$I$89,3,0)*0.475*44/12</f>
        <v>3.6288518481334563E-21</v>
      </c>
      <c r="AC174" s="24">
        <f t="shared" si="163"/>
        <v>0.9817174038317017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0</v>
      </c>
      <c r="AJ174" s="14" t="e">
        <f>AI174*VLOOKUP('Données projet'!$B$10,Paramètres!$A$1:$I$89,3,0)*VLOOKUP('Données projet'!$B$10,Paramètres!$A$1:$I$89,5,0)</f>
        <v>#N/A</v>
      </c>
      <c r="AK174" s="14" t="e">
        <f t="shared" si="164"/>
        <v>#N/A</v>
      </c>
      <c r="AL174" s="22" t="e">
        <f t="shared" si="165"/>
        <v>#N/A</v>
      </c>
      <c r="AM174" s="62" t="e">
        <f t="shared" si="113"/>
        <v>#N/A</v>
      </c>
      <c r="AN174" s="62" t="e">
        <f ca="1">AVERAGE(OFFSET($AM$3,0,0,'Données projet'!$E$10+1,1))-AVERAGE(OFFSET($H$3,0,0,'Données projet'!$E$10+1,1))</f>
        <v>#N/A</v>
      </c>
      <c r="AO174" s="62" t="e">
        <f t="shared" si="144"/>
        <v>#N/A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 t="e">
        <f>EXP(-LN(2)/35)*AU173+(1-EXP(-LN(2)/35))/(LN(2)/35)*AQ174*AR174*VLOOKUP('Données projet'!$B$10,Paramètres!$A$1:$I$89,3,0)*0.475*44/12</f>
        <v>#N/A</v>
      </c>
      <c r="AV174" s="23" t="e">
        <f>EXP(-LN(2)/25)*AV173+(1-EXP(-LN(2)/25))/(LN(2)/25)*Calculateur!AQ174*Calculateur!AS174*VLOOKUP('Données projet'!$B$10,Paramètres!$A$1:$I$89,3,0)*0.475*44/12</f>
        <v>#N/A</v>
      </c>
      <c r="AW174" s="23" t="e">
        <f>EXP(-LN(2)/2)*AW173+(1-EXP(-LN(2)/2))/(LN(2)/2)*AQ174*AT174*VLOOKUP('Données projet'!$B$10,Paramètres!$A$1:$I$89,3,0)*0.475*44/12</f>
        <v>#N/A</v>
      </c>
      <c r="AX174" s="23" t="e">
        <f t="shared" si="166"/>
        <v>#N/A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 t="e">
        <f>BD174*VLOOKUP('Données projet'!$B$11,Paramètres!$A$1:$I$89,3,0)*VLOOKUP('Données projet'!$B$11,Paramètres!$A$1:$I$89,5,0)</f>
        <v>#N/A</v>
      </c>
      <c r="BF174" s="14" t="e">
        <f t="shared" si="167"/>
        <v>#N/A</v>
      </c>
      <c r="BG174" s="22" t="e">
        <f t="shared" si="168"/>
        <v>#N/A</v>
      </c>
      <c r="BH174" s="62" t="e">
        <f t="shared" si="116"/>
        <v>#N/A</v>
      </c>
      <c r="BI174" s="62" t="e">
        <f ca="1">AVERAGE(OFFSET($BH$3,0,0,'Données projet'!$E$11+1,1))-AVERAGE(OFFSET($H$3,0,0,'Données projet'!$E$11+1,1))</f>
        <v>#N/A</v>
      </c>
      <c r="BJ174" s="62" t="e">
        <f t="shared" si="146"/>
        <v>#N/A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 t="e">
        <f>EXP(-LN(2)/35)*BP173+(1-EXP(-LN(2)/35))/(LN(2)/35)*BL174*BM174*VLOOKUP('Données projet'!$B$11,Paramètres!$A$1:$I$89,3,0)*0.475*44/12</f>
        <v>#N/A</v>
      </c>
      <c r="BQ174" s="23" t="e">
        <f>EXP(-LN(2)/25)*BQ173+(1-EXP(-LN(2)/25))/(LN(2)/25)*Calculateur!BL174*Calculateur!BN174*VLOOKUP('Données projet'!$B$11,Paramètres!$A$1:$I$89,3,0)*0.475*44/12</f>
        <v>#N/A</v>
      </c>
      <c r="BR174" s="23" t="e">
        <f>EXP(-LN(2)/2)*BR173+(1-EXP(-LN(2)/2))/(LN(2)/2)*BL174*BO174*VLOOKUP('Données projet'!$B$11,Paramètres!$A$1:$I$89,3,0)*0.475*44/12</f>
        <v>#N/A</v>
      </c>
      <c r="BS174" s="24" t="e">
        <f t="shared" si="169"/>
        <v>#N/A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3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84.967999999999975</v>
      </c>
      <c r="D175" s="12">
        <f t="shared" si="140"/>
        <v>23.347594001643046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10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836.12037474952513</v>
      </c>
      <c r="H175" s="70">
        <f t="shared" si="110"/>
        <v>481.98299288619489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-1.1368683772161603E-13</v>
      </c>
      <c r="O175" s="14">
        <f>N175*VLOOKUP('Données projet'!$B$9,Paramètres!$A$1:$I$89,3,0)*VLOOKUP('Données projet'!$B$9,Paramètres!$A$1:$I$89,5,0)</f>
        <v>-6.7984728957526396E-14</v>
      </c>
      <c r="P175" s="14" t="e">
        <f t="shared" si="141"/>
        <v>#NUM!</v>
      </c>
      <c r="Q175" s="22" t="e">
        <f t="shared" si="162"/>
        <v>#NUM!</v>
      </c>
      <c r="R175" s="62" t="e">
        <f t="shared" si="109"/>
        <v>#NUM!</v>
      </c>
      <c r="S175" s="62">
        <f ca="1">AVERAGE(OFFSET($R$3,0,0,'Données projet'!$E$9+1,1))-AVERAGE(OFFSET($H$3,0,0,'Données projet'!$E$9+1,1))</f>
        <v>255.1976414275677</v>
      </c>
      <c r="T175" s="62">
        <f t="shared" si="142"/>
        <v>266.42714758321767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0.70330359694272138</v>
      </c>
      <c r="AA175" s="23">
        <f>EXP(-LN(2)/25)*AA174+(1-EXP(-LN(2)/25))/(LN(2)/25)*Calculateur!V175*Calculateur!X175*VLOOKUP('Données projet'!$B$9,Paramètres!$A$1:$I$89,3,0)*0.475*44/12</f>
        <v>0.25711803127693855</v>
      </c>
      <c r="AB175" s="23">
        <f>EXP(-LN(2)/2)*AB174+(1-EXP(-LN(2)/2))/(LN(2)/2)*V175*Y175*VLOOKUP('Données projet'!$B$9,Paramètres!$A$1:$I$89,3,0)*0.475*44/12</f>
        <v>2.5659857497365025E-21</v>
      </c>
      <c r="AC175" s="24">
        <f t="shared" si="163"/>
        <v>0.96042162821965993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0</v>
      </c>
      <c r="AJ175" s="14" t="e">
        <f>AI175*VLOOKUP('Données projet'!$B$10,Paramètres!$A$1:$I$89,3,0)*VLOOKUP('Données projet'!$B$10,Paramètres!$A$1:$I$89,5,0)</f>
        <v>#N/A</v>
      </c>
      <c r="AK175" s="14" t="e">
        <f t="shared" si="164"/>
        <v>#N/A</v>
      </c>
      <c r="AL175" s="22" t="e">
        <f t="shared" si="165"/>
        <v>#N/A</v>
      </c>
      <c r="AM175" s="62" t="e">
        <f t="shared" si="113"/>
        <v>#N/A</v>
      </c>
      <c r="AN175" s="62" t="e">
        <f ca="1">AVERAGE(OFFSET($AM$3,0,0,'Données projet'!$E$10+1,1))-AVERAGE(OFFSET($H$3,0,0,'Données projet'!$E$10+1,1))</f>
        <v>#N/A</v>
      </c>
      <c r="AO175" s="62" t="e">
        <f t="shared" si="144"/>
        <v>#N/A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 t="e">
        <f>EXP(-LN(2)/35)*AU174+(1-EXP(-LN(2)/35))/(LN(2)/35)*AQ175*AR175*VLOOKUP('Données projet'!$B$10,Paramètres!$A$1:$I$89,3,0)*0.475*44/12</f>
        <v>#N/A</v>
      </c>
      <c r="AV175" s="23" t="e">
        <f>EXP(-LN(2)/25)*AV174+(1-EXP(-LN(2)/25))/(LN(2)/25)*Calculateur!AQ175*Calculateur!AS175*VLOOKUP('Données projet'!$B$10,Paramètres!$A$1:$I$89,3,0)*0.475*44/12</f>
        <v>#N/A</v>
      </c>
      <c r="AW175" s="23" t="e">
        <f>EXP(-LN(2)/2)*AW174+(1-EXP(-LN(2)/2))/(LN(2)/2)*AQ175*AT175*VLOOKUP('Données projet'!$B$10,Paramètres!$A$1:$I$89,3,0)*0.475*44/12</f>
        <v>#N/A</v>
      </c>
      <c r="AX175" s="23" t="e">
        <f t="shared" si="166"/>
        <v>#N/A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 t="e">
        <f>BD175*VLOOKUP('Données projet'!$B$11,Paramètres!$A$1:$I$89,3,0)*VLOOKUP('Données projet'!$B$11,Paramètres!$A$1:$I$89,5,0)</f>
        <v>#N/A</v>
      </c>
      <c r="BF175" s="14" t="e">
        <f t="shared" si="167"/>
        <v>#N/A</v>
      </c>
      <c r="BG175" s="22" t="e">
        <f t="shared" si="168"/>
        <v>#N/A</v>
      </c>
      <c r="BH175" s="62" t="e">
        <f t="shared" si="116"/>
        <v>#N/A</v>
      </c>
      <c r="BI175" s="62" t="e">
        <f ca="1">AVERAGE(OFFSET($BH$3,0,0,'Données projet'!$E$11+1,1))-AVERAGE(OFFSET($H$3,0,0,'Données projet'!$E$11+1,1))</f>
        <v>#N/A</v>
      </c>
      <c r="BJ175" s="62" t="e">
        <f t="shared" si="146"/>
        <v>#N/A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 t="e">
        <f>EXP(-LN(2)/35)*BP174+(1-EXP(-LN(2)/35))/(LN(2)/35)*BL175*BM175*VLOOKUP('Données projet'!$B$11,Paramètres!$A$1:$I$89,3,0)*0.475*44/12</f>
        <v>#N/A</v>
      </c>
      <c r="BQ175" s="23" t="e">
        <f>EXP(-LN(2)/25)*BQ174+(1-EXP(-LN(2)/25))/(LN(2)/25)*Calculateur!BL175*Calculateur!BN175*VLOOKUP('Données projet'!$B$11,Paramètres!$A$1:$I$89,3,0)*0.475*44/12</f>
        <v>#N/A</v>
      </c>
      <c r="BR175" s="23" t="e">
        <f>EXP(-LN(2)/2)*BR174+(1-EXP(-LN(2)/2))/(LN(2)/2)*BL175*BO175*VLOOKUP('Données projet'!$B$11,Paramètres!$A$1:$I$89,3,0)*0.475*44/12</f>
        <v>#N/A</v>
      </c>
      <c r="BS175" s="24" t="e">
        <f t="shared" si="169"/>
        <v>#N/A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3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85.461999999999975</v>
      </c>
      <c r="D176" s="12">
        <f t="shared" si="140"/>
        <v>23.467494981425435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10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840.85925950573994</v>
      </c>
      <c r="H176" s="70">
        <f t="shared" si="110"/>
        <v>483.05220375931589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-1.1368683772161603E-13</v>
      </c>
      <c r="O176" s="14">
        <f>N176*VLOOKUP('Données projet'!$B$9,Paramètres!$A$1:$I$89,3,0)*VLOOKUP('Données projet'!$B$9,Paramètres!$A$1:$I$89,5,0)</f>
        <v>-6.7984728957526396E-14</v>
      </c>
      <c r="P176" s="14" t="e">
        <f t="shared" si="141"/>
        <v>#NUM!</v>
      </c>
      <c r="Q176" s="22" t="e">
        <f t="shared" si="162"/>
        <v>#NUM!</v>
      </c>
      <c r="R176" s="62" t="e">
        <f t="shared" si="109"/>
        <v>#NUM!</v>
      </c>
      <c r="S176" s="62">
        <f ca="1">AVERAGE(OFFSET($R$3,0,0,'Données projet'!$E$9+1,1))-AVERAGE(OFFSET($H$3,0,0,'Données projet'!$E$9+1,1))</f>
        <v>255.1976414275677</v>
      </c>
      <c r="T176" s="62">
        <f t="shared" si="142"/>
        <v>266.42714758321767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0.68951224237951114</v>
      </c>
      <c r="AA176" s="23">
        <f>EXP(-LN(2)/25)*AA175+(1-EXP(-LN(2)/25))/(LN(2)/25)*Calculateur!V176*Calculateur!X176*VLOOKUP('Données projet'!$B$9,Paramètres!$A$1:$I$89,3,0)*0.475*44/12</f>
        <v>0.25008712519042103</v>
      </c>
      <c r="AB176" s="23">
        <f>EXP(-LN(2)/2)*AB175+(1-EXP(-LN(2)/2))/(LN(2)/2)*V176*Y176*VLOOKUP('Données projet'!$B$9,Paramètres!$A$1:$I$89,3,0)*0.475*44/12</f>
        <v>1.8144259240667281E-21</v>
      </c>
      <c r="AC176" s="24">
        <f t="shared" si="163"/>
        <v>0.93959936756993212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0</v>
      </c>
      <c r="AJ176" s="14" t="e">
        <f>AI176*VLOOKUP('Données projet'!$B$10,Paramètres!$A$1:$I$89,3,0)*VLOOKUP('Données projet'!$B$10,Paramètres!$A$1:$I$89,5,0)</f>
        <v>#N/A</v>
      </c>
      <c r="AK176" s="14" t="e">
        <f t="shared" si="164"/>
        <v>#N/A</v>
      </c>
      <c r="AL176" s="22" t="e">
        <f t="shared" si="165"/>
        <v>#N/A</v>
      </c>
      <c r="AM176" s="62" t="e">
        <f t="shared" si="113"/>
        <v>#N/A</v>
      </c>
      <c r="AN176" s="62" t="e">
        <f ca="1">AVERAGE(OFFSET($AM$3,0,0,'Données projet'!$E$10+1,1))-AVERAGE(OFFSET($H$3,0,0,'Données projet'!$E$10+1,1))</f>
        <v>#N/A</v>
      </c>
      <c r="AO176" s="62" t="e">
        <f t="shared" si="144"/>
        <v>#N/A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 t="e">
        <f>EXP(-LN(2)/35)*AU175+(1-EXP(-LN(2)/35))/(LN(2)/35)*AQ176*AR176*VLOOKUP('Données projet'!$B$10,Paramètres!$A$1:$I$89,3,0)*0.475*44/12</f>
        <v>#N/A</v>
      </c>
      <c r="AV176" s="23" t="e">
        <f>EXP(-LN(2)/25)*AV175+(1-EXP(-LN(2)/25))/(LN(2)/25)*Calculateur!AQ176*Calculateur!AS176*VLOOKUP('Données projet'!$B$10,Paramètres!$A$1:$I$89,3,0)*0.475*44/12</f>
        <v>#N/A</v>
      </c>
      <c r="AW176" s="23" t="e">
        <f>EXP(-LN(2)/2)*AW175+(1-EXP(-LN(2)/2))/(LN(2)/2)*AQ176*AT176*VLOOKUP('Données projet'!$B$10,Paramètres!$A$1:$I$89,3,0)*0.475*44/12</f>
        <v>#N/A</v>
      </c>
      <c r="AX176" s="23" t="e">
        <f t="shared" si="166"/>
        <v>#N/A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 t="e">
        <f>BD176*VLOOKUP('Données projet'!$B$11,Paramètres!$A$1:$I$89,3,0)*VLOOKUP('Données projet'!$B$11,Paramètres!$A$1:$I$89,5,0)</f>
        <v>#N/A</v>
      </c>
      <c r="BF176" s="14" t="e">
        <f t="shared" si="167"/>
        <v>#N/A</v>
      </c>
      <c r="BG176" s="22" t="e">
        <f t="shared" si="168"/>
        <v>#N/A</v>
      </c>
      <c r="BH176" s="62" t="e">
        <f t="shared" si="116"/>
        <v>#N/A</v>
      </c>
      <c r="BI176" s="62" t="e">
        <f ca="1">AVERAGE(OFFSET($BH$3,0,0,'Données projet'!$E$11+1,1))-AVERAGE(OFFSET($H$3,0,0,'Données projet'!$E$11+1,1))</f>
        <v>#N/A</v>
      </c>
      <c r="BJ176" s="62" t="e">
        <f t="shared" si="146"/>
        <v>#N/A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 t="e">
        <f>EXP(-LN(2)/35)*BP175+(1-EXP(-LN(2)/35))/(LN(2)/35)*BL176*BM176*VLOOKUP('Données projet'!$B$11,Paramètres!$A$1:$I$89,3,0)*0.475*44/12</f>
        <v>#N/A</v>
      </c>
      <c r="BQ176" s="23" t="e">
        <f>EXP(-LN(2)/25)*BQ175+(1-EXP(-LN(2)/25))/(LN(2)/25)*Calculateur!BL176*Calculateur!BN176*VLOOKUP('Données projet'!$B$11,Paramètres!$A$1:$I$89,3,0)*0.475*44/12</f>
        <v>#N/A</v>
      </c>
      <c r="BR176" s="23" t="e">
        <f>EXP(-LN(2)/2)*BR175+(1-EXP(-LN(2)/2))/(LN(2)/2)*BL176*BO176*VLOOKUP('Données projet'!$B$11,Paramètres!$A$1:$I$89,3,0)*0.475*44/12</f>
        <v>#N/A</v>
      </c>
      <c r="BS176" s="24" t="e">
        <f t="shared" si="169"/>
        <v>#N/A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3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85.955999999999975</v>
      </c>
      <c r="D177" s="12">
        <f t="shared" si="140"/>
        <v>23.587315314606048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10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845.59752172678338</v>
      </c>
      <c r="H177" s="70">
        <f t="shared" si="110"/>
        <v>484.1212741729388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-1.1368683772161603E-13</v>
      </c>
      <c r="O177" s="14">
        <f>N177*VLOOKUP('Données projet'!$B$9,Paramètres!$A$1:$I$89,3,0)*VLOOKUP('Données projet'!$B$9,Paramètres!$A$1:$I$89,5,0)</f>
        <v>-6.7984728957526396E-14</v>
      </c>
      <c r="P177" s="14" t="e">
        <f t="shared" si="141"/>
        <v>#NUM!</v>
      </c>
      <c r="Q177" s="22" t="e">
        <f t="shared" si="162"/>
        <v>#NUM!</v>
      </c>
      <c r="R177" s="62" t="e">
        <f t="shared" si="109"/>
        <v>#NUM!</v>
      </c>
      <c r="S177" s="62">
        <f ca="1">AVERAGE(OFFSET($R$3,0,0,'Données projet'!$E$9+1,1))-AVERAGE(OFFSET($H$3,0,0,'Données projet'!$E$9+1,1))</f>
        <v>255.1976414275677</v>
      </c>
      <c r="T177" s="62">
        <f t="shared" si="142"/>
        <v>266.42714758321767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0.6759913278673898</v>
      </c>
      <c r="AA177" s="23">
        <f>EXP(-LN(2)/25)*AA176+(1-EXP(-LN(2)/25))/(LN(2)/25)*Calculateur!V177*Calculateur!X177*VLOOKUP('Données projet'!$B$9,Paramètres!$A$1:$I$89,3,0)*0.475*44/12</f>
        <v>0.24324847960057863</v>
      </c>
      <c r="AB177" s="23">
        <f>EXP(-LN(2)/2)*AB176+(1-EXP(-LN(2)/2))/(LN(2)/2)*V177*Y177*VLOOKUP('Données projet'!$B$9,Paramètres!$A$1:$I$89,3,0)*0.475*44/12</f>
        <v>1.2829928748682513E-21</v>
      </c>
      <c r="AC177" s="24">
        <f t="shared" si="163"/>
        <v>0.91923980746796841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0</v>
      </c>
      <c r="AJ177" s="14" t="e">
        <f>AI177*VLOOKUP('Données projet'!$B$10,Paramètres!$A$1:$I$89,3,0)*VLOOKUP('Données projet'!$B$10,Paramètres!$A$1:$I$89,5,0)</f>
        <v>#N/A</v>
      </c>
      <c r="AK177" s="14" t="e">
        <f t="shared" si="164"/>
        <v>#N/A</v>
      </c>
      <c r="AL177" s="22" t="e">
        <f t="shared" si="165"/>
        <v>#N/A</v>
      </c>
      <c r="AM177" s="62" t="e">
        <f t="shared" si="113"/>
        <v>#N/A</v>
      </c>
      <c r="AN177" s="62" t="e">
        <f ca="1">AVERAGE(OFFSET($AM$3,0,0,'Données projet'!$E$10+1,1))-AVERAGE(OFFSET($H$3,0,0,'Données projet'!$E$10+1,1))</f>
        <v>#N/A</v>
      </c>
      <c r="AO177" s="62" t="e">
        <f t="shared" si="144"/>
        <v>#N/A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 t="e">
        <f>EXP(-LN(2)/35)*AU176+(1-EXP(-LN(2)/35))/(LN(2)/35)*AQ177*AR177*VLOOKUP('Données projet'!$B$10,Paramètres!$A$1:$I$89,3,0)*0.475*44/12</f>
        <v>#N/A</v>
      </c>
      <c r="AV177" s="23" t="e">
        <f>EXP(-LN(2)/25)*AV176+(1-EXP(-LN(2)/25))/(LN(2)/25)*Calculateur!AQ177*Calculateur!AS177*VLOOKUP('Données projet'!$B$10,Paramètres!$A$1:$I$89,3,0)*0.475*44/12</f>
        <v>#N/A</v>
      </c>
      <c r="AW177" s="23" t="e">
        <f>EXP(-LN(2)/2)*AW176+(1-EXP(-LN(2)/2))/(LN(2)/2)*AQ177*AT177*VLOOKUP('Données projet'!$B$10,Paramètres!$A$1:$I$89,3,0)*0.475*44/12</f>
        <v>#N/A</v>
      </c>
      <c r="AX177" s="23" t="e">
        <f t="shared" si="166"/>
        <v>#N/A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 t="e">
        <f>BD177*VLOOKUP('Données projet'!$B$11,Paramètres!$A$1:$I$89,3,0)*VLOOKUP('Données projet'!$B$11,Paramètres!$A$1:$I$89,5,0)</f>
        <v>#N/A</v>
      </c>
      <c r="BF177" s="14" t="e">
        <f t="shared" si="167"/>
        <v>#N/A</v>
      </c>
      <c r="BG177" s="22" t="e">
        <f t="shared" si="168"/>
        <v>#N/A</v>
      </c>
      <c r="BH177" s="62" t="e">
        <f t="shared" si="116"/>
        <v>#N/A</v>
      </c>
      <c r="BI177" s="62" t="e">
        <f ca="1">AVERAGE(OFFSET($BH$3,0,0,'Données projet'!$E$11+1,1))-AVERAGE(OFFSET($H$3,0,0,'Données projet'!$E$11+1,1))</f>
        <v>#N/A</v>
      </c>
      <c r="BJ177" s="62" t="e">
        <f t="shared" si="146"/>
        <v>#N/A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 t="e">
        <f>EXP(-LN(2)/35)*BP176+(1-EXP(-LN(2)/35))/(LN(2)/35)*BL177*BM177*VLOOKUP('Données projet'!$B$11,Paramètres!$A$1:$I$89,3,0)*0.475*44/12</f>
        <v>#N/A</v>
      </c>
      <c r="BQ177" s="23" t="e">
        <f>EXP(-LN(2)/25)*BQ176+(1-EXP(-LN(2)/25))/(LN(2)/25)*Calculateur!BL177*Calculateur!BN177*VLOOKUP('Données projet'!$B$11,Paramètres!$A$1:$I$89,3,0)*0.475*44/12</f>
        <v>#N/A</v>
      </c>
      <c r="BR177" s="23" t="e">
        <f>EXP(-LN(2)/2)*BR176+(1-EXP(-LN(2)/2))/(LN(2)/2)*BL177*BO177*VLOOKUP('Données projet'!$B$11,Paramètres!$A$1:$I$89,3,0)*0.475*44/12</f>
        <v>#N/A</v>
      </c>
      <c r="BS177" s="24" t="e">
        <f t="shared" si="169"/>
        <v>#N/A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3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86.449999999999974</v>
      </c>
      <c r="D178" s="12">
        <f t="shared" si="140"/>
        <v>23.707055518453593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10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850.33516540560652</v>
      </c>
      <c r="H178" s="70">
        <f t="shared" si="110"/>
        <v>485.19020502797326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-1.1368683772161603E-13</v>
      </c>
      <c r="O178" s="14">
        <f>N178*VLOOKUP('Données projet'!$B$9,Paramètres!$A$1:$I$89,3,0)*VLOOKUP('Données projet'!$B$9,Paramètres!$A$1:$I$89,5,0)</f>
        <v>-6.7984728957526396E-14</v>
      </c>
      <c r="P178" s="14" t="e">
        <f t="shared" si="141"/>
        <v>#NUM!</v>
      </c>
      <c r="Q178" s="22" t="e">
        <f t="shared" si="162"/>
        <v>#NUM!</v>
      </c>
      <c r="R178" s="62" t="e">
        <f t="shared" si="109"/>
        <v>#NUM!</v>
      </c>
      <c r="S178" s="62">
        <f ca="1">AVERAGE(OFFSET($R$3,0,0,'Données projet'!$E$9+1,1))-AVERAGE(OFFSET($H$3,0,0,'Données projet'!$E$9+1,1))</f>
        <v>255.1976414275677</v>
      </c>
      <c r="T178" s="62">
        <f t="shared" si="142"/>
        <v>266.42714758321767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0.66273555024190767</v>
      </c>
      <c r="AA178" s="23">
        <f>EXP(-LN(2)/25)*AA177+(1-EXP(-LN(2)/25))/(LN(2)/25)*Calculateur!V178*Calculateur!X178*VLOOKUP('Données projet'!$B$9,Paramètres!$A$1:$I$89,3,0)*0.475*44/12</f>
        <v>0.23659683713401922</v>
      </c>
      <c r="AB178" s="23">
        <f>EXP(-LN(2)/2)*AB177+(1-EXP(-LN(2)/2))/(LN(2)/2)*V178*Y178*VLOOKUP('Données projet'!$B$9,Paramètres!$A$1:$I$89,3,0)*0.475*44/12</f>
        <v>9.0721296203336407E-22</v>
      </c>
      <c r="AC178" s="24">
        <f t="shared" si="163"/>
        <v>0.89933238737592691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0</v>
      </c>
      <c r="AJ178" s="14" t="e">
        <f>AI178*VLOOKUP('Données projet'!$B$10,Paramètres!$A$1:$I$89,3,0)*VLOOKUP('Données projet'!$B$10,Paramètres!$A$1:$I$89,5,0)</f>
        <v>#N/A</v>
      </c>
      <c r="AK178" s="14" t="e">
        <f t="shared" si="164"/>
        <v>#N/A</v>
      </c>
      <c r="AL178" s="22" t="e">
        <f t="shared" si="165"/>
        <v>#N/A</v>
      </c>
      <c r="AM178" s="62" t="e">
        <f t="shared" si="113"/>
        <v>#N/A</v>
      </c>
      <c r="AN178" s="62" t="e">
        <f ca="1">AVERAGE(OFFSET($AM$3,0,0,'Données projet'!$E$10+1,1))-AVERAGE(OFFSET($H$3,0,0,'Données projet'!$E$10+1,1))</f>
        <v>#N/A</v>
      </c>
      <c r="AO178" s="62" t="e">
        <f t="shared" si="144"/>
        <v>#N/A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 t="e">
        <f>EXP(-LN(2)/35)*AU177+(1-EXP(-LN(2)/35))/(LN(2)/35)*AQ178*AR178*VLOOKUP('Données projet'!$B$10,Paramètres!$A$1:$I$89,3,0)*0.475*44/12</f>
        <v>#N/A</v>
      </c>
      <c r="AV178" s="23" t="e">
        <f>EXP(-LN(2)/25)*AV177+(1-EXP(-LN(2)/25))/(LN(2)/25)*Calculateur!AQ178*Calculateur!AS178*VLOOKUP('Données projet'!$B$10,Paramètres!$A$1:$I$89,3,0)*0.475*44/12</f>
        <v>#N/A</v>
      </c>
      <c r="AW178" s="23" t="e">
        <f>EXP(-LN(2)/2)*AW177+(1-EXP(-LN(2)/2))/(LN(2)/2)*AQ178*AT178*VLOOKUP('Données projet'!$B$10,Paramètres!$A$1:$I$89,3,0)*0.475*44/12</f>
        <v>#N/A</v>
      </c>
      <c r="AX178" s="23" t="e">
        <f t="shared" si="166"/>
        <v>#N/A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 t="e">
        <f>BD178*VLOOKUP('Données projet'!$B$11,Paramètres!$A$1:$I$89,3,0)*VLOOKUP('Données projet'!$B$11,Paramètres!$A$1:$I$89,5,0)</f>
        <v>#N/A</v>
      </c>
      <c r="BF178" s="14" t="e">
        <f t="shared" si="167"/>
        <v>#N/A</v>
      </c>
      <c r="BG178" s="22" t="e">
        <f t="shared" si="168"/>
        <v>#N/A</v>
      </c>
      <c r="BH178" s="62" t="e">
        <f t="shared" si="116"/>
        <v>#N/A</v>
      </c>
      <c r="BI178" s="62" t="e">
        <f ca="1">AVERAGE(OFFSET($BH$3,0,0,'Données projet'!$E$11+1,1))-AVERAGE(OFFSET($H$3,0,0,'Données projet'!$E$11+1,1))</f>
        <v>#N/A</v>
      </c>
      <c r="BJ178" s="62" t="e">
        <f t="shared" si="146"/>
        <v>#N/A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 t="e">
        <f>EXP(-LN(2)/35)*BP177+(1-EXP(-LN(2)/35))/(LN(2)/35)*BL178*BM178*VLOOKUP('Données projet'!$B$11,Paramètres!$A$1:$I$89,3,0)*0.475*44/12</f>
        <v>#N/A</v>
      </c>
      <c r="BQ178" s="23" t="e">
        <f>EXP(-LN(2)/25)*BQ177+(1-EXP(-LN(2)/25))/(LN(2)/25)*Calculateur!BL178*Calculateur!BN178*VLOOKUP('Données projet'!$B$11,Paramètres!$A$1:$I$89,3,0)*0.475*44/12</f>
        <v>#N/A</v>
      </c>
      <c r="BR178" s="23" t="e">
        <f>EXP(-LN(2)/2)*BR177+(1-EXP(-LN(2)/2))/(LN(2)/2)*BL178*BO178*VLOOKUP('Données projet'!$B$11,Paramètres!$A$1:$I$89,3,0)*0.475*44/12</f>
        <v>#N/A</v>
      </c>
      <c r="BS178" s="24" t="e">
        <f t="shared" si="169"/>
        <v>#N/A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3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86.943999999999974</v>
      </c>
      <c r="D179" s="12">
        <f t="shared" si="140"/>
        <v>23.82671610398301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10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855.07219448688613</v>
      </c>
      <c r="H179" s="70">
        <f t="shared" si="110"/>
        <v>486.25899721443699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-1.1368683772161603E-13</v>
      </c>
      <c r="O179" s="14">
        <f>N179*VLOOKUP('Données projet'!$B$9,Paramètres!$A$1:$I$89,3,0)*VLOOKUP('Données projet'!$B$9,Paramètres!$A$1:$I$89,5,0)</f>
        <v>-6.7984728957526396E-14</v>
      </c>
      <c r="P179" s="14" t="e">
        <f t="shared" si="141"/>
        <v>#NUM!</v>
      </c>
      <c r="Q179" s="22" t="e">
        <f t="shared" si="162"/>
        <v>#NUM!</v>
      </c>
      <c r="R179" s="62" t="e">
        <f t="shared" si="109"/>
        <v>#NUM!</v>
      </c>
      <c r="S179" s="62">
        <f ca="1">AVERAGE(OFFSET($R$3,0,0,'Données projet'!$E$9+1,1))-AVERAGE(OFFSET($H$3,0,0,'Données projet'!$E$9+1,1))</f>
        <v>255.1976414275677</v>
      </c>
      <c r="T179" s="62">
        <f t="shared" si="142"/>
        <v>266.42714758321767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0.64973971033043521</v>
      </c>
      <c r="AA179" s="23">
        <f>EXP(-LN(2)/25)*AA178+(1-EXP(-LN(2)/25))/(LN(2)/25)*Calculateur!V179*Calculateur!X179*VLOOKUP('Données projet'!$B$9,Paramètres!$A$1:$I$89,3,0)*0.475*44/12</f>
        <v>0.23012708418050254</v>
      </c>
      <c r="AB179" s="23">
        <f>EXP(-LN(2)/2)*AB178+(1-EXP(-LN(2)/2))/(LN(2)/2)*V179*Y179*VLOOKUP('Données projet'!$B$9,Paramètres!$A$1:$I$89,3,0)*0.475*44/12</f>
        <v>6.4149643743412564E-22</v>
      </c>
      <c r="AC179" s="24">
        <f t="shared" si="163"/>
        <v>0.87986679451093774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0</v>
      </c>
      <c r="AJ179" s="14" t="e">
        <f>AI179*VLOOKUP('Données projet'!$B$10,Paramètres!$A$1:$I$89,3,0)*VLOOKUP('Données projet'!$B$10,Paramètres!$A$1:$I$89,5,0)</f>
        <v>#N/A</v>
      </c>
      <c r="AK179" s="14" t="e">
        <f t="shared" si="164"/>
        <v>#N/A</v>
      </c>
      <c r="AL179" s="22" t="e">
        <f t="shared" si="165"/>
        <v>#N/A</v>
      </c>
      <c r="AM179" s="62" t="e">
        <f t="shared" si="113"/>
        <v>#N/A</v>
      </c>
      <c r="AN179" s="62" t="e">
        <f ca="1">AVERAGE(OFFSET($AM$3,0,0,'Données projet'!$E$10+1,1))-AVERAGE(OFFSET($H$3,0,0,'Données projet'!$E$10+1,1))</f>
        <v>#N/A</v>
      </c>
      <c r="AO179" s="62" t="e">
        <f t="shared" si="144"/>
        <v>#N/A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 t="e">
        <f>EXP(-LN(2)/35)*AU178+(1-EXP(-LN(2)/35))/(LN(2)/35)*AQ179*AR179*VLOOKUP('Données projet'!$B$10,Paramètres!$A$1:$I$89,3,0)*0.475*44/12</f>
        <v>#N/A</v>
      </c>
      <c r="AV179" s="23" t="e">
        <f>EXP(-LN(2)/25)*AV178+(1-EXP(-LN(2)/25))/(LN(2)/25)*Calculateur!AQ179*Calculateur!AS179*VLOOKUP('Données projet'!$B$10,Paramètres!$A$1:$I$89,3,0)*0.475*44/12</f>
        <v>#N/A</v>
      </c>
      <c r="AW179" s="23" t="e">
        <f>EXP(-LN(2)/2)*AW178+(1-EXP(-LN(2)/2))/(LN(2)/2)*AQ179*AT179*VLOOKUP('Données projet'!$B$10,Paramètres!$A$1:$I$89,3,0)*0.475*44/12</f>
        <v>#N/A</v>
      </c>
      <c r="AX179" s="23" t="e">
        <f t="shared" si="166"/>
        <v>#N/A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 t="e">
        <f>BD179*VLOOKUP('Données projet'!$B$11,Paramètres!$A$1:$I$89,3,0)*VLOOKUP('Données projet'!$B$11,Paramètres!$A$1:$I$89,5,0)</f>
        <v>#N/A</v>
      </c>
      <c r="BF179" s="14" t="e">
        <f t="shared" si="167"/>
        <v>#N/A</v>
      </c>
      <c r="BG179" s="22" t="e">
        <f t="shared" si="168"/>
        <v>#N/A</v>
      </c>
      <c r="BH179" s="62" t="e">
        <f t="shared" si="116"/>
        <v>#N/A</v>
      </c>
      <c r="BI179" s="62" t="e">
        <f ca="1">AVERAGE(OFFSET($BH$3,0,0,'Données projet'!$E$11+1,1))-AVERAGE(OFFSET($H$3,0,0,'Données projet'!$E$11+1,1))</f>
        <v>#N/A</v>
      </c>
      <c r="BJ179" s="62" t="e">
        <f t="shared" si="146"/>
        <v>#N/A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 t="e">
        <f>EXP(-LN(2)/35)*BP178+(1-EXP(-LN(2)/35))/(LN(2)/35)*BL179*BM179*VLOOKUP('Données projet'!$B$11,Paramètres!$A$1:$I$89,3,0)*0.475*44/12</f>
        <v>#N/A</v>
      </c>
      <c r="BQ179" s="23" t="e">
        <f>EXP(-LN(2)/25)*BQ178+(1-EXP(-LN(2)/25))/(LN(2)/25)*Calculateur!BL179*Calculateur!BN179*VLOOKUP('Données projet'!$B$11,Paramètres!$A$1:$I$89,3,0)*0.475*44/12</f>
        <v>#N/A</v>
      </c>
      <c r="BR179" s="23" t="e">
        <f>EXP(-LN(2)/2)*BR178+(1-EXP(-LN(2)/2))/(LN(2)/2)*BL179*BO179*VLOOKUP('Données projet'!$B$11,Paramètres!$A$1:$I$89,3,0)*0.475*44/12</f>
        <v>#N/A</v>
      </c>
      <c r="BS179" s="24" t="e">
        <f t="shared" si="169"/>
        <v>#N/A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3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87.437999999999974</v>
      </c>
      <c r="D180" s="12">
        <f t="shared" si="140"/>
        <v>23.946297576066275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10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859.80861286787979</v>
      </c>
      <c r="H180" s="70">
        <f t="shared" si="110"/>
        <v>487.32765161164866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-1.1368683772161603E-13</v>
      </c>
      <c r="O180" s="14">
        <f>N180*VLOOKUP('Données projet'!$B$9,Paramètres!$A$1:$I$89,3,0)*VLOOKUP('Données projet'!$B$9,Paramètres!$A$1:$I$89,5,0)</f>
        <v>-6.7984728957526396E-14</v>
      </c>
      <c r="P180" s="14" t="e">
        <f t="shared" si="141"/>
        <v>#NUM!</v>
      </c>
      <c r="Q180" s="22" t="e">
        <f t="shared" si="162"/>
        <v>#NUM!</v>
      </c>
      <c r="R180" s="62" t="e">
        <f t="shared" si="109"/>
        <v>#NUM!</v>
      </c>
      <c r="S180" s="62">
        <f ca="1">AVERAGE(OFFSET($R$3,0,0,'Données projet'!$E$9+1,1))-AVERAGE(OFFSET($H$3,0,0,'Données projet'!$E$9+1,1))</f>
        <v>255.1976414275677</v>
      </c>
      <c r="T180" s="62">
        <f t="shared" si="142"/>
        <v>266.42714758321767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0.63699871091294713</v>
      </c>
      <c r="AA180" s="23">
        <f>EXP(-LN(2)/25)*AA179+(1-EXP(-LN(2)/25))/(LN(2)/25)*Calculateur!V180*Calculateur!X180*VLOOKUP('Données projet'!$B$9,Paramètres!$A$1:$I$89,3,0)*0.475*44/12</f>
        <v>0.22383424696172929</v>
      </c>
      <c r="AB180" s="23">
        <f>EXP(-LN(2)/2)*AB179+(1-EXP(-LN(2)/2))/(LN(2)/2)*V180*Y180*VLOOKUP('Données projet'!$B$9,Paramètres!$A$1:$I$89,3,0)*0.475*44/12</f>
        <v>4.5360648101668204E-22</v>
      </c>
      <c r="AC180" s="24">
        <f t="shared" si="163"/>
        <v>0.8608329578746764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0</v>
      </c>
      <c r="AJ180" s="14" t="e">
        <f>AI180*VLOOKUP('Données projet'!$B$10,Paramètres!$A$1:$I$89,3,0)*VLOOKUP('Données projet'!$B$10,Paramètres!$A$1:$I$89,5,0)</f>
        <v>#N/A</v>
      </c>
      <c r="AK180" s="14" t="e">
        <f t="shared" si="164"/>
        <v>#N/A</v>
      </c>
      <c r="AL180" s="22" t="e">
        <f t="shared" si="165"/>
        <v>#N/A</v>
      </c>
      <c r="AM180" s="62" t="e">
        <f t="shared" si="113"/>
        <v>#N/A</v>
      </c>
      <c r="AN180" s="62" t="e">
        <f ca="1">AVERAGE(OFFSET($AM$3,0,0,'Données projet'!$E$10+1,1))-AVERAGE(OFFSET($H$3,0,0,'Données projet'!$E$10+1,1))</f>
        <v>#N/A</v>
      </c>
      <c r="AO180" s="62" t="e">
        <f t="shared" si="144"/>
        <v>#N/A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 t="e">
        <f>EXP(-LN(2)/35)*AU179+(1-EXP(-LN(2)/35))/(LN(2)/35)*AQ180*AR180*VLOOKUP('Données projet'!$B$10,Paramètres!$A$1:$I$89,3,0)*0.475*44/12</f>
        <v>#N/A</v>
      </c>
      <c r="AV180" s="23" t="e">
        <f>EXP(-LN(2)/25)*AV179+(1-EXP(-LN(2)/25))/(LN(2)/25)*Calculateur!AQ180*Calculateur!AS180*VLOOKUP('Données projet'!$B$10,Paramètres!$A$1:$I$89,3,0)*0.475*44/12</f>
        <v>#N/A</v>
      </c>
      <c r="AW180" s="23" t="e">
        <f>EXP(-LN(2)/2)*AW179+(1-EXP(-LN(2)/2))/(LN(2)/2)*AQ180*AT180*VLOOKUP('Données projet'!$B$10,Paramètres!$A$1:$I$89,3,0)*0.475*44/12</f>
        <v>#N/A</v>
      </c>
      <c r="AX180" s="23" t="e">
        <f t="shared" si="166"/>
        <v>#N/A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 t="e">
        <f>BD180*VLOOKUP('Données projet'!$B$11,Paramètres!$A$1:$I$89,3,0)*VLOOKUP('Données projet'!$B$11,Paramètres!$A$1:$I$89,5,0)</f>
        <v>#N/A</v>
      </c>
      <c r="BF180" s="14" t="e">
        <f t="shared" si="167"/>
        <v>#N/A</v>
      </c>
      <c r="BG180" s="22" t="e">
        <f t="shared" si="168"/>
        <v>#N/A</v>
      </c>
      <c r="BH180" s="62" t="e">
        <f t="shared" si="116"/>
        <v>#N/A</v>
      </c>
      <c r="BI180" s="62" t="e">
        <f ca="1">AVERAGE(OFFSET($BH$3,0,0,'Données projet'!$E$11+1,1))-AVERAGE(OFFSET($H$3,0,0,'Données projet'!$E$11+1,1))</f>
        <v>#N/A</v>
      </c>
      <c r="BJ180" s="62" t="e">
        <f t="shared" si="146"/>
        <v>#N/A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 t="e">
        <f>EXP(-LN(2)/35)*BP179+(1-EXP(-LN(2)/35))/(LN(2)/35)*BL180*BM180*VLOOKUP('Données projet'!$B$11,Paramètres!$A$1:$I$89,3,0)*0.475*44/12</f>
        <v>#N/A</v>
      </c>
      <c r="BQ180" s="23" t="e">
        <f>EXP(-LN(2)/25)*BQ179+(1-EXP(-LN(2)/25))/(LN(2)/25)*Calculateur!BL180*Calculateur!BN180*VLOOKUP('Données projet'!$B$11,Paramètres!$A$1:$I$89,3,0)*0.475*44/12</f>
        <v>#N/A</v>
      </c>
      <c r="BR180" s="23" t="e">
        <f>EXP(-LN(2)/2)*BR179+(1-EXP(-LN(2)/2))/(LN(2)/2)*BL180*BO180*VLOOKUP('Données projet'!$B$11,Paramètres!$A$1:$I$89,3,0)*0.475*44/12</f>
        <v>#N/A</v>
      </c>
      <c r="BS180" s="24" t="e">
        <f t="shared" si="169"/>
        <v>#N/A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3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87.931999999999974</v>
      </c>
      <c r="D181" s="12">
        <f t="shared" si="140"/>
        <v>24.065800433540435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10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864.54442439925936</v>
      </c>
      <c r="H181" s="70">
        <f t="shared" si="110"/>
        <v>488.39616908841617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-1.1368683772161603E-13</v>
      </c>
      <c r="O181" s="14">
        <f>N181*VLOOKUP('Données projet'!$B$9,Paramètres!$A$1:$I$89,3,0)*VLOOKUP('Données projet'!$B$9,Paramètres!$A$1:$I$89,5,0)</f>
        <v>-6.7984728957526396E-14</v>
      </c>
      <c r="P181" s="14" t="e">
        <f t="shared" si="141"/>
        <v>#NUM!</v>
      </c>
      <c r="Q181" s="22" t="e">
        <f t="shared" si="162"/>
        <v>#NUM!</v>
      </c>
      <c r="R181" s="62" t="e">
        <f t="shared" si="109"/>
        <v>#NUM!</v>
      </c>
      <c r="S181" s="62">
        <f ca="1">AVERAGE(OFFSET($R$3,0,0,'Données projet'!$E$9+1,1))-AVERAGE(OFFSET($H$3,0,0,'Données projet'!$E$9+1,1))</f>
        <v>255.1976414275677</v>
      </c>
      <c r="T181" s="62">
        <f t="shared" si="142"/>
        <v>266.42714758321767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0.62450755472279362</v>
      </c>
      <c r="AA181" s="23">
        <f>EXP(-LN(2)/25)*AA180+(1-EXP(-LN(2)/25))/(LN(2)/25)*Calculateur!V181*Calculateur!X181*VLOOKUP('Données projet'!$B$9,Paramètres!$A$1:$I$89,3,0)*0.475*44/12</f>
        <v>0.21771348770762933</v>
      </c>
      <c r="AB181" s="23">
        <f>EXP(-LN(2)/2)*AB180+(1-EXP(-LN(2)/2))/(LN(2)/2)*V181*Y181*VLOOKUP('Données projet'!$B$9,Paramètres!$A$1:$I$89,3,0)*0.475*44/12</f>
        <v>3.2074821871706282E-22</v>
      </c>
      <c r="AC181" s="24">
        <f t="shared" si="163"/>
        <v>0.84222104243042295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0</v>
      </c>
      <c r="AJ181" s="14" t="e">
        <f>AI181*VLOOKUP('Données projet'!$B$10,Paramètres!$A$1:$I$89,3,0)*VLOOKUP('Données projet'!$B$10,Paramètres!$A$1:$I$89,5,0)</f>
        <v>#N/A</v>
      </c>
      <c r="AK181" s="14" t="e">
        <f t="shared" si="164"/>
        <v>#N/A</v>
      </c>
      <c r="AL181" s="22" t="e">
        <f t="shared" si="165"/>
        <v>#N/A</v>
      </c>
      <c r="AM181" s="62" t="e">
        <f t="shared" si="113"/>
        <v>#N/A</v>
      </c>
      <c r="AN181" s="62" t="e">
        <f ca="1">AVERAGE(OFFSET($AM$3,0,0,'Données projet'!$E$10+1,1))-AVERAGE(OFFSET($H$3,0,0,'Données projet'!$E$10+1,1))</f>
        <v>#N/A</v>
      </c>
      <c r="AO181" s="62" t="e">
        <f t="shared" si="144"/>
        <v>#N/A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 t="e">
        <f>EXP(-LN(2)/35)*AU180+(1-EXP(-LN(2)/35))/(LN(2)/35)*AQ181*AR181*VLOOKUP('Données projet'!$B$10,Paramètres!$A$1:$I$89,3,0)*0.475*44/12</f>
        <v>#N/A</v>
      </c>
      <c r="AV181" s="23" t="e">
        <f>EXP(-LN(2)/25)*AV180+(1-EXP(-LN(2)/25))/(LN(2)/25)*Calculateur!AQ181*Calculateur!AS181*VLOOKUP('Données projet'!$B$10,Paramètres!$A$1:$I$89,3,0)*0.475*44/12</f>
        <v>#N/A</v>
      </c>
      <c r="AW181" s="23" t="e">
        <f>EXP(-LN(2)/2)*AW180+(1-EXP(-LN(2)/2))/(LN(2)/2)*AQ181*AT181*VLOOKUP('Données projet'!$B$10,Paramètres!$A$1:$I$89,3,0)*0.475*44/12</f>
        <v>#N/A</v>
      </c>
      <c r="AX181" s="23" t="e">
        <f t="shared" si="166"/>
        <v>#N/A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 t="e">
        <f>BD181*VLOOKUP('Données projet'!$B$11,Paramètres!$A$1:$I$89,3,0)*VLOOKUP('Données projet'!$B$11,Paramètres!$A$1:$I$89,5,0)</f>
        <v>#N/A</v>
      </c>
      <c r="BF181" s="14" t="e">
        <f t="shared" si="167"/>
        <v>#N/A</v>
      </c>
      <c r="BG181" s="22" t="e">
        <f t="shared" si="168"/>
        <v>#N/A</v>
      </c>
      <c r="BH181" s="62" t="e">
        <f t="shared" si="116"/>
        <v>#N/A</v>
      </c>
      <c r="BI181" s="62" t="e">
        <f ca="1">AVERAGE(OFFSET($BH$3,0,0,'Données projet'!$E$11+1,1))-AVERAGE(OFFSET($H$3,0,0,'Données projet'!$E$11+1,1))</f>
        <v>#N/A</v>
      </c>
      <c r="BJ181" s="62" t="e">
        <f t="shared" si="146"/>
        <v>#N/A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 t="e">
        <f>EXP(-LN(2)/35)*BP180+(1-EXP(-LN(2)/35))/(LN(2)/35)*BL181*BM181*VLOOKUP('Données projet'!$B$11,Paramètres!$A$1:$I$89,3,0)*0.475*44/12</f>
        <v>#N/A</v>
      </c>
      <c r="BQ181" s="23" t="e">
        <f>EXP(-LN(2)/25)*BQ180+(1-EXP(-LN(2)/25))/(LN(2)/25)*Calculateur!BL181*Calculateur!BN181*VLOOKUP('Données projet'!$B$11,Paramètres!$A$1:$I$89,3,0)*0.475*44/12</f>
        <v>#N/A</v>
      </c>
      <c r="BR181" s="23" t="e">
        <f>EXP(-LN(2)/2)*BR180+(1-EXP(-LN(2)/2))/(LN(2)/2)*BL181*BO181*VLOOKUP('Données projet'!$B$11,Paramètres!$A$1:$I$89,3,0)*0.475*44/12</f>
        <v>#N/A</v>
      </c>
      <c r="BS181" s="24" t="e">
        <f t="shared" si="169"/>
        <v>#N/A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3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88.425999999999974</v>
      </c>
      <c r="D182" s="12">
        <f t="shared" si="140"/>
        <v>24.185225169313263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10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869.27963288592673</v>
      </c>
      <c r="H182" s="70">
        <f t="shared" si="110"/>
        <v>489.46455050322049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-1.1368683772161603E-13</v>
      </c>
      <c r="O182" s="14">
        <f>N182*VLOOKUP('Données projet'!$B$9,Paramètres!$A$1:$I$89,3,0)*VLOOKUP('Données projet'!$B$9,Paramètres!$A$1:$I$89,5,0)</f>
        <v>-6.7984728957526396E-14</v>
      </c>
      <c r="P182" s="14" t="e">
        <f t="shared" si="141"/>
        <v>#NUM!</v>
      </c>
      <c r="Q182" s="22" t="e">
        <f t="shared" si="162"/>
        <v>#NUM!</v>
      </c>
      <c r="R182" s="62" t="e">
        <f t="shared" si="109"/>
        <v>#NUM!</v>
      </c>
      <c r="S182" s="62">
        <f ca="1">AVERAGE(OFFSET($R$3,0,0,'Données projet'!$E$9+1,1))-AVERAGE(OFFSET($H$3,0,0,'Données projet'!$E$9+1,1))</f>
        <v>255.1976414275677</v>
      </c>
      <c r="T182" s="62">
        <f t="shared" si="142"/>
        <v>266.42714758321767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0.61226134248667607</v>
      </c>
      <c r="AA182" s="23">
        <f>EXP(-LN(2)/25)*AA181+(1-EXP(-LN(2)/25))/(LN(2)/25)*Calculateur!V182*Calculateur!X182*VLOOKUP('Données projet'!$B$9,Paramètres!$A$1:$I$89,3,0)*0.475*44/12</f>
        <v>0.21176010093720948</v>
      </c>
      <c r="AB182" s="23">
        <f>EXP(-LN(2)/2)*AB181+(1-EXP(-LN(2)/2))/(LN(2)/2)*V182*Y182*VLOOKUP('Données projet'!$B$9,Paramètres!$A$1:$I$89,3,0)*0.475*44/12</f>
        <v>2.2680324050834102E-22</v>
      </c>
      <c r="AC182" s="24">
        <f t="shared" si="163"/>
        <v>0.8240214434238855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0</v>
      </c>
      <c r="AJ182" s="14" t="e">
        <f>AI182*VLOOKUP('Données projet'!$B$10,Paramètres!$A$1:$I$89,3,0)*VLOOKUP('Données projet'!$B$10,Paramètres!$A$1:$I$89,5,0)</f>
        <v>#N/A</v>
      </c>
      <c r="AK182" s="14" t="e">
        <f t="shared" si="164"/>
        <v>#N/A</v>
      </c>
      <c r="AL182" s="22" t="e">
        <f t="shared" si="165"/>
        <v>#N/A</v>
      </c>
      <c r="AM182" s="62" t="e">
        <f t="shared" si="113"/>
        <v>#N/A</v>
      </c>
      <c r="AN182" s="62" t="e">
        <f ca="1">AVERAGE(OFFSET($AM$3,0,0,'Données projet'!$E$10+1,1))-AVERAGE(OFFSET($H$3,0,0,'Données projet'!$E$10+1,1))</f>
        <v>#N/A</v>
      </c>
      <c r="AO182" s="62" t="e">
        <f t="shared" si="144"/>
        <v>#N/A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 t="e">
        <f>EXP(-LN(2)/35)*AU181+(1-EXP(-LN(2)/35))/(LN(2)/35)*AQ182*AR182*VLOOKUP('Données projet'!$B$10,Paramètres!$A$1:$I$89,3,0)*0.475*44/12</f>
        <v>#N/A</v>
      </c>
      <c r="AV182" s="23" t="e">
        <f>EXP(-LN(2)/25)*AV181+(1-EXP(-LN(2)/25))/(LN(2)/25)*Calculateur!AQ182*Calculateur!AS182*VLOOKUP('Données projet'!$B$10,Paramètres!$A$1:$I$89,3,0)*0.475*44/12</f>
        <v>#N/A</v>
      </c>
      <c r="AW182" s="23" t="e">
        <f>EXP(-LN(2)/2)*AW181+(1-EXP(-LN(2)/2))/(LN(2)/2)*AQ182*AT182*VLOOKUP('Données projet'!$B$10,Paramètres!$A$1:$I$89,3,0)*0.475*44/12</f>
        <v>#N/A</v>
      </c>
      <c r="AX182" s="23" t="e">
        <f t="shared" si="166"/>
        <v>#N/A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 t="e">
        <f>BD182*VLOOKUP('Données projet'!$B$11,Paramètres!$A$1:$I$89,3,0)*VLOOKUP('Données projet'!$B$11,Paramètres!$A$1:$I$89,5,0)</f>
        <v>#N/A</v>
      </c>
      <c r="BF182" s="14" t="e">
        <f t="shared" si="167"/>
        <v>#N/A</v>
      </c>
      <c r="BG182" s="22" t="e">
        <f t="shared" si="168"/>
        <v>#N/A</v>
      </c>
      <c r="BH182" s="62" t="e">
        <f t="shared" si="116"/>
        <v>#N/A</v>
      </c>
      <c r="BI182" s="62" t="e">
        <f ca="1">AVERAGE(OFFSET($BH$3,0,0,'Données projet'!$E$11+1,1))-AVERAGE(OFFSET($H$3,0,0,'Données projet'!$E$11+1,1))</f>
        <v>#N/A</v>
      </c>
      <c r="BJ182" s="62" t="e">
        <f t="shared" si="146"/>
        <v>#N/A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 t="e">
        <f>EXP(-LN(2)/35)*BP181+(1-EXP(-LN(2)/35))/(LN(2)/35)*BL182*BM182*VLOOKUP('Données projet'!$B$11,Paramètres!$A$1:$I$89,3,0)*0.475*44/12</f>
        <v>#N/A</v>
      </c>
      <c r="BQ182" s="23" t="e">
        <f>EXP(-LN(2)/25)*BQ181+(1-EXP(-LN(2)/25))/(LN(2)/25)*Calculateur!BL182*Calculateur!BN182*VLOOKUP('Données projet'!$B$11,Paramètres!$A$1:$I$89,3,0)*0.475*44/12</f>
        <v>#N/A</v>
      </c>
      <c r="BR182" s="23" t="e">
        <f>EXP(-LN(2)/2)*BR181+(1-EXP(-LN(2)/2))/(LN(2)/2)*BL182*BO182*VLOOKUP('Données projet'!$B$11,Paramètres!$A$1:$I$89,3,0)*0.475*44/12</f>
        <v>#N/A</v>
      </c>
      <c r="BS182" s="24" t="e">
        <f t="shared" si="169"/>
        <v>#N/A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3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88.919999999999973</v>
      </c>
      <c r="D183" s="12">
        <f t="shared" si="140"/>
        <v>24.30457227046648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10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874.01424208781134</v>
      </c>
      <c r="H183" s="70">
        <f t="shared" si="110"/>
        <v>490.53279670439571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-1.1368683772161603E-13</v>
      </c>
      <c r="O183" s="14">
        <f>N183*VLOOKUP('Données projet'!$B$9,Paramètres!$A$1:$I$89,3,0)*VLOOKUP('Données projet'!$B$9,Paramètres!$A$1:$I$89,5,0)</f>
        <v>-6.7984728957526396E-14</v>
      </c>
      <c r="P183" s="14" t="e">
        <f t="shared" si="141"/>
        <v>#NUM!</v>
      </c>
      <c r="Q183" s="22" t="e">
        <f t="shared" si="162"/>
        <v>#NUM!</v>
      </c>
      <c r="R183" s="62" t="e">
        <f t="shared" si="109"/>
        <v>#NUM!</v>
      </c>
      <c r="S183" s="62">
        <f ca="1">AVERAGE(OFFSET($R$3,0,0,'Données projet'!$E$9+1,1))-AVERAGE(OFFSET($H$3,0,0,'Données projet'!$E$9+1,1))</f>
        <v>255.1976414275677</v>
      </c>
      <c r="T183" s="62">
        <f t="shared" si="142"/>
        <v>266.42714758321767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0.60025527100305687</v>
      </c>
      <c r="AA183" s="23">
        <f>EXP(-LN(2)/25)*AA182+(1-EXP(-LN(2)/25))/(LN(2)/25)*Calculateur!V183*Calculateur!X183*VLOOKUP('Données projet'!$B$9,Paramètres!$A$1:$I$89,3,0)*0.475*44/12</f>
        <v>0.20596950984110177</v>
      </c>
      <c r="AB183" s="23">
        <f>EXP(-LN(2)/2)*AB182+(1-EXP(-LN(2)/2))/(LN(2)/2)*V183*Y183*VLOOKUP('Données projet'!$B$9,Paramètres!$A$1:$I$89,3,0)*0.475*44/12</f>
        <v>1.6037410935853141E-22</v>
      </c>
      <c r="AC183" s="24">
        <f t="shared" si="163"/>
        <v>0.80622478084415861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0</v>
      </c>
      <c r="AJ183" s="14" t="e">
        <f>AI183*VLOOKUP('Données projet'!$B$10,Paramètres!$A$1:$I$89,3,0)*VLOOKUP('Données projet'!$B$10,Paramètres!$A$1:$I$89,5,0)</f>
        <v>#N/A</v>
      </c>
      <c r="AK183" s="14" t="e">
        <f t="shared" si="164"/>
        <v>#N/A</v>
      </c>
      <c r="AL183" s="22" t="e">
        <f t="shared" si="165"/>
        <v>#N/A</v>
      </c>
      <c r="AM183" s="62" t="e">
        <f t="shared" si="113"/>
        <v>#N/A</v>
      </c>
      <c r="AN183" s="62" t="e">
        <f ca="1">AVERAGE(OFFSET($AM$3,0,0,'Données projet'!$E$10+1,1))-AVERAGE(OFFSET($H$3,0,0,'Données projet'!$E$10+1,1))</f>
        <v>#N/A</v>
      </c>
      <c r="AO183" s="62" t="e">
        <f t="shared" si="144"/>
        <v>#N/A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 t="e">
        <f>EXP(-LN(2)/35)*AU182+(1-EXP(-LN(2)/35))/(LN(2)/35)*AQ183*AR183*VLOOKUP('Données projet'!$B$10,Paramètres!$A$1:$I$89,3,0)*0.475*44/12</f>
        <v>#N/A</v>
      </c>
      <c r="AV183" s="23" t="e">
        <f>EXP(-LN(2)/25)*AV182+(1-EXP(-LN(2)/25))/(LN(2)/25)*Calculateur!AQ183*Calculateur!AS183*VLOOKUP('Données projet'!$B$10,Paramètres!$A$1:$I$89,3,0)*0.475*44/12</f>
        <v>#N/A</v>
      </c>
      <c r="AW183" s="23" t="e">
        <f>EXP(-LN(2)/2)*AW182+(1-EXP(-LN(2)/2))/(LN(2)/2)*AQ183*AT183*VLOOKUP('Données projet'!$B$10,Paramètres!$A$1:$I$89,3,0)*0.475*44/12</f>
        <v>#N/A</v>
      </c>
      <c r="AX183" s="23" t="e">
        <f t="shared" si="166"/>
        <v>#N/A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 t="e">
        <f>BD183*VLOOKUP('Données projet'!$B$11,Paramètres!$A$1:$I$89,3,0)*VLOOKUP('Données projet'!$B$11,Paramètres!$A$1:$I$89,5,0)</f>
        <v>#N/A</v>
      </c>
      <c r="BF183" s="14" t="e">
        <f t="shared" si="167"/>
        <v>#N/A</v>
      </c>
      <c r="BG183" s="22" t="e">
        <f t="shared" si="168"/>
        <v>#N/A</v>
      </c>
      <c r="BH183" s="62" t="e">
        <f t="shared" si="116"/>
        <v>#N/A</v>
      </c>
      <c r="BI183" s="62" t="e">
        <f ca="1">AVERAGE(OFFSET($BH$3,0,0,'Données projet'!$E$11+1,1))-AVERAGE(OFFSET($H$3,0,0,'Données projet'!$E$11+1,1))</f>
        <v>#N/A</v>
      </c>
      <c r="BJ183" s="62" t="e">
        <f t="shared" si="146"/>
        <v>#N/A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 t="e">
        <f>EXP(-LN(2)/35)*BP182+(1-EXP(-LN(2)/35))/(LN(2)/35)*BL183*BM183*VLOOKUP('Données projet'!$B$11,Paramètres!$A$1:$I$89,3,0)*0.475*44/12</f>
        <v>#N/A</v>
      </c>
      <c r="BQ183" s="23" t="e">
        <f>EXP(-LN(2)/25)*BQ182+(1-EXP(-LN(2)/25))/(LN(2)/25)*Calculateur!BL183*Calculateur!BN183*VLOOKUP('Données projet'!$B$11,Paramètres!$A$1:$I$89,3,0)*0.475*44/12</f>
        <v>#N/A</v>
      </c>
      <c r="BR183" s="23" t="e">
        <f>EXP(-LN(2)/2)*BR182+(1-EXP(-LN(2)/2))/(LN(2)/2)*BL183*BO183*VLOOKUP('Données projet'!$B$11,Paramètres!$A$1:$I$89,3,0)*0.475*44/12</f>
        <v>#N/A</v>
      </c>
      <c r="BS183" s="24" t="e">
        <f t="shared" si="169"/>
        <v>#N/A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3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89.413999999999973</v>
      </c>
      <c r="D184" s="12">
        <f t="shared" si="140"/>
        <v>24.42384221835654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10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878.74825572064674</v>
      </c>
      <c r="H184" s="70">
        <f t="shared" si="110"/>
        <v>491.6009085303042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-1.1368683772161603E-13</v>
      </c>
      <c r="O184" s="14">
        <f>N184*VLOOKUP('Données projet'!$B$9,Paramètres!$A$1:$I$89,3,0)*VLOOKUP('Données projet'!$B$9,Paramètres!$A$1:$I$89,5,0)</f>
        <v>-6.7984728957526396E-14</v>
      </c>
      <c r="P184" s="14" t="e">
        <f t="shared" si="141"/>
        <v>#NUM!</v>
      </c>
      <c r="Q184" s="22" t="e">
        <f t="shared" si="162"/>
        <v>#NUM!</v>
      </c>
      <c r="R184" s="62" t="e">
        <f t="shared" si="109"/>
        <v>#NUM!</v>
      </c>
      <c r="S184" s="62">
        <f ca="1">AVERAGE(OFFSET($R$3,0,0,'Données projet'!$E$9+1,1))-AVERAGE(OFFSET($H$3,0,0,'Données projet'!$E$9+1,1))</f>
        <v>255.1976414275677</v>
      </c>
      <c r="T184" s="62">
        <f t="shared" si="142"/>
        <v>266.42714758321767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0.5884846312582509</v>
      </c>
      <c r="AA184" s="23">
        <f>EXP(-LN(2)/25)*AA183+(1-EXP(-LN(2)/25))/(LN(2)/25)*Calculateur!V184*Calculateur!X184*VLOOKUP('Données projet'!$B$9,Paramètres!$A$1:$I$89,3,0)*0.475*44/12</f>
        <v>0.20033726276303107</v>
      </c>
      <c r="AB184" s="23">
        <f>EXP(-LN(2)/2)*AB183+(1-EXP(-LN(2)/2))/(LN(2)/2)*V184*Y184*VLOOKUP('Données projet'!$B$9,Paramètres!$A$1:$I$89,3,0)*0.475*44/12</f>
        <v>1.1340162025417051E-22</v>
      </c>
      <c r="AC184" s="24">
        <f t="shared" si="163"/>
        <v>0.788821894021282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0</v>
      </c>
      <c r="AJ184" s="14" t="e">
        <f>AI184*VLOOKUP('Données projet'!$B$10,Paramètres!$A$1:$I$89,3,0)*VLOOKUP('Données projet'!$B$10,Paramètres!$A$1:$I$89,5,0)</f>
        <v>#N/A</v>
      </c>
      <c r="AK184" s="14" t="e">
        <f t="shared" si="164"/>
        <v>#N/A</v>
      </c>
      <c r="AL184" s="22" t="e">
        <f t="shared" si="165"/>
        <v>#N/A</v>
      </c>
      <c r="AM184" s="62" t="e">
        <f t="shared" si="113"/>
        <v>#N/A</v>
      </c>
      <c r="AN184" s="62" t="e">
        <f ca="1">AVERAGE(OFFSET($AM$3,0,0,'Données projet'!$E$10+1,1))-AVERAGE(OFFSET($H$3,0,0,'Données projet'!$E$10+1,1))</f>
        <v>#N/A</v>
      </c>
      <c r="AO184" s="62" t="e">
        <f t="shared" si="144"/>
        <v>#N/A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 t="e">
        <f>EXP(-LN(2)/35)*AU183+(1-EXP(-LN(2)/35))/(LN(2)/35)*AQ184*AR184*VLOOKUP('Données projet'!$B$10,Paramètres!$A$1:$I$89,3,0)*0.475*44/12</f>
        <v>#N/A</v>
      </c>
      <c r="AV184" s="23" t="e">
        <f>EXP(-LN(2)/25)*AV183+(1-EXP(-LN(2)/25))/(LN(2)/25)*Calculateur!AQ184*Calculateur!AS184*VLOOKUP('Données projet'!$B$10,Paramètres!$A$1:$I$89,3,0)*0.475*44/12</f>
        <v>#N/A</v>
      </c>
      <c r="AW184" s="23" t="e">
        <f>EXP(-LN(2)/2)*AW183+(1-EXP(-LN(2)/2))/(LN(2)/2)*AQ184*AT184*VLOOKUP('Données projet'!$B$10,Paramètres!$A$1:$I$89,3,0)*0.475*44/12</f>
        <v>#N/A</v>
      </c>
      <c r="AX184" s="23" t="e">
        <f t="shared" si="166"/>
        <v>#N/A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 t="e">
        <f>BD184*VLOOKUP('Données projet'!$B$11,Paramètres!$A$1:$I$89,3,0)*VLOOKUP('Données projet'!$B$11,Paramètres!$A$1:$I$89,5,0)</f>
        <v>#N/A</v>
      </c>
      <c r="BF184" s="14" t="e">
        <f t="shared" si="167"/>
        <v>#N/A</v>
      </c>
      <c r="BG184" s="22" t="e">
        <f t="shared" si="168"/>
        <v>#N/A</v>
      </c>
      <c r="BH184" s="62" t="e">
        <f t="shared" si="116"/>
        <v>#N/A</v>
      </c>
      <c r="BI184" s="62" t="e">
        <f ca="1">AVERAGE(OFFSET($BH$3,0,0,'Données projet'!$E$11+1,1))-AVERAGE(OFFSET($H$3,0,0,'Données projet'!$E$11+1,1))</f>
        <v>#N/A</v>
      </c>
      <c r="BJ184" s="62" t="e">
        <f t="shared" si="146"/>
        <v>#N/A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 t="e">
        <f>EXP(-LN(2)/35)*BP183+(1-EXP(-LN(2)/35))/(LN(2)/35)*BL184*BM184*VLOOKUP('Données projet'!$B$11,Paramètres!$A$1:$I$89,3,0)*0.475*44/12</f>
        <v>#N/A</v>
      </c>
      <c r="BQ184" s="23" t="e">
        <f>EXP(-LN(2)/25)*BQ183+(1-EXP(-LN(2)/25))/(LN(2)/25)*Calculateur!BL184*Calculateur!BN184*VLOOKUP('Données projet'!$B$11,Paramètres!$A$1:$I$89,3,0)*0.475*44/12</f>
        <v>#N/A</v>
      </c>
      <c r="BR184" s="23" t="e">
        <f>EXP(-LN(2)/2)*BR183+(1-EXP(-LN(2)/2))/(LN(2)/2)*BL184*BO184*VLOOKUP('Données projet'!$B$11,Paramètres!$A$1:$I$89,3,0)*0.475*44/12</f>
        <v>#N/A</v>
      </c>
      <c r="BS184" s="24" t="e">
        <f t="shared" si="169"/>
        <v>#N/A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3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89.907999999999973</v>
      </c>
      <c r="D185" s="12">
        <f t="shared" si="140"/>
        <v>24.543035488713222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10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883.48167745673345</v>
      </c>
      <c r="H185" s="70">
        <f t="shared" si="110"/>
        <v>492.66888680950876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-1.1368683772161603E-13</v>
      </c>
      <c r="O185" s="14">
        <f>N185*VLOOKUP('Données projet'!$B$9,Paramètres!$A$1:$I$89,3,0)*VLOOKUP('Données projet'!$B$9,Paramètres!$A$1:$I$89,5,0)</f>
        <v>-6.7984728957526396E-14</v>
      </c>
      <c r="P185" s="14" t="e">
        <f t="shared" si="141"/>
        <v>#NUM!</v>
      </c>
      <c r="Q185" s="22" t="e">
        <f t="shared" si="162"/>
        <v>#NUM!</v>
      </c>
      <c r="R185" s="62" t="e">
        <f t="shared" si="109"/>
        <v>#NUM!</v>
      </c>
      <c r="S185" s="62">
        <f ca="1">AVERAGE(OFFSET($R$3,0,0,'Données projet'!$E$9+1,1))-AVERAGE(OFFSET($H$3,0,0,'Données projet'!$E$9+1,1))</f>
        <v>255.1976414275677</v>
      </c>
      <c r="T185" s="62">
        <f t="shared" si="142"/>
        <v>266.42714758321767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0.57694480657945924</v>
      </c>
      <c r="AA185" s="23">
        <f>EXP(-LN(2)/25)*AA184+(1-EXP(-LN(2)/25))/(LN(2)/25)*Calculateur!V185*Calculateur!X185*VLOOKUP('Données projet'!$B$9,Paramètres!$A$1:$I$89,3,0)*0.475*44/12</f>
        <v>0.19485902977749722</v>
      </c>
      <c r="AB185" s="23">
        <f>EXP(-LN(2)/2)*AB184+(1-EXP(-LN(2)/2))/(LN(2)/2)*V185*Y185*VLOOKUP('Données projet'!$B$9,Paramètres!$A$1:$I$89,3,0)*0.475*44/12</f>
        <v>8.0187054679265705E-23</v>
      </c>
      <c r="AC185" s="24">
        <f t="shared" si="163"/>
        <v>0.77180383635695649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0</v>
      </c>
      <c r="AJ185" s="14" t="e">
        <f>AI185*VLOOKUP('Données projet'!$B$10,Paramètres!$A$1:$I$89,3,0)*VLOOKUP('Données projet'!$B$10,Paramètres!$A$1:$I$89,5,0)</f>
        <v>#N/A</v>
      </c>
      <c r="AK185" s="14" t="e">
        <f t="shared" si="164"/>
        <v>#N/A</v>
      </c>
      <c r="AL185" s="22" t="e">
        <f t="shared" si="165"/>
        <v>#N/A</v>
      </c>
      <c r="AM185" s="62" t="e">
        <f t="shared" si="113"/>
        <v>#N/A</v>
      </c>
      <c r="AN185" s="62" t="e">
        <f ca="1">AVERAGE(OFFSET($AM$3,0,0,'Données projet'!$E$10+1,1))-AVERAGE(OFFSET($H$3,0,0,'Données projet'!$E$10+1,1))</f>
        <v>#N/A</v>
      </c>
      <c r="AO185" s="62" t="e">
        <f t="shared" si="144"/>
        <v>#N/A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 t="e">
        <f>EXP(-LN(2)/35)*AU184+(1-EXP(-LN(2)/35))/(LN(2)/35)*AQ185*AR185*VLOOKUP('Données projet'!$B$10,Paramètres!$A$1:$I$89,3,0)*0.475*44/12</f>
        <v>#N/A</v>
      </c>
      <c r="AV185" s="23" t="e">
        <f>EXP(-LN(2)/25)*AV184+(1-EXP(-LN(2)/25))/(LN(2)/25)*Calculateur!AQ185*Calculateur!AS185*VLOOKUP('Données projet'!$B$10,Paramètres!$A$1:$I$89,3,0)*0.475*44/12</f>
        <v>#N/A</v>
      </c>
      <c r="AW185" s="23" t="e">
        <f>EXP(-LN(2)/2)*AW184+(1-EXP(-LN(2)/2))/(LN(2)/2)*AQ185*AT185*VLOOKUP('Données projet'!$B$10,Paramètres!$A$1:$I$89,3,0)*0.475*44/12</f>
        <v>#N/A</v>
      </c>
      <c r="AX185" s="23" t="e">
        <f t="shared" si="166"/>
        <v>#N/A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 t="e">
        <f>BD185*VLOOKUP('Données projet'!$B$11,Paramètres!$A$1:$I$89,3,0)*VLOOKUP('Données projet'!$B$11,Paramètres!$A$1:$I$89,5,0)</f>
        <v>#N/A</v>
      </c>
      <c r="BF185" s="14" t="e">
        <f t="shared" si="167"/>
        <v>#N/A</v>
      </c>
      <c r="BG185" s="22" t="e">
        <f t="shared" si="168"/>
        <v>#N/A</v>
      </c>
      <c r="BH185" s="62" t="e">
        <f t="shared" si="116"/>
        <v>#N/A</v>
      </c>
      <c r="BI185" s="62" t="e">
        <f ca="1">AVERAGE(OFFSET($BH$3,0,0,'Données projet'!$E$11+1,1))-AVERAGE(OFFSET($H$3,0,0,'Données projet'!$E$11+1,1))</f>
        <v>#N/A</v>
      </c>
      <c r="BJ185" s="62" t="e">
        <f t="shared" si="146"/>
        <v>#N/A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 t="e">
        <f>EXP(-LN(2)/35)*BP184+(1-EXP(-LN(2)/35))/(LN(2)/35)*BL185*BM185*VLOOKUP('Données projet'!$B$11,Paramètres!$A$1:$I$89,3,0)*0.475*44/12</f>
        <v>#N/A</v>
      </c>
      <c r="BQ185" s="23" t="e">
        <f>EXP(-LN(2)/25)*BQ184+(1-EXP(-LN(2)/25))/(LN(2)/25)*Calculateur!BL185*Calculateur!BN185*VLOOKUP('Données projet'!$B$11,Paramètres!$A$1:$I$89,3,0)*0.475*44/12</f>
        <v>#N/A</v>
      </c>
      <c r="BR185" s="23" t="e">
        <f>EXP(-LN(2)/2)*BR184+(1-EXP(-LN(2)/2))/(LN(2)/2)*BL185*BO185*VLOOKUP('Données projet'!$B$11,Paramètres!$A$1:$I$89,3,0)*0.475*44/12</f>
        <v>#N/A</v>
      </c>
      <c r="BS185" s="24" t="e">
        <f t="shared" si="169"/>
        <v>#N/A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3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90.401999999999973</v>
      </c>
      <c r="D186" s="12">
        <f t="shared" si="140"/>
        <v>24.662152551735971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10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888.21451092568088</v>
      </c>
      <c r="H186" s="70">
        <f t="shared" si="110"/>
        <v>493.7367323609401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-1.1368683772161603E-13</v>
      </c>
      <c r="O186" s="14">
        <f>N186*VLOOKUP('Données projet'!$B$9,Paramètres!$A$1:$I$89,3,0)*VLOOKUP('Données projet'!$B$9,Paramètres!$A$1:$I$89,5,0)</f>
        <v>-6.7984728957526396E-14</v>
      </c>
      <c r="P186" s="14" t="e">
        <f t="shared" si="141"/>
        <v>#NUM!</v>
      </c>
      <c r="Q186" s="22" t="e">
        <f t="shared" si="162"/>
        <v>#NUM!</v>
      </c>
      <c r="R186" s="62" t="e">
        <f t="shared" si="109"/>
        <v>#NUM!</v>
      </c>
      <c r="S186" s="62">
        <f ca="1">AVERAGE(OFFSET($R$3,0,0,'Données projet'!$E$9+1,1))-AVERAGE(OFFSET($H$3,0,0,'Données projet'!$E$9+1,1))</f>
        <v>255.1976414275677</v>
      </c>
      <c r="T186" s="62">
        <f t="shared" si="142"/>
        <v>266.42714758321767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0.56563127082402065</v>
      </c>
      <c r="AA186" s="23">
        <f>EXP(-LN(2)/25)*AA185+(1-EXP(-LN(2)/25))/(LN(2)/25)*Calculateur!V186*Calculateur!X186*VLOOKUP('Données projet'!$B$9,Paramètres!$A$1:$I$89,3,0)*0.475*44/12</f>
        <v>0.18953059936104055</v>
      </c>
      <c r="AB186" s="23">
        <f>EXP(-LN(2)/2)*AB185+(1-EXP(-LN(2)/2))/(LN(2)/2)*V186*Y186*VLOOKUP('Données projet'!$B$9,Paramètres!$A$1:$I$89,3,0)*0.475*44/12</f>
        <v>5.6700810127085254E-23</v>
      </c>
      <c r="AC186" s="24">
        <f t="shared" si="163"/>
        <v>0.7551618701850612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0</v>
      </c>
      <c r="AJ186" s="14" t="e">
        <f>AI186*VLOOKUP('Données projet'!$B$10,Paramètres!$A$1:$I$89,3,0)*VLOOKUP('Données projet'!$B$10,Paramètres!$A$1:$I$89,5,0)</f>
        <v>#N/A</v>
      </c>
      <c r="AK186" s="14" t="e">
        <f t="shared" si="164"/>
        <v>#N/A</v>
      </c>
      <c r="AL186" s="22" t="e">
        <f t="shared" si="165"/>
        <v>#N/A</v>
      </c>
      <c r="AM186" s="62" t="e">
        <f t="shared" si="113"/>
        <v>#N/A</v>
      </c>
      <c r="AN186" s="62" t="e">
        <f ca="1">AVERAGE(OFFSET($AM$3,0,0,'Données projet'!$E$10+1,1))-AVERAGE(OFFSET($H$3,0,0,'Données projet'!$E$10+1,1))</f>
        <v>#N/A</v>
      </c>
      <c r="AO186" s="62" t="e">
        <f t="shared" si="144"/>
        <v>#N/A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 t="e">
        <f>EXP(-LN(2)/35)*AU185+(1-EXP(-LN(2)/35))/(LN(2)/35)*AQ186*AR186*VLOOKUP('Données projet'!$B$10,Paramètres!$A$1:$I$89,3,0)*0.475*44/12</f>
        <v>#N/A</v>
      </c>
      <c r="AV186" s="23" t="e">
        <f>EXP(-LN(2)/25)*AV185+(1-EXP(-LN(2)/25))/(LN(2)/25)*Calculateur!AQ186*Calculateur!AS186*VLOOKUP('Données projet'!$B$10,Paramètres!$A$1:$I$89,3,0)*0.475*44/12</f>
        <v>#N/A</v>
      </c>
      <c r="AW186" s="23" t="e">
        <f>EXP(-LN(2)/2)*AW185+(1-EXP(-LN(2)/2))/(LN(2)/2)*AQ186*AT186*VLOOKUP('Données projet'!$B$10,Paramètres!$A$1:$I$89,3,0)*0.475*44/12</f>
        <v>#N/A</v>
      </c>
      <c r="AX186" s="23" t="e">
        <f t="shared" si="166"/>
        <v>#N/A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 t="e">
        <f>BD186*VLOOKUP('Données projet'!$B$11,Paramètres!$A$1:$I$89,3,0)*VLOOKUP('Données projet'!$B$11,Paramètres!$A$1:$I$89,5,0)</f>
        <v>#N/A</v>
      </c>
      <c r="BF186" s="14" t="e">
        <f t="shared" si="167"/>
        <v>#N/A</v>
      </c>
      <c r="BG186" s="22" t="e">
        <f t="shared" si="168"/>
        <v>#N/A</v>
      </c>
      <c r="BH186" s="62" t="e">
        <f t="shared" si="116"/>
        <v>#N/A</v>
      </c>
      <c r="BI186" s="62" t="e">
        <f ca="1">AVERAGE(OFFSET($BH$3,0,0,'Données projet'!$E$11+1,1))-AVERAGE(OFFSET($H$3,0,0,'Données projet'!$E$11+1,1))</f>
        <v>#N/A</v>
      </c>
      <c r="BJ186" s="62" t="e">
        <f t="shared" si="146"/>
        <v>#N/A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 t="e">
        <f>EXP(-LN(2)/35)*BP185+(1-EXP(-LN(2)/35))/(LN(2)/35)*BL186*BM186*VLOOKUP('Données projet'!$B$11,Paramètres!$A$1:$I$89,3,0)*0.475*44/12</f>
        <v>#N/A</v>
      </c>
      <c r="BQ186" s="23" t="e">
        <f>EXP(-LN(2)/25)*BQ185+(1-EXP(-LN(2)/25))/(LN(2)/25)*Calculateur!BL186*Calculateur!BN186*VLOOKUP('Données projet'!$B$11,Paramètres!$A$1:$I$89,3,0)*0.475*44/12</f>
        <v>#N/A</v>
      </c>
      <c r="BR186" s="23" t="e">
        <f>EXP(-LN(2)/2)*BR185+(1-EXP(-LN(2)/2))/(LN(2)/2)*BL186*BO186*VLOOKUP('Données projet'!$B$11,Paramètres!$A$1:$I$89,3,0)*0.475*44/12</f>
        <v>#N/A</v>
      </c>
      <c r="BS186" s="24" t="e">
        <f t="shared" si="169"/>
        <v>#N/A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3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90.895999999999972</v>
      </c>
      <c r="D187" s="12">
        <f t="shared" si="140"/>
        <v>24.781193872187952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10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892.94675971513482</v>
      </c>
      <c r="H187" s="70">
        <f t="shared" si="110"/>
        <v>494.80444599406064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-1.1368683772161603E-13</v>
      </c>
      <c r="O187" s="14">
        <f>N187*VLOOKUP('Données projet'!$B$9,Paramètres!$A$1:$I$89,3,0)*VLOOKUP('Données projet'!$B$9,Paramètres!$A$1:$I$89,5,0)</f>
        <v>-6.7984728957526396E-14</v>
      </c>
      <c r="P187" s="14" t="e">
        <f t="shared" si="141"/>
        <v>#NUM!</v>
      </c>
      <c r="Q187" s="22" t="e">
        <f t="shared" si="162"/>
        <v>#NUM!</v>
      </c>
      <c r="R187" s="62" t="e">
        <f t="shared" si="109"/>
        <v>#NUM!</v>
      </c>
      <c r="S187" s="62">
        <f ca="1">AVERAGE(OFFSET($R$3,0,0,'Données projet'!$E$9+1,1))-AVERAGE(OFFSET($H$3,0,0,'Données projet'!$E$9+1,1))</f>
        <v>255.1976414275677</v>
      </c>
      <c r="T187" s="62">
        <f t="shared" si="142"/>
        <v>266.42714758321767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0.5545395866041708</v>
      </c>
      <c r="AA187" s="23">
        <f>EXP(-LN(2)/25)*AA186+(1-EXP(-LN(2)/25))/(LN(2)/25)*Calculateur!V187*Calculateur!X187*VLOOKUP('Données projet'!$B$9,Paramètres!$A$1:$I$89,3,0)*0.475*44/12</f>
        <v>0.18434787515453185</v>
      </c>
      <c r="AB187" s="23">
        <f>EXP(-LN(2)/2)*AB186+(1-EXP(-LN(2)/2))/(LN(2)/2)*V187*Y187*VLOOKUP('Données projet'!$B$9,Paramètres!$A$1:$I$89,3,0)*0.475*44/12</f>
        <v>4.0093527339632852E-23</v>
      </c>
      <c r="AC187" s="24">
        <f t="shared" si="163"/>
        <v>0.73888746175870268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0</v>
      </c>
      <c r="AJ187" s="14" t="e">
        <f>AI187*VLOOKUP('Données projet'!$B$10,Paramètres!$A$1:$I$89,3,0)*VLOOKUP('Données projet'!$B$10,Paramètres!$A$1:$I$89,5,0)</f>
        <v>#N/A</v>
      </c>
      <c r="AK187" s="14" t="e">
        <f t="shared" si="164"/>
        <v>#N/A</v>
      </c>
      <c r="AL187" s="22" t="e">
        <f t="shared" si="165"/>
        <v>#N/A</v>
      </c>
      <c r="AM187" s="62" t="e">
        <f t="shared" si="113"/>
        <v>#N/A</v>
      </c>
      <c r="AN187" s="62" t="e">
        <f ca="1">AVERAGE(OFFSET($AM$3,0,0,'Données projet'!$E$10+1,1))-AVERAGE(OFFSET($H$3,0,0,'Données projet'!$E$10+1,1))</f>
        <v>#N/A</v>
      </c>
      <c r="AO187" s="62" t="e">
        <f t="shared" si="144"/>
        <v>#N/A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 t="e">
        <f>EXP(-LN(2)/35)*AU186+(1-EXP(-LN(2)/35))/(LN(2)/35)*AQ187*AR187*VLOOKUP('Données projet'!$B$10,Paramètres!$A$1:$I$89,3,0)*0.475*44/12</f>
        <v>#N/A</v>
      </c>
      <c r="AV187" s="23" t="e">
        <f>EXP(-LN(2)/25)*AV186+(1-EXP(-LN(2)/25))/(LN(2)/25)*Calculateur!AQ187*Calculateur!AS187*VLOOKUP('Données projet'!$B$10,Paramètres!$A$1:$I$89,3,0)*0.475*44/12</f>
        <v>#N/A</v>
      </c>
      <c r="AW187" s="23" t="e">
        <f>EXP(-LN(2)/2)*AW186+(1-EXP(-LN(2)/2))/(LN(2)/2)*AQ187*AT187*VLOOKUP('Données projet'!$B$10,Paramètres!$A$1:$I$89,3,0)*0.475*44/12</f>
        <v>#N/A</v>
      </c>
      <c r="AX187" s="23" t="e">
        <f t="shared" si="166"/>
        <v>#N/A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 t="e">
        <f>BD187*VLOOKUP('Données projet'!$B$11,Paramètres!$A$1:$I$89,3,0)*VLOOKUP('Données projet'!$B$11,Paramètres!$A$1:$I$89,5,0)</f>
        <v>#N/A</v>
      </c>
      <c r="BF187" s="14" t="e">
        <f t="shared" si="167"/>
        <v>#N/A</v>
      </c>
      <c r="BG187" s="22" t="e">
        <f t="shared" si="168"/>
        <v>#N/A</v>
      </c>
      <c r="BH187" s="62" t="e">
        <f t="shared" si="116"/>
        <v>#N/A</v>
      </c>
      <c r="BI187" s="62" t="e">
        <f ca="1">AVERAGE(OFFSET($BH$3,0,0,'Données projet'!$E$11+1,1))-AVERAGE(OFFSET($H$3,0,0,'Données projet'!$E$11+1,1))</f>
        <v>#N/A</v>
      </c>
      <c r="BJ187" s="62" t="e">
        <f t="shared" si="146"/>
        <v>#N/A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 t="e">
        <f>EXP(-LN(2)/35)*BP186+(1-EXP(-LN(2)/35))/(LN(2)/35)*BL187*BM187*VLOOKUP('Données projet'!$B$11,Paramètres!$A$1:$I$89,3,0)*0.475*44/12</f>
        <v>#N/A</v>
      </c>
      <c r="BQ187" s="23" t="e">
        <f>EXP(-LN(2)/25)*BQ186+(1-EXP(-LN(2)/25))/(LN(2)/25)*Calculateur!BL187*Calculateur!BN187*VLOOKUP('Données projet'!$B$11,Paramètres!$A$1:$I$89,3,0)*0.475*44/12</f>
        <v>#N/A</v>
      </c>
      <c r="BR187" s="23" t="e">
        <f>EXP(-LN(2)/2)*BR186+(1-EXP(-LN(2)/2))/(LN(2)/2)*BL187*BO187*VLOOKUP('Données projet'!$B$11,Paramètres!$A$1:$I$89,3,0)*0.475*44/12</f>
        <v>#N/A</v>
      </c>
      <c r="BS187" s="24" t="e">
        <f t="shared" si="169"/>
        <v>#N/A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3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91.389999999999972</v>
      </c>
      <c r="D188" s="12">
        <f t="shared" si="140"/>
        <v>24.900159909488185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10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897.67842737148749</v>
      </c>
      <c r="H188" s="70">
        <f t="shared" si="110"/>
        <v>495.8720285090252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-1.1368683772161603E-13</v>
      </c>
      <c r="O188" s="14">
        <f>N188*VLOOKUP('Données projet'!$B$9,Paramètres!$A$1:$I$89,3,0)*VLOOKUP('Données projet'!$B$9,Paramètres!$A$1:$I$89,5,0)</f>
        <v>-6.7984728957526396E-14</v>
      </c>
      <c r="P188" s="14" t="e">
        <f t="shared" si="141"/>
        <v>#NUM!</v>
      </c>
      <c r="Q188" s="22" t="e">
        <f t="shared" si="162"/>
        <v>#NUM!</v>
      </c>
      <c r="R188" s="62" t="e">
        <f t="shared" si="109"/>
        <v>#NUM!</v>
      </c>
      <c r="S188" s="62">
        <f ca="1">AVERAGE(OFFSET($R$3,0,0,'Données projet'!$E$9+1,1))-AVERAGE(OFFSET($H$3,0,0,'Données projet'!$E$9+1,1))</f>
        <v>255.1976414275677</v>
      </c>
      <c r="T188" s="62">
        <f t="shared" si="142"/>
        <v>266.42714758321767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0.54366540354661286</v>
      </c>
      <c r="AA188" s="23">
        <f>EXP(-LN(2)/25)*AA187+(1-EXP(-LN(2)/25))/(LN(2)/25)*Calculateur!V188*Calculateur!X188*VLOOKUP('Données projet'!$B$9,Paramètres!$A$1:$I$89,3,0)*0.475*44/12</f>
        <v>0.17930687281399776</v>
      </c>
      <c r="AB188" s="23">
        <f>EXP(-LN(2)/2)*AB187+(1-EXP(-LN(2)/2))/(LN(2)/2)*V188*Y188*VLOOKUP('Données projet'!$B$9,Paramètres!$A$1:$I$89,3,0)*0.475*44/12</f>
        <v>2.8350405063542627E-23</v>
      </c>
      <c r="AC188" s="24">
        <f t="shared" si="163"/>
        <v>0.72297227636061057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0</v>
      </c>
      <c r="AJ188" s="14" t="e">
        <f>AI188*VLOOKUP('Données projet'!$B$10,Paramètres!$A$1:$I$89,3,0)*VLOOKUP('Données projet'!$B$10,Paramètres!$A$1:$I$89,5,0)</f>
        <v>#N/A</v>
      </c>
      <c r="AK188" s="14" t="e">
        <f t="shared" si="164"/>
        <v>#N/A</v>
      </c>
      <c r="AL188" s="22" t="e">
        <f t="shared" si="165"/>
        <v>#N/A</v>
      </c>
      <c r="AM188" s="62" t="e">
        <f t="shared" si="113"/>
        <v>#N/A</v>
      </c>
      <c r="AN188" s="62" t="e">
        <f ca="1">AVERAGE(OFFSET($AM$3,0,0,'Données projet'!$E$10+1,1))-AVERAGE(OFFSET($H$3,0,0,'Données projet'!$E$10+1,1))</f>
        <v>#N/A</v>
      </c>
      <c r="AO188" s="62" t="e">
        <f t="shared" si="144"/>
        <v>#N/A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 t="e">
        <f>EXP(-LN(2)/35)*AU187+(1-EXP(-LN(2)/35))/(LN(2)/35)*AQ188*AR188*VLOOKUP('Données projet'!$B$10,Paramètres!$A$1:$I$89,3,0)*0.475*44/12</f>
        <v>#N/A</v>
      </c>
      <c r="AV188" s="23" t="e">
        <f>EXP(-LN(2)/25)*AV187+(1-EXP(-LN(2)/25))/(LN(2)/25)*Calculateur!AQ188*Calculateur!AS188*VLOOKUP('Données projet'!$B$10,Paramètres!$A$1:$I$89,3,0)*0.475*44/12</f>
        <v>#N/A</v>
      </c>
      <c r="AW188" s="23" t="e">
        <f>EXP(-LN(2)/2)*AW187+(1-EXP(-LN(2)/2))/(LN(2)/2)*AQ188*AT188*VLOOKUP('Données projet'!$B$10,Paramètres!$A$1:$I$89,3,0)*0.475*44/12</f>
        <v>#N/A</v>
      </c>
      <c r="AX188" s="23" t="e">
        <f t="shared" si="166"/>
        <v>#N/A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 t="e">
        <f>BD188*VLOOKUP('Données projet'!$B$11,Paramètres!$A$1:$I$89,3,0)*VLOOKUP('Données projet'!$B$11,Paramètres!$A$1:$I$89,5,0)</f>
        <v>#N/A</v>
      </c>
      <c r="BF188" s="14" t="e">
        <f t="shared" si="167"/>
        <v>#N/A</v>
      </c>
      <c r="BG188" s="22" t="e">
        <f t="shared" si="168"/>
        <v>#N/A</v>
      </c>
      <c r="BH188" s="62" t="e">
        <f t="shared" si="116"/>
        <v>#N/A</v>
      </c>
      <c r="BI188" s="62" t="e">
        <f ca="1">AVERAGE(OFFSET($BH$3,0,0,'Données projet'!$E$11+1,1))-AVERAGE(OFFSET($H$3,0,0,'Données projet'!$E$11+1,1))</f>
        <v>#N/A</v>
      </c>
      <c r="BJ188" s="62" t="e">
        <f t="shared" si="146"/>
        <v>#N/A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 t="e">
        <f>EXP(-LN(2)/35)*BP187+(1-EXP(-LN(2)/35))/(LN(2)/35)*BL188*BM188*VLOOKUP('Données projet'!$B$11,Paramètres!$A$1:$I$89,3,0)*0.475*44/12</f>
        <v>#N/A</v>
      </c>
      <c r="BQ188" s="23" t="e">
        <f>EXP(-LN(2)/25)*BQ187+(1-EXP(-LN(2)/25))/(LN(2)/25)*Calculateur!BL188*Calculateur!BN188*VLOOKUP('Données projet'!$B$11,Paramètres!$A$1:$I$89,3,0)*0.475*44/12</f>
        <v>#N/A</v>
      </c>
      <c r="BR188" s="23" t="e">
        <f>EXP(-LN(2)/2)*BR187+(1-EXP(-LN(2)/2))/(LN(2)/2)*BL188*BO188*VLOOKUP('Données projet'!$B$11,Paramètres!$A$1:$I$89,3,0)*0.475*44/12</f>
        <v>#N/A</v>
      </c>
      <c r="BS188" s="24" t="e">
        <f t="shared" si="169"/>
        <v>#N/A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3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91.883999999999972</v>
      </c>
      <c r="D189" s="12">
        <f t="shared" si="140"/>
        <v>25.019051117801563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10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902.40951740057335</v>
      </c>
      <c r="H189" s="70">
        <f t="shared" si="110"/>
        <v>496.93948069683768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-1.1368683772161603E-13</v>
      </c>
      <c r="O189" s="14">
        <f>N189*VLOOKUP('Données projet'!$B$9,Paramètres!$A$1:$I$89,3,0)*VLOOKUP('Données projet'!$B$9,Paramètres!$A$1:$I$89,5,0)</f>
        <v>-6.7984728957526396E-14</v>
      </c>
      <c r="P189" s="14" t="e">
        <f t="shared" si="141"/>
        <v>#NUM!</v>
      </c>
      <c r="Q189" s="22" t="e">
        <f t="shared" si="162"/>
        <v>#NUM!</v>
      </c>
      <c r="R189" s="62" t="e">
        <f t="shared" si="109"/>
        <v>#NUM!</v>
      </c>
      <c r="S189" s="62">
        <f ca="1">AVERAGE(OFFSET($R$3,0,0,'Données projet'!$E$9+1,1))-AVERAGE(OFFSET($H$3,0,0,'Données projet'!$E$9+1,1))</f>
        <v>255.1976414275677</v>
      </c>
      <c r="T189" s="62">
        <f t="shared" si="142"/>
        <v>266.42714758321767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0.53300445658621687</v>
      </c>
      <c r="AA189" s="23">
        <f>EXP(-LN(2)/25)*AA188+(1-EXP(-LN(2)/25))/(LN(2)/25)*Calculateur!V189*Calculateur!X189*VLOOKUP('Données projet'!$B$9,Paramètres!$A$1:$I$89,3,0)*0.475*44/12</f>
        <v>0.17440371694756038</v>
      </c>
      <c r="AB189" s="23">
        <f>EXP(-LN(2)/2)*AB188+(1-EXP(-LN(2)/2))/(LN(2)/2)*V189*Y189*VLOOKUP('Données projet'!$B$9,Paramètres!$A$1:$I$89,3,0)*0.475*44/12</f>
        <v>2.0046763669816426E-23</v>
      </c>
      <c r="AC189" s="24">
        <f t="shared" si="163"/>
        <v>0.70740817353377727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0</v>
      </c>
      <c r="AJ189" s="14" t="e">
        <f>AI189*VLOOKUP('Données projet'!$B$10,Paramètres!$A$1:$I$89,3,0)*VLOOKUP('Données projet'!$B$10,Paramètres!$A$1:$I$89,5,0)</f>
        <v>#N/A</v>
      </c>
      <c r="AK189" s="14" t="e">
        <f t="shared" si="164"/>
        <v>#N/A</v>
      </c>
      <c r="AL189" s="22" t="e">
        <f t="shared" si="165"/>
        <v>#N/A</v>
      </c>
      <c r="AM189" s="62" t="e">
        <f t="shared" si="113"/>
        <v>#N/A</v>
      </c>
      <c r="AN189" s="62" t="e">
        <f ca="1">AVERAGE(OFFSET($AM$3,0,0,'Données projet'!$E$10+1,1))-AVERAGE(OFFSET($H$3,0,0,'Données projet'!$E$10+1,1))</f>
        <v>#N/A</v>
      </c>
      <c r="AO189" s="62" t="e">
        <f t="shared" si="144"/>
        <v>#N/A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 t="e">
        <f>EXP(-LN(2)/35)*AU188+(1-EXP(-LN(2)/35))/(LN(2)/35)*AQ189*AR189*VLOOKUP('Données projet'!$B$10,Paramètres!$A$1:$I$89,3,0)*0.475*44/12</f>
        <v>#N/A</v>
      </c>
      <c r="AV189" s="23" t="e">
        <f>EXP(-LN(2)/25)*AV188+(1-EXP(-LN(2)/25))/(LN(2)/25)*Calculateur!AQ189*Calculateur!AS189*VLOOKUP('Données projet'!$B$10,Paramètres!$A$1:$I$89,3,0)*0.475*44/12</f>
        <v>#N/A</v>
      </c>
      <c r="AW189" s="23" t="e">
        <f>EXP(-LN(2)/2)*AW188+(1-EXP(-LN(2)/2))/(LN(2)/2)*AQ189*AT189*VLOOKUP('Données projet'!$B$10,Paramètres!$A$1:$I$89,3,0)*0.475*44/12</f>
        <v>#N/A</v>
      </c>
      <c r="AX189" s="23" t="e">
        <f t="shared" si="166"/>
        <v>#N/A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 t="e">
        <f>BD189*VLOOKUP('Données projet'!$B$11,Paramètres!$A$1:$I$89,3,0)*VLOOKUP('Données projet'!$B$11,Paramètres!$A$1:$I$89,5,0)</f>
        <v>#N/A</v>
      </c>
      <c r="BF189" s="14" t="e">
        <f t="shared" si="167"/>
        <v>#N/A</v>
      </c>
      <c r="BG189" s="22" t="e">
        <f t="shared" si="168"/>
        <v>#N/A</v>
      </c>
      <c r="BH189" s="62" t="e">
        <f t="shared" si="116"/>
        <v>#N/A</v>
      </c>
      <c r="BI189" s="62" t="e">
        <f ca="1">AVERAGE(OFFSET($BH$3,0,0,'Données projet'!$E$11+1,1))-AVERAGE(OFFSET($H$3,0,0,'Données projet'!$E$11+1,1))</f>
        <v>#N/A</v>
      </c>
      <c r="BJ189" s="62" t="e">
        <f t="shared" si="146"/>
        <v>#N/A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 t="e">
        <f>EXP(-LN(2)/35)*BP188+(1-EXP(-LN(2)/35))/(LN(2)/35)*BL189*BM189*VLOOKUP('Données projet'!$B$11,Paramètres!$A$1:$I$89,3,0)*0.475*44/12</f>
        <v>#N/A</v>
      </c>
      <c r="BQ189" s="23" t="e">
        <f>EXP(-LN(2)/25)*BQ188+(1-EXP(-LN(2)/25))/(LN(2)/25)*Calculateur!BL189*Calculateur!BN189*VLOOKUP('Données projet'!$B$11,Paramètres!$A$1:$I$89,3,0)*0.475*44/12</f>
        <v>#N/A</v>
      </c>
      <c r="BR189" s="23" t="e">
        <f>EXP(-LN(2)/2)*BR188+(1-EXP(-LN(2)/2))/(LN(2)/2)*BL189*BO189*VLOOKUP('Données projet'!$B$11,Paramètres!$A$1:$I$89,3,0)*0.475*44/12</f>
        <v>#N/A</v>
      </c>
      <c r="BS189" s="24" t="e">
        <f t="shared" si="169"/>
        <v>#N/A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3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92.377999999999972</v>
      </c>
      <c r="D190" s="12">
        <f t="shared" si="140"/>
        <v>25.137867946126693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10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907.14003326834609</v>
      </c>
      <c r="H190" s="70">
        <f t="shared" si="110"/>
        <v>498.0068033395039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-1.1368683772161603E-13</v>
      </c>
      <c r="O190" s="14">
        <f>N190*VLOOKUP('Données projet'!$B$9,Paramètres!$A$1:$I$89,3,0)*VLOOKUP('Données projet'!$B$9,Paramètres!$A$1:$I$89,5,0)</f>
        <v>-6.7984728957526396E-14</v>
      </c>
      <c r="P190" s="14" t="e">
        <f t="shared" si="141"/>
        <v>#NUM!</v>
      </c>
      <c r="Q190" s="22" t="e">
        <f t="shared" si="162"/>
        <v>#NUM!</v>
      </c>
      <c r="R190" s="62" t="e">
        <f t="shared" si="109"/>
        <v>#NUM!</v>
      </c>
      <c r="S190" s="62">
        <f ca="1">AVERAGE(OFFSET($R$3,0,0,'Données projet'!$E$9+1,1))-AVERAGE(OFFSET($H$3,0,0,'Données projet'!$E$9+1,1))</f>
        <v>255.1976414275677</v>
      </c>
      <c r="T190" s="62">
        <f t="shared" si="142"/>
        <v>266.42714758321767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0.52255256429317865</v>
      </c>
      <c r="AA190" s="23">
        <f>EXP(-LN(2)/25)*AA189+(1-EXP(-LN(2)/25))/(LN(2)/25)*Calculateur!V190*Calculateur!X190*VLOOKUP('Données projet'!$B$9,Paramètres!$A$1:$I$89,3,0)*0.475*44/12</f>
        <v>0.16963463813613647</v>
      </c>
      <c r="AB190" s="23">
        <f>EXP(-LN(2)/2)*AB189+(1-EXP(-LN(2)/2))/(LN(2)/2)*V190*Y190*VLOOKUP('Données projet'!$B$9,Paramètres!$A$1:$I$89,3,0)*0.475*44/12</f>
        <v>1.4175202531771314E-23</v>
      </c>
      <c r="AC190" s="24">
        <f t="shared" si="163"/>
        <v>0.69218720242931508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0</v>
      </c>
      <c r="AJ190" s="14" t="e">
        <f>AI190*VLOOKUP('Données projet'!$B$10,Paramètres!$A$1:$I$89,3,0)*VLOOKUP('Données projet'!$B$10,Paramètres!$A$1:$I$89,5,0)</f>
        <v>#N/A</v>
      </c>
      <c r="AK190" s="14" t="e">
        <f t="shared" si="164"/>
        <v>#N/A</v>
      </c>
      <c r="AL190" s="22" t="e">
        <f t="shared" si="165"/>
        <v>#N/A</v>
      </c>
      <c r="AM190" s="62" t="e">
        <f t="shared" si="113"/>
        <v>#N/A</v>
      </c>
      <c r="AN190" s="62" t="e">
        <f ca="1">AVERAGE(OFFSET($AM$3,0,0,'Données projet'!$E$10+1,1))-AVERAGE(OFFSET($H$3,0,0,'Données projet'!$E$10+1,1))</f>
        <v>#N/A</v>
      </c>
      <c r="AO190" s="62" t="e">
        <f t="shared" si="144"/>
        <v>#N/A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 t="e">
        <f>EXP(-LN(2)/35)*AU189+(1-EXP(-LN(2)/35))/(LN(2)/35)*AQ190*AR190*VLOOKUP('Données projet'!$B$10,Paramètres!$A$1:$I$89,3,0)*0.475*44/12</f>
        <v>#N/A</v>
      </c>
      <c r="AV190" s="23" t="e">
        <f>EXP(-LN(2)/25)*AV189+(1-EXP(-LN(2)/25))/(LN(2)/25)*Calculateur!AQ190*Calculateur!AS190*VLOOKUP('Données projet'!$B$10,Paramètres!$A$1:$I$89,3,0)*0.475*44/12</f>
        <v>#N/A</v>
      </c>
      <c r="AW190" s="23" t="e">
        <f>EXP(-LN(2)/2)*AW189+(1-EXP(-LN(2)/2))/(LN(2)/2)*AQ190*AT190*VLOOKUP('Données projet'!$B$10,Paramètres!$A$1:$I$89,3,0)*0.475*44/12</f>
        <v>#N/A</v>
      </c>
      <c r="AX190" s="23" t="e">
        <f t="shared" si="166"/>
        <v>#N/A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 t="e">
        <f>BD190*VLOOKUP('Données projet'!$B$11,Paramètres!$A$1:$I$89,3,0)*VLOOKUP('Données projet'!$B$11,Paramètres!$A$1:$I$89,5,0)</f>
        <v>#N/A</v>
      </c>
      <c r="BF190" s="14" t="e">
        <f t="shared" si="167"/>
        <v>#N/A</v>
      </c>
      <c r="BG190" s="22" t="e">
        <f t="shared" si="168"/>
        <v>#N/A</v>
      </c>
      <c r="BH190" s="62" t="e">
        <f t="shared" si="116"/>
        <v>#N/A</v>
      </c>
      <c r="BI190" s="62" t="e">
        <f ca="1">AVERAGE(OFFSET($BH$3,0,0,'Données projet'!$E$11+1,1))-AVERAGE(OFFSET($H$3,0,0,'Données projet'!$E$11+1,1))</f>
        <v>#N/A</v>
      </c>
      <c r="BJ190" s="62" t="e">
        <f t="shared" si="146"/>
        <v>#N/A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 t="e">
        <f>EXP(-LN(2)/35)*BP189+(1-EXP(-LN(2)/35))/(LN(2)/35)*BL190*BM190*VLOOKUP('Données projet'!$B$11,Paramètres!$A$1:$I$89,3,0)*0.475*44/12</f>
        <v>#N/A</v>
      </c>
      <c r="BQ190" s="23" t="e">
        <f>EXP(-LN(2)/25)*BQ189+(1-EXP(-LN(2)/25))/(LN(2)/25)*Calculateur!BL190*Calculateur!BN190*VLOOKUP('Données projet'!$B$11,Paramètres!$A$1:$I$89,3,0)*0.475*44/12</f>
        <v>#N/A</v>
      </c>
      <c r="BR190" s="23" t="e">
        <f>EXP(-LN(2)/2)*BR189+(1-EXP(-LN(2)/2))/(LN(2)/2)*BL190*BO190*VLOOKUP('Données projet'!$B$11,Paramètres!$A$1:$I$89,3,0)*0.475*44/12</f>
        <v>#N/A</v>
      </c>
      <c r="BS190" s="24" t="e">
        <f t="shared" si="169"/>
        <v>#N/A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3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92.871999999999971</v>
      </c>
      <c r="D191" s="12">
        <f t="shared" si="140"/>
        <v>25.256610838382159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10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911.86997840154629</v>
      </c>
      <c r="H191" s="70">
        <f t="shared" si="110"/>
        <v>499.0739972101822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-1.1368683772161603E-13</v>
      </c>
      <c r="O191" s="14">
        <f>N191*VLOOKUP('Données projet'!$B$9,Paramètres!$A$1:$I$89,3,0)*VLOOKUP('Données projet'!$B$9,Paramètres!$A$1:$I$89,5,0)</f>
        <v>-6.7984728957526396E-14</v>
      </c>
      <c r="P191" s="14" t="e">
        <f t="shared" si="141"/>
        <v>#NUM!</v>
      </c>
      <c r="Q191" s="22" t="e">
        <f t="shared" si="162"/>
        <v>#NUM!</v>
      </c>
      <c r="R191" s="62" t="e">
        <f t="shared" si="109"/>
        <v>#NUM!</v>
      </c>
      <c r="S191" s="62">
        <f ca="1">AVERAGE(OFFSET($R$3,0,0,'Données projet'!$E$9+1,1))-AVERAGE(OFFSET($H$3,0,0,'Données projet'!$E$9+1,1))</f>
        <v>255.1976414275677</v>
      </c>
      <c r="T191" s="62">
        <f t="shared" si="142"/>
        <v>266.42714758321767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0.51230562723298212</v>
      </c>
      <c r="AA191" s="23">
        <f>EXP(-LN(2)/25)*AA190+(1-EXP(-LN(2)/25))/(LN(2)/25)*Calculateur!V191*Calculateur!X191*VLOOKUP('Données projet'!$B$9,Paramètres!$A$1:$I$89,3,0)*0.475*44/12</f>
        <v>0.1649959700356059</v>
      </c>
      <c r="AB191" s="23">
        <f>EXP(-LN(2)/2)*AB190+(1-EXP(-LN(2)/2))/(LN(2)/2)*V191*Y191*VLOOKUP('Données projet'!$B$9,Paramètres!$A$1:$I$89,3,0)*0.475*44/12</f>
        <v>1.0023381834908213E-23</v>
      </c>
      <c r="AC191" s="24">
        <f t="shared" si="163"/>
        <v>0.67730159726858807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0</v>
      </c>
      <c r="AJ191" s="14" t="e">
        <f>AI191*VLOOKUP('Données projet'!$B$10,Paramètres!$A$1:$I$89,3,0)*VLOOKUP('Données projet'!$B$10,Paramètres!$A$1:$I$89,5,0)</f>
        <v>#N/A</v>
      </c>
      <c r="AK191" s="14" t="e">
        <f t="shared" si="164"/>
        <v>#N/A</v>
      </c>
      <c r="AL191" s="22" t="e">
        <f t="shared" si="165"/>
        <v>#N/A</v>
      </c>
      <c r="AM191" s="62" t="e">
        <f t="shared" si="113"/>
        <v>#N/A</v>
      </c>
      <c r="AN191" s="62" t="e">
        <f ca="1">AVERAGE(OFFSET($AM$3,0,0,'Données projet'!$E$10+1,1))-AVERAGE(OFFSET($H$3,0,0,'Données projet'!$E$10+1,1))</f>
        <v>#N/A</v>
      </c>
      <c r="AO191" s="62" t="e">
        <f t="shared" si="144"/>
        <v>#N/A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 t="e">
        <f>EXP(-LN(2)/35)*AU190+(1-EXP(-LN(2)/35))/(LN(2)/35)*AQ191*AR191*VLOOKUP('Données projet'!$B$10,Paramètres!$A$1:$I$89,3,0)*0.475*44/12</f>
        <v>#N/A</v>
      </c>
      <c r="AV191" s="23" t="e">
        <f>EXP(-LN(2)/25)*AV190+(1-EXP(-LN(2)/25))/(LN(2)/25)*Calculateur!AQ191*Calculateur!AS191*VLOOKUP('Données projet'!$B$10,Paramètres!$A$1:$I$89,3,0)*0.475*44/12</f>
        <v>#N/A</v>
      </c>
      <c r="AW191" s="23" t="e">
        <f>EXP(-LN(2)/2)*AW190+(1-EXP(-LN(2)/2))/(LN(2)/2)*AQ191*AT191*VLOOKUP('Données projet'!$B$10,Paramètres!$A$1:$I$89,3,0)*0.475*44/12</f>
        <v>#N/A</v>
      </c>
      <c r="AX191" s="23" t="e">
        <f t="shared" si="166"/>
        <v>#N/A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 t="e">
        <f>BD191*VLOOKUP('Données projet'!$B$11,Paramètres!$A$1:$I$89,3,0)*VLOOKUP('Données projet'!$B$11,Paramètres!$A$1:$I$89,5,0)</f>
        <v>#N/A</v>
      </c>
      <c r="BF191" s="14" t="e">
        <f t="shared" si="167"/>
        <v>#N/A</v>
      </c>
      <c r="BG191" s="22" t="e">
        <f t="shared" si="168"/>
        <v>#N/A</v>
      </c>
      <c r="BH191" s="62" t="e">
        <f t="shared" si="116"/>
        <v>#N/A</v>
      </c>
      <c r="BI191" s="62" t="e">
        <f ca="1">AVERAGE(OFFSET($BH$3,0,0,'Données projet'!$E$11+1,1))-AVERAGE(OFFSET($H$3,0,0,'Données projet'!$E$11+1,1))</f>
        <v>#N/A</v>
      </c>
      <c r="BJ191" s="62" t="e">
        <f t="shared" si="146"/>
        <v>#N/A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 t="e">
        <f>EXP(-LN(2)/35)*BP190+(1-EXP(-LN(2)/35))/(LN(2)/35)*BL191*BM191*VLOOKUP('Données projet'!$B$11,Paramètres!$A$1:$I$89,3,0)*0.475*44/12</f>
        <v>#N/A</v>
      </c>
      <c r="BQ191" s="23" t="e">
        <f>EXP(-LN(2)/25)*BQ190+(1-EXP(-LN(2)/25))/(LN(2)/25)*Calculateur!BL191*Calculateur!BN191*VLOOKUP('Données projet'!$B$11,Paramètres!$A$1:$I$89,3,0)*0.475*44/12</f>
        <v>#N/A</v>
      </c>
      <c r="BR191" s="23" t="e">
        <f>EXP(-LN(2)/2)*BR190+(1-EXP(-LN(2)/2))/(LN(2)/2)*BL191*BO191*VLOOKUP('Données projet'!$B$11,Paramètres!$A$1:$I$89,3,0)*0.475*44/12</f>
        <v>#N/A</v>
      </c>
      <c r="BS191" s="24" t="e">
        <f t="shared" si="169"/>
        <v>#N/A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3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93.365999999999971</v>
      </c>
      <c r="D192" s="12">
        <f t="shared" si="140"/>
        <v>25.375280233490678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10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916.59935618834879</v>
      </c>
      <c r="H192" s="70">
        <f t="shared" si="110"/>
        <v>500.14106307332952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-1.1368683772161603E-13</v>
      </c>
      <c r="O192" s="14">
        <f>N192*VLOOKUP('Données projet'!$B$9,Paramètres!$A$1:$I$89,3,0)*VLOOKUP('Données projet'!$B$9,Paramètres!$A$1:$I$89,5,0)</f>
        <v>-6.7984728957526396E-14</v>
      </c>
      <c r="P192" s="14" t="e">
        <f t="shared" si="141"/>
        <v>#NUM!</v>
      </c>
      <c r="Q192" s="22" t="e">
        <f t="shared" si="162"/>
        <v>#NUM!</v>
      </c>
      <c r="R192" s="62" t="e">
        <f t="shared" si="109"/>
        <v>#NUM!</v>
      </c>
      <c r="S192" s="62">
        <f ca="1">AVERAGE(OFFSET($R$3,0,0,'Données projet'!$E$9+1,1))-AVERAGE(OFFSET($H$3,0,0,'Données projet'!$E$9+1,1))</f>
        <v>255.1976414275677</v>
      </c>
      <c r="T192" s="62">
        <f t="shared" si="142"/>
        <v>266.42714758321767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0.5022596263585215</v>
      </c>
      <c r="AA192" s="23">
        <f>EXP(-LN(2)/25)*AA191+(1-EXP(-LN(2)/25))/(LN(2)/25)*Calculateur!V192*Calculateur!X192*VLOOKUP('Données projet'!$B$9,Paramètres!$A$1:$I$89,3,0)*0.475*44/12</f>
        <v>0.1604841465582213</v>
      </c>
      <c r="AB192" s="23">
        <f>EXP(-LN(2)/2)*AB191+(1-EXP(-LN(2)/2))/(LN(2)/2)*V192*Y192*VLOOKUP('Données projet'!$B$9,Paramètres!$A$1:$I$89,3,0)*0.475*44/12</f>
        <v>7.0876012658856568E-24</v>
      </c>
      <c r="AC192" s="24">
        <f t="shared" si="163"/>
        <v>0.6627437729167428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0</v>
      </c>
      <c r="AJ192" s="14" t="e">
        <f>AI192*VLOOKUP('Données projet'!$B$10,Paramètres!$A$1:$I$89,3,0)*VLOOKUP('Données projet'!$B$10,Paramètres!$A$1:$I$89,5,0)</f>
        <v>#N/A</v>
      </c>
      <c r="AK192" s="14" t="e">
        <f t="shared" si="164"/>
        <v>#N/A</v>
      </c>
      <c r="AL192" s="22" t="e">
        <f t="shared" si="165"/>
        <v>#N/A</v>
      </c>
      <c r="AM192" s="62" t="e">
        <f t="shared" si="113"/>
        <v>#N/A</v>
      </c>
      <c r="AN192" s="62" t="e">
        <f ca="1">AVERAGE(OFFSET($AM$3,0,0,'Données projet'!$E$10+1,1))-AVERAGE(OFFSET($H$3,0,0,'Données projet'!$E$10+1,1))</f>
        <v>#N/A</v>
      </c>
      <c r="AO192" s="62" t="e">
        <f t="shared" si="144"/>
        <v>#N/A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 t="e">
        <f>EXP(-LN(2)/35)*AU191+(1-EXP(-LN(2)/35))/(LN(2)/35)*AQ192*AR192*VLOOKUP('Données projet'!$B$10,Paramètres!$A$1:$I$89,3,0)*0.475*44/12</f>
        <v>#N/A</v>
      </c>
      <c r="AV192" s="23" t="e">
        <f>EXP(-LN(2)/25)*AV191+(1-EXP(-LN(2)/25))/(LN(2)/25)*Calculateur!AQ192*Calculateur!AS192*VLOOKUP('Données projet'!$B$10,Paramètres!$A$1:$I$89,3,0)*0.475*44/12</f>
        <v>#N/A</v>
      </c>
      <c r="AW192" s="23" t="e">
        <f>EXP(-LN(2)/2)*AW191+(1-EXP(-LN(2)/2))/(LN(2)/2)*AQ192*AT192*VLOOKUP('Données projet'!$B$10,Paramètres!$A$1:$I$89,3,0)*0.475*44/12</f>
        <v>#N/A</v>
      </c>
      <c r="AX192" s="23" t="e">
        <f t="shared" si="166"/>
        <v>#N/A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 t="e">
        <f>BD192*VLOOKUP('Données projet'!$B$11,Paramètres!$A$1:$I$89,3,0)*VLOOKUP('Données projet'!$B$11,Paramètres!$A$1:$I$89,5,0)</f>
        <v>#N/A</v>
      </c>
      <c r="BF192" s="14" t="e">
        <f t="shared" si="167"/>
        <v>#N/A</v>
      </c>
      <c r="BG192" s="22" t="e">
        <f t="shared" si="168"/>
        <v>#N/A</v>
      </c>
      <c r="BH192" s="62" t="e">
        <f t="shared" si="116"/>
        <v>#N/A</v>
      </c>
      <c r="BI192" s="62" t="e">
        <f ca="1">AVERAGE(OFFSET($BH$3,0,0,'Données projet'!$E$11+1,1))-AVERAGE(OFFSET($H$3,0,0,'Données projet'!$E$11+1,1))</f>
        <v>#N/A</v>
      </c>
      <c r="BJ192" s="62" t="e">
        <f t="shared" si="146"/>
        <v>#N/A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 t="e">
        <f>EXP(-LN(2)/35)*BP191+(1-EXP(-LN(2)/35))/(LN(2)/35)*BL192*BM192*VLOOKUP('Données projet'!$B$11,Paramètres!$A$1:$I$89,3,0)*0.475*44/12</f>
        <v>#N/A</v>
      </c>
      <c r="BQ192" s="23" t="e">
        <f>EXP(-LN(2)/25)*BQ191+(1-EXP(-LN(2)/25))/(LN(2)/25)*Calculateur!BL192*Calculateur!BN192*VLOOKUP('Données projet'!$B$11,Paramètres!$A$1:$I$89,3,0)*0.475*44/12</f>
        <v>#N/A</v>
      </c>
      <c r="BR192" s="23" t="e">
        <f>EXP(-LN(2)/2)*BR191+(1-EXP(-LN(2)/2))/(LN(2)/2)*BL192*BO192*VLOOKUP('Données projet'!$B$11,Paramètres!$A$1:$I$89,3,0)*0.475*44/12</f>
        <v>#N/A</v>
      </c>
      <c r="BS192" s="24" t="e">
        <f t="shared" si="169"/>
        <v>#N/A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3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93.859999999999971</v>
      </c>
      <c r="D193" s="12">
        <f t="shared" si="140"/>
        <v>25.493876565461285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10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921.3281699789992</v>
      </c>
      <c r="H193" s="70">
        <f t="shared" si="110"/>
        <v>501.20800168484499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-1.1368683772161603E-13</v>
      </c>
      <c r="O193" s="14">
        <f>N193*VLOOKUP('Données projet'!$B$9,Paramètres!$A$1:$I$89,3,0)*VLOOKUP('Données projet'!$B$9,Paramètres!$A$1:$I$89,5,0)</f>
        <v>-6.7984728957526396E-14</v>
      </c>
      <c r="P193" s="14" t="e">
        <f t="shared" si="141"/>
        <v>#NUM!</v>
      </c>
      <c r="Q193" s="22" t="e">
        <f t="shared" si="162"/>
        <v>#NUM!</v>
      </c>
      <c r="R193" s="62" t="e">
        <f t="shared" si="109"/>
        <v>#NUM!</v>
      </c>
      <c r="S193" s="62">
        <f ca="1">AVERAGE(OFFSET($R$3,0,0,'Données projet'!$E$9+1,1))-AVERAGE(OFFSET($H$3,0,0,'Données projet'!$E$9+1,1))</f>
        <v>255.1976414275677</v>
      </c>
      <c r="T193" s="62">
        <f t="shared" si="142"/>
        <v>266.42714758321767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0.49241062143375364</v>
      </c>
      <c r="AA193" s="23">
        <f>EXP(-LN(2)/25)*AA192+(1-EXP(-LN(2)/25))/(LN(2)/25)*Calculateur!V193*Calculateur!X193*VLOOKUP('Données projet'!$B$9,Paramètres!$A$1:$I$89,3,0)*0.475*44/12</f>
        <v>0.15609569913109225</v>
      </c>
      <c r="AB193" s="23">
        <f>EXP(-LN(2)/2)*AB192+(1-EXP(-LN(2)/2))/(LN(2)/2)*V193*Y193*VLOOKUP('Données projet'!$B$9,Paramètres!$A$1:$I$89,3,0)*0.475*44/12</f>
        <v>5.0116909174541065E-24</v>
      </c>
      <c r="AC193" s="24">
        <f t="shared" si="163"/>
        <v>0.64850632056484592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0</v>
      </c>
      <c r="AJ193" s="14" t="e">
        <f>AI193*VLOOKUP('Données projet'!$B$10,Paramètres!$A$1:$I$89,3,0)*VLOOKUP('Données projet'!$B$10,Paramètres!$A$1:$I$89,5,0)</f>
        <v>#N/A</v>
      </c>
      <c r="AK193" s="14" t="e">
        <f t="shared" si="164"/>
        <v>#N/A</v>
      </c>
      <c r="AL193" s="22" t="e">
        <f t="shared" si="165"/>
        <v>#N/A</v>
      </c>
      <c r="AM193" s="62" t="e">
        <f t="shared" si="113"/>
        <v>#N/A</v>
      </c>
      <c r="AN193" s="62" t="e">
        <f ca="1">AVERAGE(OFFSET($AM$3,0,0,'Données projet'!$E$10+1,1))-AVERAGE(OFFSET($H$3,0,0,'Données projet'!$E$10+1,1))</f>
        <v>#N/A</v>
      </c>
      <c r="AO193" s="62" t="e">
        <f t="shared" si="144"/>
        <v>#N/A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 t="e">
        <f>EXP(-LN(2)/35)*AU192+(1-EXP(-LN(2)/35))/(LN(2)/35)*AQ193*AR193*VLOOKUP('Données projet'!$B$10,Paramètres!$A$1:$I$89,3,0)*0.475*44/12</f>
        <v>#N/A</v>
      </c>
      <c r="AV193" s="23" t="e">
        <f>EXP(-LN(2)/25)*AV192+(1-EXP(-LN(2)/25))/(LN(2)/25)*Calculateur!AQ193*Calculateur!AS193*VLOOKUP('Données projet'!$B$10,Paramètres!$A$1:$I$89,3,0)*0.475*44/12</f>
        <v>#N/A</v>
      </c>
      <c r="AW193" s="23" t="e">
        <f>EXP(-LN(2)/2)*AW192+(1-EXP(-LN(2)/2))/(LN(2)/2)*AQ193*AT193*VLOOKUP('Données projet'!$B$10,Paramètres!$A$1:$I$89,3,0)*0.475*44/12</f>
        <v>#N/A</v>
      </c>
      <c r="AX193" s="23" t="e">
        <f t="shared" si="166"/>
        <v>#N/A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 t="e">
        <f>BD193*VLOOKUP('Données projet'!$B$11,Paramètres!$A$1:$I$89,3,0)*VLOOKUP('Données projet'!$B$11,Paramètres!$A$1:$I$89,5,0)</f>
        <v>#N/A</v>
      </c>
      <c r="BF193" s="14" t="e">
        <f t="shared" si="167"/>
        <v>#N/A</v>
      </c>
      <c r="BG193" s="22" t="e">
        <f t="shared" si="168"/>
        <v>#N/A</v>
      </c>
      <c r="BH193" s="62" t="e">
        <f t="shared" si="116"/>
        <v>#N/A</v>
      </c>
      <c r="BI193" s="62" t="e">
        <f ca="1">AVERAGE(OFFSET($BH$3,0,0,'Données projet'!$E$11+1,1))-AVERAGE(OFFSET($H$3,0,0,'Données projet'!$E$11+1,1))</f>
        <v>#N/A</v>
      </c>
      <c r="BJ193" s="62" t="e">
        <f t="shared" si="146"/>
        <v>#N/A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 t="e">
        <f>EXP(-LN(2)/35)*BP192+(1-EXP(-LN(2)/35))/(LN(2)/35)*BL193*BM193*VLOOKUP('Données projet'!$B$11,Paramètres!$A$1:$I$89,3,0)*0.475*44/12</f>
        <v>#N/A</v>
      </c>
      <c r="BQ193" s="23" t="e">
        <f>EXP(-LN(2)/25)*BQ192+(1-EXP(-LN(2)/25))/(LN(2)/25)*Calculateur!BL193*Calculateur!BN193*VLOOKUP('Données projet'!$B$11,Paramètres!$A$1:$I$89,3,0)*0.475*44/12</f>
        <v>#N/A</v>
      </c>
      <c r="BR193" s="23" t="e">
        <f>EXP(-LN(2)/2)*BR192+(1-EXP(-LN(2)/2))/(LN(2)/2)*BL193*BO193*VLOOKUP('Données projet'!$B$11,Paramètres!$A$1:$I$89,3,0)*0.475*44/12</f>
        <v>#N/A</v>
      </c>
      <c r="BS193" s="24" t="e">
        <f t="shared" si="169"/>
        <v>#N/A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3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94.353999999999971</v>
      </c>
      <c r="D194" s="12">
        <f t="shared" si="140"/>
        <v>25.612400263470157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10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926.05642308643598</v>
      </c>
      <c r="H194" s="70">
        <f t="shared" si="110"/>
        <v>502.27481379221047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-1.1368683772161603E-13</v>
      </c>
      <c r="O194" s="14">
        <f>N194*VLOOKUP('Données projet'!$B$9,Paramètres!$A$1:$I$89,3,0)*VLOOKUP('Données projet'!$B$9,Paramètres!$A$1:$I$89,5,0)</f>
        <v>-6.7984728957526396E-14</v>
      </c>
      <c r="P194" s="14" t="e">
        <f t="shared" si="141"/>
        <v>#NUM!</v>
      </c>
      <c r="Q194" s="22" t="e">
        <f t="shared" si="162"/>
        <v>#NUM!</v>
      </c>
      <c r="R194" s="62" t="e">
        <f t="shared" si="109"/>
        <v>#NUM!</v>
      </c>
      <c r="S194" s="62">
        <f ca="1">AVERAGE(OFFSET($R$3,0,0,'Données projet'!$E$9+1,1))-AVERAGE(OFFSET($H$3,0,0,'Données projet'!$E$9+1,1))</f>
        <v>255.1976414275677</v>
      </c>
      <c r="T194" s="62">
        <f t="shared" si="142"/>
        <v>266.42714758321767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0.48275474948826064</v>
      </c>
      <c r="AA194" s="23">
        <f>EXP(-LN(2)/25)*AA193+(1-EXP(-LN(2)/25))/(LN(2)/25)*Calculateur!V194*Calculateur!X194*VLOOKUP('Données projet'!$B$9,Paramètres!$A$1:$I$89,3,0)*0.475*44/12</f>
        <v>0.15182725402963648</v>
      </c>
      <c r="AB194" s="23">
        <f>EXP(-LN(2)/2)*AB193+(1-EXP(-LN(2)/2))/(LN(2)/2)*V194*Y194*VLOOKUP('Données projet'!$B$9,Paramètres!$A$1:$I$89,3,0)*0.475*44/12</f>
        <v>3.5438006329428284E-24</v>
      </c>
      <c r="AC194" s="24">
        <f t="shared" si="163"/>
        <v>0.63458200351789706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0</v>
      </c>
      <c r="AJ194" s="14" t="e">
        <f>AI194*VLOOKUP('Données projet'!$B$10,Paramètres!$A$1:$I$89,3,0)*VLOOKUP('Données projet'!$B$10,Paramètres!$A$1:$I$89,5,0)</f>
        <v>#N/A</v>
      </c>
      <c r="AK194" s="14" t="e">
        <f t="shared" si="164"/>
        <v>#N/A</v>
      </c>
      <c r="AL194" s="22" t="e">
        <f t="shared" si="165"/>
        <v>#N/A</v>
      </c>
      <c r="AM194" s="62" t="e">
        <f t="shared" si="113"/>
        <v>#N/A</v>
      </c>
      <c r="AN194" s="62" t="e">
        <f ca="1">AVERAGE(OFFSET($AM$3,0,0,'Données projet'!$E$10+1,1))-AVERAGE(OFFSET($H$3,0,0,'Données projet'!$E$10+1,1))</f>
        <v>#N/A</v>
      </c>
      <c r="AO194" s="62" t="e">
        <f t="shared" si="144"/>
        <v>#N/A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 t="e">
        <f>EXP(-LN(2)/35)*AU193+(1-EXP(-LN(2)/35))/(LN(2)/35)*AQ194*AR194*VLOOKUP('Données projet'!$B$10,Paramètres!$A$1:$I$89,3,0)*0.475*44/12</f>
        <v>#N/A</v>
      </c>
      <c r="AV194" s="23" t="e">
        <f>EXP(-LN(2)/25)*AV193+(1-EXP(-LN(2)/25))/(LN(2)/25)*Calculateur!AQ194*Calculateur!AS194*VLOOKUP('Données projet'!$B$10,Paramètres!$A$1:$I$89,3,0)*0.475*44/12</f>
        <v>#N/A</v>
      </c>
      <c r="AW194" s="23" t="e">
        <f>EXP(-LN(2)/2)*AW193+(1-EXP(-LN(2)/2))/(LN(2)/2)*AQ194*AT194*VLOOKUP('Données projet'!$B$10,Paramètres!$A$1:$I$89,3,0)*0.475*44/12</f>
        <v>#N/A</v>
      </c>
      <c r="AX194" s="23" t="e">
        <f t="shared" si="166"/>
        <v>#N/A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 t="e">
        <f>BD194*VLOOKUP('Données projet'!$B$11,Paramètres!$A$1:$I$89,3,0)*VLOOKUP('Données projet'!$B$11,Paramètres!$A$1:$I$89,5,0)</f>
        <v>#N/A</v>
      </c>
      <c r="BF194" s="14" t="e">
        <f t="shared" si="167"/>
        <v>#N/A</v>
      </c>
      <c r="BG194" s="22" t="e">
        <f t="shared" si="168"/>
        <v>#N/A</v>
      </c>
      <c r="BH194" s="62" t="e">
        <f t="shared" si="116"/>
        <v>#N/A</v>
      </c>
      <c r="BI194" s="62" t="e">
        <f ca="1">AVERAGE(OFFSET($BH$3,0,0,'Données projet'!$E$11+1,1))-AVERAGE(OFFSET($H$3,0,0,'Données projet'!$E$11+1,1))</f>
        <v>#N/A</v>
      </c>
      <c r="BJ194" s="62" t="e">
        <f t="shared" si="146"/>
        <v>#N/A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 t="e">
        <f>EXP(-LN(2)/35)*BP193+(1-EXP(-LN(2)/35))/(LN(2)/35)*BL194*BM194*VLOOKUP('Données projet'!$B$11,Paramètres!$A$1:$I$89,3,0)*0.475*44/12</f>
        <v>#N/A</v>
      </c>
      <c r="BQ194" s="23" t="e">
        <f>EXP(-LN(2)/25)*BQ193+(1-EXP(-LN(2)/25))/(LN(2)/25)*Calculateur!BL194*Calculateur!BN194*VLOOKUP('Données projet'!$B$11,Paramètres!$A$1:$I$89,3,0)*0.475*44/12</f>
        <v>#N/A</v>
      </c>
      <c r="BR194" s="23" t="e">
        <f>EXP(-LN(2)/2)*BR193+(1-EXP(-LN(2)/2))/(LN(2)/2)*BL194*BO194*VLOOKUP('Données projet'!$B$11,Paramètres!$A$1:$I$89,3,0)*0.475*44/12</f>
        <v>#N/A</v>
      </c>
      <c r="BS194" s="24" t="e">
        <f t="shared" si="169"/>
        <v>#N/A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3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94.847999999999971</v>
      </c>
      <c r="D195" s="12">
        <f t="shared" si="140"/>
        <v>25.730851751939202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10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930.78411878689894</v>
      </c>
      <c r="H195" s="70">
        <f t="shared" si="110"/>
        <v>503.34150013462738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-1.1368683772161603E-13</v>
      </c>
      <c r="O195" s="14">
        <f>N195*VLOOKUP('Données projet'!$B$9,Paramètres!$A$1:$I$89,3,0)*VLOOKUP('Données projet'!$B$9,Paramètres!$A$1:$I$89,5,0)</f>
        <v>-6.7984728957526396E-14</v>
      </c>
      <c r="P195" s="14" t="e">
        <f t="shared" si="141"/>
        <v>#NUM!</v>
      </c>
      <c r="Q195" s="22" t="e">
        <f t="shared" si="162"/>
        <v>#NUM!</v>
      </c>
      <c r="R195" s="62" t="e">
        <f t="shared" ref="R195:R203" si="191">Q195+(I195+J195)*44/12</f>
        <v>#NUM!</v>
      </c>
      <c r="S195" s="62">
        <f ca="1">AVERAGE(OFFSET($R$3,0,0,'Données projet'!$E$9+1,1))-AVERAGE(OFFSET($H$3,0,0,'Données projet'!$E$9+1,1))</f>
        <v>255.1976414275677</v>
      </c>
      <c r="T195" s="62">
        <f t="shared" si="142"/>
        <v>266.42714758321767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0.47328822330211839</v>
      </c>
      <c r="AA195" s="23">
        <f>EXP(-LN(2)/25)*AA194+(1-EXP(-LN(2)/25))/(LN(2)/25)*Calculateur!V195*Calculateur!X195*VLOOKUP('Données projet'!$B$9,Paramètres!$A$1:$I$89,3,0)*0.475*44/12</f>
        <v>0.1476755297839478</v>
      </c>
      <c r="AB195" s="23">
        <f>EXP(-LN(2)/2)*AB194+(1-EXP(-LN(2)/2))/(LN(2)/2)*V195*Y195*VLOOKUP('Données projet'!$B$9,Paramètres!$A$1:$I$89,3,0)*0.475*44/12</f>
        <v>2.5058454587270533E-24</v>
      </c>
      <c r="AC195" s="24">
        <f t="shared" si="163"/>
        <v>0.62096375308606622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0</v>
      </c>
      <c r="AJ195" s="14" t="e">
        <f>AI195*VLOOKUP('Données projet'!$B$10,Paramètres!$A$1:$I$89,3,0)*VLOOKUP('Données projet'!$B$10,Paramètres!$A$1:$I$89,5,0)</f>
        <v>#N/A</v>
      </c>
      <c r="AK195" s="14" t="e">
        <f t="shared" si="164"/>
        <v>#N/A</v>
      </c>
      <c r="AL195" s="22" t="e">
        <f t="shared" si="165"/>
        <v>#N/A</v>
      </c>
      <c r="AM195" s="62" t="e">
        <f t="shared" si="113"/>
        <v>#N/A</v>
      </c>
      <c r="AN195" s="62" t="e">
        <f ca="1">AVERAGE(OFFSET($AM$3,0,0,'Données projet'!$E$10+1,1))-AVERAGE(OFFSET($H$3,0,0,'Données projet'!$E$10+1,1))</f>
        <v>#N/A</v>
      </c>
      <c r="AO195" s="62" t="e">
        <f t="shared" si="144"/>
        <v>#N/A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 t="e">
        <f>EXP(-LN(2)/35)*AU194+(1-EXP(-LN(2)/35))/(LN(2)/35)*AQ195*AR195*VLOOKUP('Données projet'!$B$10,Paramètres!$A$1:$I$89,3,0)*0.475*44/12</f>
        <v>#N/A</v>
      </c>
      <c r="AV195" s="23" t="e">
        <f>EXP(-LN(2)/25)*AV194+(1-EXP(-LN(2)/25))/(LN(2)/25)*Calculateur!AQ195*Calculateur!AS195*VLOOKUP('Données projet'!$B$10,Paramètres!$A$1:$I$89,3,0)*0.475*44/12</f>
        <v>#N/A</v>
      </c>
      <c r="AW195" s="23" t="e">
        <f>EXP(-LN(2)/2)*AW194+(1-EXP(-LN(2)/2))/(LN(2)/2)*AQ195*AT195*VLOOKUP('Données projet'!$B$10,Paramètres!$A$1:$I$89,3,0)*0.475*44/12</f>
        <v>#N/A</v>
      </c>
      <c r="AX195" s="23" t="e">
        <f t="shared" si="166"/>
        <v>#N/A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 t="e">
        <f>BD195*VLOOKUP('Données projet'!$B$11,Paramètres!$A$1:$I$89,3,0)*VLOOKUP('Données projet'!$B$11,Paramètres!$A$1:$I$89,5,0)</f>
        <v>#N/A</v>
      </c>
      <c r="BF195" s="14" t="e">
        <f t="shared" si="167"/>
        <v>#N/A</v>
      </c>
      <c r="BG195" s="22" t="e">
        <f t="shared" si="168"/>
        <v>#N/A</v>
      </c>
      <c r="BH195" s="62" t="e">
        <f t="shared" si="116"/>
        <v>#N/A</v>
      </c>
      <c r="BI195" s="62" t="e">
        <f ca="1">AVERAGE(OFFSET($BH$3,0,0,'Données projet'!$E$11+1,1))-AVERAGE(OFFSET($H$3,0,0,'Données projet'!$E$11+1,1))</f>
        <v>#N/A</v>
      </c>
      <c r="BJ195" s="62" t="e">
        <f t="shared" si="146"/>
        <v>#N/A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 t="e">
        <f>EXP(-LN(2)/35)*BP194+(1-EXP(-LN(2)/35))/(LN(2)/35)*BL195*BM195*VLOOKUP('Données projet'!$B$11,Paramètres!$A$1:$I$89,3,0)*0.475*44/12</f>
        <v>#N/A</v>
      </c>
      <c r="BQ195" s="23" t="e">
        <f>EXP(-LN(2)/25)*BQ194+(1-EXP(-LN(2)/25))/(LN(2)/25)*Calculateur!BL195*Calculateur!BN195*VLOOKUP('Données projet'!$B$11,Paramètres!$A$1:$I$89,3,0)*0.475*44/12</f>
        <v>#N/A</v>
      </c>
      <c r="BR195" s="23" t="e">
        <f>EXP(-LN(2)/2)*BR194+(1-EXP(-LN(2)/2))/(LN(2)/2)*BL195*BO195*VLOOKUP('Données projet'!$B$11,Paramètres!$A$1:$I$89,3,0)*0.475*44/12</f>
        <v>#N/A</v>
      </c>
      <c r="BS195" s="24" t="e">
        <f t="shared" si="169"/>
        <v>#N/A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3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95.34199999999997</v>
      </c>
      <c r="D196" s="12">
        <f t="shared" si="140"/>
        <v>25.849231450613374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10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935.511260320524</v>
      </c>
      <c r="H196" s="70">
        <f t="shared" ref="H196:H203" si="192">(B196+E196+F196)*44/12+(C196+D196)*0.475*44/12</f>
        <v>504.40806144315155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-1.1368683772161603E-13</v>
      </c>
      <c r="O196" s="14">
        <f>N196*VLOOKUP('Données projet'!$B$9,Paramètres!$A$1:$I$89,3,0)*VLOOKUP('Données projet'!$B$9,Paramètres!$A$1:$I$89,5,0)</f>
        <v>-6.7984728957526396E-14</v>
      </c>
      <c r="P196" s="14" t="e">
        <f t="shared" si="141"/>
        <v>#NUM!</v>
      </c>
      <c r="Q196" s="22" t="e">
        <f t="shared" si="162"/>
        <v>#NUM!</v>
      </c>
      <c r="R196" s="62" t="e">
        <f t="shared" si="191"/>
        <v>#NUM!</v>
      </c>
      <c r="S196" s="62">
        <f ca="1">AVERAGE(OFFSET($R$3,0,0,'Données projet'!$E$9+1,1))-AVERAGE(OFFSET($H$3,0,0,'Données projet'!$E$9+1,1))</f>
        <v>255.1976414275677</v>
      </c>
      <c r="T196" s="62">
        <f t="shared" si="142"/>
        <v>266.42714758321767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0.46400732992047555</v>
      </c>
      <c r="AA196" s="23">
        <f>EXP(-LN(2)/25)*AA195+(1-EXP(-LN(2)/25))/(LN(2)/25)*Calculateur!V196*Calculateur!X196*VLOOKUP('Données projet'!$B$9,Paramètres!$A$1:$I$89,3,0)*0.475*44/12</f>
        <v>0.14363733465608716</v>
      </c>
      <c r="AB196" s="23">
        <f>EXP(-LN(2)/2)*AB195+(1-EXP(-LN(2)/2))/(LN(2)/2)*V196*Y196*VLOOKUP('Données projet'!$B$9,Paramètres!$A$1:$I$89,3,0)*0.475*44/12</f>
        <v>1.7719003164714142E-24</v>
      </c>
      <c r="AC196" s="24">
        <f t="shared" si="163"/>
        <v>0.60764466457656274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0</v>
      </c>
      <c r="AJ196" s="14" t="e">
        <f>AI196*VLOOKUP('Données projet'!$B$10,Paramètres!$A$1:$I$89,3,0)*VLOOKUP('Données projet'!$B$10,Paramètres!$A$1:$I$89,5,0)</f>
        <v>#N/A</v>
      </c>
      <c r="AK196" s="14" t="e">
        <f t="shared" si="164"/>
        <v>#N/A</v>
      </c>
      <c r="AL196" s="22" t="e">
        <f t="shared" si="165"/>
        <v>#N/A</v>
      </c>
      <c r="AM196" s="62" t="e">
        <f t="shared" ref="AM196:AM203" si="193">AL196+(AD196+AE196)*44/12</f>
        <v>#N/A</v>
      </c>
      <c r="AN196" s="62" t="e">
        <f ca="1">AVERAGE(OFFSET($AM$3,0,0,'Données projet'!$E$10+1,1))-AVERAGE(OFFSET($H$3,0,0,'Données projet'!$E$10+1,1))</f>
        <v>#N/A</v>
      </c>
      <c r="AO196" s="62" t="e">
        <f t="shared" si="144"/>
        <v>#N/A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 t="e">
        <f>EXP(-LN(2)/35)*AU195+(1-EXP(-LN(2)/35))/(LN(2)/35)*AQ196*AR196*VLOOKUP('Données projet'!$B$10,Paramètres!$A$1:$I$89,3,0)*0.475*44/12</f>
        <v>#N/A</v>
      </c>
      <c r="AV196" s="23" t="e">
        <f>EXP(-LN(2)/25)*AV195+(1-EXP(-LN(2)/25))/(LN(2)/25)*Calculateur!AQ196*Calculateur!AS196*VLOOKUP('Données projet'!$B$10,Paramètres!$A$1:$I$89,3,0)*0.475*44/12</f>
        <v>#N/A</v>
      </c>
      <c r="AW196" s="23" t="e">
        <f>EXP(-LN(2)/2)*AW195+(1-EXP(-LN(2)/2))/(LN(2)/2)*AQ196*AT196*VLOOKUP('Données projet'!$B$10,Paramètres!$A$1:$I$89,3,0)*0.475*44/12</f>
        <v>#N/A</v>
      </c>
      <c r="AX196" s="23" t="e">
        <f t="shared" si="166"/>
        <v>#N/A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 t="e">
        <f>BD196*VLOOKUP('Données projet'!$B$11,Paramètres!$A$1:$I$89,3,0)*VLOOKUP('Données projet'!$B$11,Paramètres!$A$1:$I$89,5,0)</f>
        <v>#N/A</v>
      </c>
      <c r="BF196" s="14" t="e">
        <f t="shared" si="167"/>
        <v>#N/A</v>
      </c>
      <c r="BG196" s="22" t="e">
        <f t="shared" si="168"/>
        <v>#N/A</v>
      </c>
      <c r="BH196" s="62" t="e">
        <f t="shared" ref="BH196:BH203" si="194">BG196+(AY196+AZ196)*44/12</f>
        <v>#N/A</v>
      </c>
      <c r="BI196" s="62" t="e">
        <f ca="1">AVERAGE(OFFSET($BH$3,0,0,'Données projet'!$E$11+1,1))-AVERAGE(OFFSET($H$3,0,0,'Données projet'!$E$11+1,1))</f>
        <v>#N/A</v>
      </c>
      <c r="BJ196" s="62" t="e">
        <f t="shared" si="146"/>
        <v>#N/A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 t="e">
        <f>EXP(-LN(2)/35)*BP195+(1-EXP(-LN(2)/35))/(LN(2)/35)*BL196*BM196*VLOOKUP('Données projet'!$B$11,Paramètres!$A$1:$I$89,3,0)*0.475*44/12</f>
        <v>#N/A</v>
      </c>
      <c r="BQ196" s="23" t="e">
        <f>EXP(-LN(2)/25)*BQ195+(1-EXP(-LN(2)/25))/(LN(2)/25)*Calculateur!BL196*Calculateur!BN196*VLOOKUP('Données projet'!$B$11,Paramètres!$A$1:$I$89,3,0)*0.475*44/12</f>
        <v>#N/A</v>
      </c>
      <c r="BR196" s="23" t="e">
        <f>EXP(-LN(2)/2)*BR195+(1-EXP(-LN(2)/2))/(LN(2)/2)*BL196*BO196*VLOOKUP('Données projet'!$B$11,Paramètres!$A$1:$I$89,3,0)*0.475*44/12</f>
        <v>#N/A</v>
      </c>
      <c r="BS196" s="24" t="e">
        <f t="shared" si="169"/>
        <v>#N/A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3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95.83599999999997</v>
      </c>
      <c r="D197" s="12">
        <f t="shared" ref="D197:D203" si="202">IFERROR(EXP(-1.0587+0.8836*LN(C197)+0.284),0)</f>
        <v>25.967539774636116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10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940.23785089192768</v>
      </c>
      <c r="H197" s="70">
        <f t="shared" si="192"/>
        <v>505.4744984408245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-1.1368683772161603E-13</v>
      </c>
      <c r="O197" s="14">
        <f>N197*VLOOKUP('Données projet'!$B$9,Paramètres!$A$1:$I$89,3,0)*VLOOKUP('Données projet'!$B$9,Paramètres!$A$1:$I$89,5,0)</f>
        <v>-6.7984728957526396E-14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2" t="e">
        <f t="shared" si="191"/>
        <v>#NUM!</v>
      </c>
      <c r="S197" s="62">
        <f ca="1">AVERAGE(OFFSET($R$3,0,0,'Données projet'!$E$9+1,1))-AVERAGE(OFFSET($H$3,0,0,'Données projet'!$E$9+1,1))</f>
        <v>255.1976414275677</v>
      </c>
      <c r="T197" s="62">
        <f t="shared" ref="T197:T203" si="204">$T$3</f>
        <v>266.42714758321767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0.45490842919726071</v>
      </c>
      <c r="AA197" s="23">
        <f>EXP(-LN(2)/25)*AA196+(1-EXP(-LN(2)/25))/(LN(2)/25)*Calculateur!V197*Calculateur!X197*VLOOKUP('Données projet'!$B$9,Paramètres!$A$1:$I$89,3,0)*0.475*44/12</f>
        <v>0.13970956418635733</v>
      </c>
      <c r="AB197" s="23">
        <f>EXP(-LN(2)/2)*AB196+(1-EXP(-LN(2)/2))/(LN(2)/2)*V197*Y197*VLOOKUP('Données projet'!$B$9,Paramètres!$A$1:$I$89,3,0)*0.475*44/12</f>
        <v>1.2529227293635266E-24</v>
      </c>
      <c r="AC197" s="24">
        <f t="shared" si="163"/>
        <v>0.59461799338361798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0</v>
      </c>
      <c r="AJ197" s="14" t="e">
        <f>AI197*VLOOKUP('Données projet'!$B$10,Paramètres!$A$1:$I$89,3,0)*VLOOKUP('Données projet'!$B$10,Paramètres!$A$1:$I$89,5,0)</f>
        <v>#N/A</v>
      </c>
      <c r="AK197" s="14" t="e">
        <f t="shared" si="164"/>
        <v>#N/A</v>
      </c>
      <c r="AL197" s="22" t="e">
        <f t="shared" si="165"/>
        <v>#N/A</v>
      </c>
      <c r="AM197" s="62" t="e">
        <f t="shared" si="193"/>
        <v>#N/A</v>
      </c>
      <c r="AN197" s="62" t="e">
        <f ca="1">AVERAGE(OFFSET($AM$3,0,0,'Données projet'!$E$10+1,1))-AVERAGE(OFFSET($H$3,0,0,'Données projet'!$E$10+1,1))</f>
        <v>#N/A</v>
      </c>
      <c r="AO197" s="62" t="e">
        <f t="shared" ref="AO197:AO203" si="205">$AO$3</f>
        <v>#N/A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 t="e">
        <f>EXP(-LN(2)/35)*AU196+(1-EXP(-LN(2)/35))/(LN(2)/35)*AQ197*AR197*VLOOKUP('Données projet'!$B$10,Paramètres!$A$1:$I$89,3,0)*0.475*44/12</f>
        <v>#N/A</v>
      </c>
      <c r="AV197" s="23" t="e">
        <f>EXP(-LN(2)/25)*AV196+(1-EXP(-LN(2)/25))/(LN(2)/25)*Calculateur!AQ197*Calculateur!AS197*VLOOKUP('Données projet'!$B$10,Paramètres!$A$1:$I$89,3,0)*0.475*44/12</f>
        <v>#N/A</v>
      </c>
      <c r="AW197" s="23" t="e">
        <f>EXP(-LN(2)/2)*AW196+(1-EXP(-LN(2)/2))/(LN(2)/2)*AQ197*AT197*VLOOKUP('Données projet'!$B$10,Paramètres!$A$1:$I$89,3,0)*0.475*44/12</f>
        <v>#N/A</v>
      </c>
      <c r="AX197" s="23" t="e">
        <f t="shared" si="166"/>
        <v>#N/A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 t="e">
        <f>BD197*VLOOKUP('Données projet'!$B$11,Paramètres!$A$1:$I$89,3,0)*VLOOKUP('Données projet'!$B$11,Paramètres!$A$1:$I$89,5,0)</f>
        <v>#N/A</v>
      </c>
      <c r="BF197" s="14" t="e">
        <f t="shared" si="167"/>
        <v>#N/A</v>
      </c>
      <c r="BG197" s="22" t="e">
        <f t="shared" si="168"/>
        <v>#N/A</v>
      </c>
      <c r="BH197" s="62" t="e">
        <f t="shared" si="194"/>
        <v>#N/A</v>
      </c>
      <c r="BI197" s="62" t="e">
        <f ca="1">AVERAGE(OFFSET($BH$3,0,0,'Données projet'!$E$11+1,1))-AVERAGE(OFFSET($H$3,0,0,'Données projet'!$E$11+1,1))</f>
        <v>#N/A</v>
      </c>
      <c r="BJ197" s="62" t="e">
        <f t="shared" ref="BJ197:BJ203" si="206">$BJ$3</f>
        <v>#N/A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 t="e">
        <f>EXP(-LN(2)/35)*BP196+(1-EXP(-LN(2)/35))/(LN(2)/35)*BL197*BM197*VLOOKUP('Données projet'!$B$11,Paramètres!$A$1:$I$89,3,0)*0.475*44/12</f>
        <v>#N/A</v>
      </c>
      <c r="BQ197" s="23" t="e">
        <f>EXP(-LN(2)/25)*BQ196+(1-EXP(-LN(2)/25))/(LN(2)/25)*Calculateur!BL197*Calculateur!BN197*VLOOKUP('Données projet'!$B$11,Paramètres!$A$1:$I$89,3,0)*0.475*44/12</f>
        <v>#N/A</v>
      </c>
      <c r="BR197" s="23" t="e">
        <f>EXP(-LN(2)/2)*BR196+(1-EXP(-LN(2)/2))/(LN(2)/2)*BL197*BO197*VLOOKUP('Données projet'!$B$11,Paramètres!$A$1:$I$89,3,0)*0.475*44/12</f>
        <v>#N/A</v>
      </c>
      <c r="BS197" s="24" t="e">
        <f t="shared" si="169"/>
        <v>#N/A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3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96.32999999999997</v>
      </c>
      <c r="D198" s="12">
        <f t="shared" si="202"/>
        <v>26.08577713462325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10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944.96389367077575</v>
      </c>
      <c r="H198" s="70">
        <f t="shared" si="192"/>
        <v>506.5408118428021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-1.1368683772161603E-13</v>
      </c>
      <c r="O198" s="14">
        <f>N198*VLOOKUP('Données projet'!$B$9,Paramètres!$A$1:$I$89,3,0)*VLOOKUP('Données projet'!$B$9,Paramètres!$A$1:$I$89,5,0)</f>
        <v>-6.7984728957526396E-14</v>
      </c>
      <c r="P198" s="14" t="e">
        <f t="shared" si="203"/>
        <v>#NUM!</v>
      </c>
      <c r="Q198" s="22" t="e">
        <f t="shared" si="162"/>
        <v>#NUM!</v>
      </c>
      <c r="R198" s="62" t="e">
        <f t="shared" si="191"/>
        <v>#NUM!</v>
      </c>
      <c r="S198" s="62">
        <f ca="1">AVERAGE(OFFSET($R$3,0,0,'Données projet'!$E$9+1,1))-AVERAGE(OFFSET($H$3,0,0,'Données projet'!$E$9+1,1))</f>
        <v>255.1976414275677</v>
      </c>
      <c r="T198" s="62">
        <f t="shared" si="204"/>
        <v>266.42714758321767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0.44598795236744665</v>
      </c>
      <c r="AA198" s="23">
        <f>EXP(-LN(2)/25)*AA197+(1-EXP(-LN(2)/25))/(LN(2)/25)*Calculateur!V198*Calculateur!X198*VLOOKUP('Données projet'!$B$9,Paramètres!$A$1:$I$89,3,0)*0.475*44/12</f>
        <v>0.13588919880667472</v>
      </c>
      <c r="AB198" s="23">
        <f>EXP(-LN(2)/2)*AB197+(1-EXP(-LN(2)/2))/(LN(2)/2)*V198*Y198*VLOOKUP('Données projet'!$B$9,Paramètres!$A$1:$I$89,3,0)*0.475*44/12</f>
        <v>8.859501582357071E-25</v>
      </c>
      <c r="AC198" s="24">
        <f t="shared" si="163"/>
        <v>0.58187715117412142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0</v>
      </c>
      <c r="AJ198" s="14" t="e">
        <f>AI198*VLOOKUP('Données projet'!$B$10,Paramètres!$A$1:$I$89,3,0)*VLOOKUP('Données projet'!$B$10,Paramètres!$A$1:$I$89,5,0)</f>
        <v>#N/A</v>
      </c>
      <c r="AK198" s="14" t="e">
        <f t="shared" si="164"/>
        <v>#N/A</v>
      </c>
      <c r="AL198" s="22" t="e">
        <f t="shared" si="165"/>
        <v>#N/A</v>
      </c>
      <c r="AM198" s="62" t="e">
        <f t="shared" si="193"/>
        <v>#N/A</v>
      </c>
      <c r="AN198" s="62" t="e">
        <f ca="1">AVERAGE(OFFSET($AM$3,0,0,'Données projet'!$E$10+1,1))-AVERAGE(OFFSET($H$3,0,0,'Données projet'!$E$10+1,1))</f>
        <v>#N/A</v>
      </c>
      <c r="AO198" s="62" t="e">
        <f t="shared" si="205"/>
        <v>#N/A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 t="e">
        <f>EXP(-LN(2)/35)*AU197+(1-EXP(-LN(2)/35))/(LN(2)/35)*AQ198*AR198*VLOOKUP('Données projet'!$B$10,Paramètres!$A$1:$I$89,3,0)*0.475*44/12</f>
        <v>#N/A</v>
      </c>
      <c r="AV198" s="23" t="e">
        <f>EXP(-LN(2)/25)*AV197+(1-EXP(-LN(2)/25))/(LN(2)/25)*Calculateur!AQ198*Calculateur!AS198*VLOOKUP('Données projet'!$B$10,Paramètres!$A$1:$I$89,3,0)*0.475*44/12</f>
        <v>#N/A</v>
      </c>
      <c r="AW198" s="23" t="e">
        <f>EXP(-LN(2)/2)*AW197+(1-EXP(-LN(2)/2))/(LN(2)/2)*AQ198*AT198*VLOOKUP('Données projet'!$B$10,Paramètres!$A$1:$I$89,3,0)*0.475*44/12</f>
        <v>#N/A</v>
      </c>
      <c r="AX198" s="23" t="e">
        <f t="shared" si="166"/>
        <v>#N/A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 t="e">
        <f>BD198*VLOOKUP('Données projet'!$B$11,Paramètres!$A$1:$I$89,3,0)*VLOOKUP('Données projet'!$B$11,Paramètres!$A$1:$I$89,5,0)</f>
        <v>#N/A</v>
      </c>
      <c r="BF198" s="14" t="e">
        <f t="shared" si="167"/>
        <v>#N/A</v>
      </c>
      <c r="BG198" s="22" t="e">
        <f t="shared" si="168"/>
        <v>#N/A</v>
      </c>
      <c r="BH198" s="62" t="e">
        <f t="shared" si="194"/>
        <v>#N/A</v>
      </c>
      <c r="BI198" s="62" t="e">
        <f ca="1">AVERAGE(OFFSET($BH$3,0,0,'Données projet'!$E$11+1,1))-AVERAGE(OFFSET($H$3,0,0,'Données projet'!$E$11+1,1))</f>
        <v>#N/A</v>
      </c>
      <c r="BJ198" s="62" t="e">
        <f t="shared" si="206"/>
        <v>#N/A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 t="e">
        <f>EXP(-LN(2)/35)*BP197+(1-EXP(-LN(2)/35))/(LN(2)/35)*BL198*BM198*VLOOKUP('Données projet'!$B$11,Paramètres!$A$1:$I$89,3,0)*0.475*44/12</f>
        <v>#N/A</v>
      </c>
      <c r="BQ198" s="23" t="e">
        <f>EXP(-LN(2)/25)*BQ197+(1-EXP(-LN(2)/25))/(LN(2)/25)*Calculateur!BL198*Calculateur!BN198*VLOOKUP('Données projet'!$B$11,Paramètres!$A$1:$I$89,3,0)*0.475*44/12</f>
        <v>#N/A</v>
      </c>
      <c r="BR198" s="23" t="e">
        <f>EXP(-LN(2)/2)*BR197+(1-EXP(-LN(2)/2))/(LN(2)/2)*BL198*BO198*VLOOKUP('Données projet'!$B$11,Paramètres!$A$1:$I$89,3,0)*0.475*44/12</f>
        <v>#N/A</v>
      </c>
      <c r="BS198" s="24" t="e">
        <f t="shared" si="169"/>
        <v>#N/A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3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96.82399999999997</v>
      </c>
      <c r="D199" s="12">
        <f t="shared" si="202"/>
        <v>26.203943936735264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10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949.68939179234212</v>
      </c>
      <c r="H199" s="70">
        <f t="shared" si="192"/>
        <v>507.60700235648051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-1.1368683772161603E-13</v>
      </c>
      <c r="O199" s="14">
        <f>N199*VLOOKUP('Données projet'!$B$9,Paramètres!$A$1:$I$89,3,0)*VLOOKUP('Données projet'!$B$9,Paramètres!$A$1:$I$89,5,0)</f>
        <v>-6.7984728957526396E-14</v>
      </c>
      <c r="P199" s="14" t="e">
        <f t="shared" si="203"/>
        <v>#NUM!</v>
      </c>
      <c r="Q199" s="22" t="e">
        <f t="shared" si="162"/>
        <v>#NUM!</v>
      </c>
      <c r="R199" s="62" t="e">
        <f t="shared" si="191"/>
        <v>#NUM!</v>
      </c>
      <c r="S199" s="62">
        <f ca="1">AVERAGE(OFFSET($R$3,0,0,'Données projet'!$E$9+1,1))-AVERAGE(OFFSET($H$3,0,0,'Données projet'!$E$9+1,1))</f>
        <v>255.1976414275677</v>
      </c>
      <c r="T199" s="62">
        <f t="shared" si="204"/>
        <v>266.42714758321767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0.43724240064731162</v>
      </c>
      <c r="AA199" s="23">
        <f>EXP(-LN(2)/25)*AA198+(1-EXP(-LN(2)/25))/(LN(2)/25)*Calculateur!V199*Calculateur!X199*VLOOKUP('Données projet'!$B$9,Paramètres!$A$1:$I$89,3,0)*0.475*44/12</f>
        <v>0.13217330151920381</v>
      </c>
      <c r="AB199" s="23">
        <f>EXP(-LN(2)/2)*AB198+(1-EXP(-LN(2)/2))/(LN(2)/2)*V199*Y199*VLOOKUP('Données projet'!$B$9,Paramètres!$A$1:$I$89,3,0)*0.475*44/12</f>
        <v>6.2646136468176332E-25</v>
      </c>
      <c r="AC199" s="24">
        <f t="shared" si="163"/>
        <v>0.56941570216651538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0</v>
      </c>
      <c r="AJ199" s="14" t="e">
        <f>AI199*VLOOKUP('Données projet'!$B$10,Paramètres!$A$1:$I$89,3,0)*VLOOKUP('Données projet'!$B$10,Paramètres!$A$1:$I$89,5,0)</f>
        <v>#N/A</v>
      </c>
      <c r="AK199" s="14" t="e">
        <f t="shared" si="164"/>
        <v>#N/A</v>
      </c>
      <c r="AL199" s="22" t="e">
        <f t="shared" si="165"/>
        <v>#N/A</v>
      </c>
      <c r="AM199" s="62" t="e">
        <f t="shared" si="193"/>
        <v>#N/A</v>
      </c>
      <c r="AN199" s="62" t="e">
        <f ca="1">AVERAGE(OFFSET($AM$3,0,0,'Données projet'!$E$10+1,1))-AVERAGE(OFFSET($H$3,0,0,'Données projet'!$E$10+1,1))</f>
        <v>#N/A</v>
      </c>
      <c r="AO199" s="62" t="e">
        <f t="shared" si="205"/>
        <v>#N/A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 t="e">
        <f>EXP(-LN(2)/35)*AU198+(1-EXP(-LN(2)/35))/(LN(2)/35)*AQ199*AR199*VLOOKUP('Données projet'!$B$10,Paramètres!$A$1:$I$89,3,0)*0.475*44/12</f>
        <v>#N/A</v>
      </c>
      <c r="AV199" s="23" t="e">
        <f>EXP(-LN(2)/25)*AV198+(1-EXP(-LN(2)/25))/(LN(2)/25)*Calculateur!AQ199*Calculateur!AS199*VLOOKUP('Données projet'!$B$10,Paramètres!$A$1:$I$89,3,0)*0.475*44/12</f>
        <v>#N/A</v>
      </c>
      <c r="AW199" s="23" t="e">
        <f>EXP(-LN(2)/2)*AW198+(1-EXP(-LN(2)/2))/(LN(2)/2)*AQ199*AT199*VLOOKUP('Données projet'!$B$10,Paramètres!$A$1:$I$89,3,0)*0.475*44/12</f>
        <v>#N/A</v>
      </c>
      <c r="AX199" s="23" t="e">
        <f t="shared" si="166"/>
        <v>#N/A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 t="e">
        <f>BD199*VLOOKUP('Données projet'!$B$11,Paramètres!$A$1:$I$89,3,0)*VLOOKUP('Données projet'!$B$11,Paramètres!$A$1:$I$89,5,0)</f>
        <v>#N/A</v>
      </c>
      <c r="BF199" s="14" t="e">
        <f t="shared" si="167"/>
        <v>#N/A</v>
      </c>
      <c r="BG199" s="22" t="e">
        <f t="shared" si="168"/>
        <v>#N/A</v>
      </c>
      <c r="BH199" s="62" t="e">
        <f t="shared" si="194"/>
        <v>#N/A</v>
      </c>
      <c r="BI199" s="62" t="e">
        <f ca="1">AVERAGE(OFFSET($BH$3,0,0,'Données projet'!$E$11+1,1))-AVERAGE(OFFSET($H$3,0,0,'Données projet'!$E$11+1,1))</f>
        <v>#N/A</v>
      </c>
      <c r="BJ199" s="62" t="e">
        <f t="shared" si="206"/>
        <v>#N/A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 t="e">
        <f>EXP(-LN(2)/35)*BP198+(1-EXP(-LN(2)/35))/(LN(2)/35)*BL199*BM199*VLOOKUP('Données projet'!$B$11,Paramètres!$A$1:$I$89,3,0)*0.475*44/12</f>
        <v>#N/A</v>
      </c>
      <c r="BQ199" s="23" t="e">
        <f>EXP(-LN(2)/25)*BQ198+(1-EXP(-LN(2)/25))/(LN(2)/25)*Calculateur!BL199*Calculateur!BN199*VLOOKUP('Données projet'!$B$11,Paramètres!$A$1:$I$89,3,0)*0.475*44/12</f>
        <v>#N/A</v>
      </c>
      <c r="BR199" s="23" t="e">
        <f>EXP(-LN(2)/2)*BR198+(1-EXP(-LN(2)/2))/(LN(2)/2)*BL199*BO199*VLOOKUP('Données projet'!$B$11,Paramètres!$A$1:$I$89,3,0)*0.475*44/12</f>
        <v>#N/A</v>
      </c>
      <c r="BS199" s="24" t="e">
        <f t="shared" si="169"/>
        <v>#N/A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3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97.317999999999969</v>
      </c>
      <c r="D200" s="12">
        <f t="shared" si="202"/>
        <v>26.32204058274829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10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954.4143483580566</v>
      </c>
      <c r="H200" s="70">
        <f t="shared" si="192"/>
        <v>508.67307068161983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-1.1368683772161603E-13</v>
      </c>
      <c r="O200" s="14">
        <f>N200*VLOOKUP('Données projet'!$B$9,Paramètres!$A$1:$I$89,3,0)*VLOOKUP('Données projet'!$B$9,Paramètres!$A$1:$I$89,5,0)</f>
        <v>-6.7984728957526396E-14</v>
      </c>
      <c r="P200" s="14" t="e">
        <f t="shared" si="203"/>
        <v>#NUM!</v>
      </c>
      <c r="Q200" s="22" t="e">
        <f t="shared" si="162"/>
        <v>#NUM!</v>
      </c>
      <c r="R200" s="62" t="e">
        <f t="shared" si="191"/>
        <v>#NUM!</v>
      </c>
      <c r="S200" s="62">
        <f ca="1">AVERAGE(OFFSET($R$3,0,0,'Données projet'!$E$9+1,1))-AVERAGE(OFFSET($H$3,0,0,'Données projet'!$E$9+1,1))</f>
        <v>255.1976414275677</v>
      </c>
      <c r="T200" s="62">
        <f t="shared" si="204"/>
        <v>266.42714758321767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0.42866834386214864</v>
      </c>
      <c r="AA200" s="23">
        <f>EXP(-LN(2)/25)*AA199+(1-EXP(-LN(2)/25))/(LN(2)/25)*Calculateur!V200*Calculateur!X200*VLOOKUP('Données projet'!$B$9,Paramètres!$A$1:$I$89,3,0)*0.475*44/12</f>
        <v>0.12855901563846933</v>
      </c>
      <c r="AB200" s="23">
        <f>EXP(-LN(2)/2)*AB199+(1-EXP(-LN(2)/2))/(LN(2)/2)*V200*Y200*VLOOKUP('Données projet'!$B$9,Paramètres!$A$1:$I$89,3,0)*0.475*44/12</f>
        <v>4.4297507911785355E-25</v>
      </c>
      <c r="AC200" s="24">
        <f t="shared" si="163"/>
        <v>0.55722735950061797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0</v>
      </c>
      <c r="AJ200" s="14" t="e">
        <f>AI200*VLOOKUP('Données projet'!$B$10,Paramètres!$A$1:$I$89,3,0)*VLOOKUP('Données projet'!$B$10,Paramètres!$A$1:$I$89,5,0)</f>
        <v>#N/A</v>
      </c>
      <c r="AK200" s="14" t="e">
        <f t="shared" si="164"/>
        <v>#N/A</v>
      </c>
      <c r="AL200" s="22" t="e">
        <f t="shared" si="165"/>
        <v>#N/A</v>
      </c>
      <c r="AM200" s="62" t="e">
        <f t="shared" si="193"/>
        <v>#N/A</v>
      </c>
      <c r="AN200" s="62" t="e">
        <f ca="1">AVERAGE(OFFSET($AM$3,0,0,'Données projet'!$E$10+1,1))-AVERAGE(OFFSET($H$3,0,0,'Données projet'!$E$10+1,1))</f>
        <v>#N/A</v>
      </c>
      <c r="AO200" s="62" t="e">
        <f t="shared" si="205"/>
        <v>#N/A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 t="e">
        <f>EXP(-LN(2)/35)*AU199+(1-EXP(-LN(2)/35))/(LN(2)/35)*AQ200*AR200*VLOOKUP('Données projet'!$B$10,Paramètres!$A$1:$I$89,3,0)*0.475*44/12</f>
        <v>#N/A</v>
      </c>
      <c r="AV200" s="23" t="e">
        <f>EXP(-LN(2)/25)*AV199+(1-EXP(-LN(2)/25))/(LN(2)/25)*Calculateur!AQ200*Calculateur!AS200*VLOOKUP('Données projet'!$B$10,Paramètres!$A$1:$I$89,3,0)*0.475*44/12</f>
        <v>#N/A</v>
      </c>
      <c r="AW200" s="23" t="e">
        <f>EXP(-LN(2)/2)*AW199+(1-EXP(-LN(2)/2))/(LN(2)/2)*AQ200*AT200*VLOOKUP('Données projet'!$B$10,Paramètres!$A$1:$I$89,3,0)*0.475*44/12</f>
        <v>#N/A</v>
      </c>
      <c r="AX200" s="23" t="e">
        <f t="shared" si="166"/>
        <v>#N/A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 t="e">
        <f>BD200*VLOOKUP('Données projet'!$B$11,Paramètres!$A$1:$I$89,3,0)*VLOOKUP('Données projet'!$B$11,Paramètres!$A$1:$I$89,5,0)</f>
        <v>#N/A</v>
      </c>
      <c r="BF200" s="14" t="e">
        <f t="shared" si="167"/>
        <v>#N/A</v>
      </c>
      <c r="BG200" s="22" t="e">
        <f t="shared" si="168"/>
        <v>#N/A</v>
      </c>
      <c r="BH200" s="62" t="e">
        <f t="shared" si="194"/>
        <v>#N/A</v>
      </c>
      <c r="BI200" s="62" t="e">
        <f ca="1">AVERAGE(OFFSET($BH$3,0,0,'Données projet'!$E$11+1,1))-AVERAGE(OFFSET($H$3,0,0,'Données projet'!$E$11+1,1))</f>
        <v>#N/A</v>
      </c>
      <c r="BJ200" s="62" t="e">
        <f t="shared" si="206"/>
        <v>#N/A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 t="e">
        <f>EXP(-LN(2)/35)*BP199+(1-EXP(-LN(2)/35))/(LN(2)/35)*BL200*BM200*VLOOKUP('Données projet'!$B$11,Paramètres!$A$1:$I$89,3,0)*0.475*44/12</f>
        <v>#N/A</v>
      </c>
      <c r="BQ200" s="23" t="e">
        <f>EXP(-LN(2)/25)*BQ199+(1-EXP(-LN(2)/25))/(LN(2)/25)*Calculateur!BL200*Calculateur!BN200*VLOOKUP('Données projet'!$B$11,Paramètres!$A$1:$I$89,3,0)*0.475*44/12</f>
        <v>#N/A</v>
      </c>
      <c r="BR200" s="23" t="e">
        <f>EXP(-LN(2)/2)*BR199+(1-EXP(-LN(2)/2))/(LN(2)/2)*BL200*BO200*VLOOKUP('Données projet'!$B$11,Paramètres!$A$1:$I$89,3,0)*0.475*44/12</f>
        <v>#N/A</v>
      </c>
      <c r="BS200" s="24" t="e">
        <f t="shared" si="169"/>
        <v>#N/A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3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97.811999999999969</v>
      </c>
      <c r="D201" s="12">
        <f t="shared" si="202"/>
        <v>26.44006747012326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10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959.13876643603896</v>
      </c>
      <c r="H201" s="70">
        <f t="shared" si="192"/>
        <v>509.73901751046458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-1.1368683772161603E-13</v>
      </c>
      <c r="O201" s="14">
        <f>N201*VLOOKUP('Données projet'!$B$9,Paramètres!$A$1:$I$89,3,0)*VLOOKUP('Données projet'!$B$9,Paramètres!$A$1:$I$89,5,0)</f>
        <v>-6.7984728957526396E-14</v>
      </c>
      <c r="P201" s="14" t="e">
        <f t="shared" si="203"/>
        <v>#NUM!</v>
      </c>
      <c r="Q201" s="22" t="e">
        <f t="shared" si="162"/>
        <v>#NUM!</v>
      </c>
      <c r="R201" s="62" t="e">
        <f t="shared" si="191"/>
        <v>#NUM!</v>
      </c>
      <c r="S201" s="62">
        <f ca="1">AVERAGE(OFFSET($R$3,0,0,'Données projet'!$E$9+1,1))-AVERAGE(OFFSET($H$3,0,0,'Données projet'!$E$9+1,1))</f>
        <v>255.1976414275677</v>
      </c>
      <c r="T201" s="62">
        <f t="shared" si="204"/>
        <v>266.42714758321767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0.42026241910088447</v>
      </c>
      <c r="AA201" s="23">
        <f>EXP(-LN(2)/25)*AA200+(1-EXP(-LN(2)/25))/(LN(2)/25)*Calculateur!V201*Calculateur!X201*VLOOKUP('Données projet'!$B$9,Paramètres!$A$1:$I$89,3,0)*0.475*44/12</f>
        <v>0.12504356259521057</v>
      </c>
      <c r="AB201" s="23">
        <f>EXP(-LN(2)/2)*AB200+(1-EXP(-LN(2)/2))/(LN(2)/2)*V201*Y201*VLOOKUP('Données projet'!$B$9,Paramètres!$A$1:$I$89,3,0)*0.475*44/12</f>
        <v>3.1323068234088166E-25</v>
      </c>
      <c r="AC201" s="24">
        <f t="shared" si="163"/>
        <v>0.54530598169609501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0</v>
      </c>
      <c r="AJ201" s="14" t="e">
        <f>AI201*VLOOKUP('Données projet'!$B$10,Paramètres!$A$1:$I$89,3,0)*VLOOKUP('Données projet'!$B$10,Paramètres!$A$1:$I$89,5,0)</f>
        <v>#N/A</v>
      </c>
      <c r="AK201" s="14" t="e">
        <f t="shared" si="164"/>
        <v>#N/A</v>
      </c>
      <c r="AL201" s="22" t="e">
        <f t="shared" si="165"/>
        <v>#N/A</v>
      </c>
      <c r="AM201" s="62" t="e">
        <f t="shared" si="193"/>
        <v>#N/A</v>
      </c>
      <c r="AN201" s="62" t="e">
        <f ca="1">AVERAGE(OFFSET($AM$3,0,0,'Données projet'!$E$10+1,1))-AVERAGE(OFFSET($H$3,0,0,'Données projet'!$E$10+1,1))</f>
        <v>#N/A</v>
      </c>
      <c r="AO201" s="62" t="e">
        <f t="shared" si="205"/>
        <v>#N/A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 t="e">
        <f>EXP(-LN(2)/35)*AU200+(1-EXP(-LN(2)/35))/(LN(2)/35)*AQ201*AR201*VLOOKUP('Données projet'!$B$10,Paramètres!$A$1:$I$89,3,0)*0.475*44/12</f>
        <v>#N/A</v>
      </c>
      <c r="AV201" s="23" t="e">
        <f>EXP(-LN(2)/25)*AV200+(1-EXP(-LN(2)/25))/(LN(2)/25)*Calculateur!AQ201*Calculateur!AS201*VLOOKUP('Données projet'!$B$10,Paramètres!$A$1:$I$89,3,0)*0.475*44/12</f>
        <v>#N/A</v>
      </c>
      <c r="AW201" s="23" t="e">
        <f>EXP(-LN(2)/2)*AW200+(1-EXP(-LN(2)/2))/(LN(2)/2)*AQ201*AT201*VLOOKUP('Données projet'!$B$10,Paramètres!$A$1:$I$89,3,0)*0.475*44/12</f>
        <v>#N/A</v>
      </c>
      <c r="AX201" s="23" t="e">
        <f t="shared" si="166"/>
        <v>#N/A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 t="e">
        <f>BD201*VLOOKUP('Données projet'!$B$11,Paramètres!$A$1:$I$89,3,0)*VLOOKUP('Données projet'!$B$11,Paramètres!$A$1:$I$89,5,0)</f>
        <v>#N/A</v>
      </c>
      <c r="BF201" s="14" t="e">
        <f t="shared" si="167"/>
        <v>#N/A</v>
      </c>
      <c r="BG201" s="22" t="e">
        <f t="shared" si="168"/>
        <v>#N/A</v>
      </c>
      <c r="BH201" s="62" t="e">
        <f t="shared" si="194"/>
        <v>#N/A</v>
      </c>
      <c r="BI201" s="62" t="e">
        <f ca="1">AVERAGE(OFFSET($BH$3,0,0,'Données projet'!$E$11+1,1))-AVERAGE(OFFSET($H$3,0,0,'Données projet'!$E$11+1,1))</f>
        <v>#N/A</v>
      </c>
      <c r="BJ201" s="62" t="e">
        <f t="shared" si="206"/>
        <v>#N/A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 t="e">
        <f>EXP(-LN(2)/35)*BP200+(1-EXP(-LN(2)/35))/(LN(2)/35)*BL201*BM201*VLOOKUP('Données projet'!$B$11,Paramètres!$A$1:$I$89,3,0)*0.475*44/12</f>
        <v>#N/A</v>
      </c>
      <c r="BQ201" s="23" t="e">
        <f>EXP(-LN(2)/25)*BQ200+(1-EXP(-LN(2)/25))/(LN(2)/25)*Calculateur!BL201*Calculateur!BN201*VLOOKUP('Données projet'!$B$11,Paramètres!$A$1:$I$89,3,0)*0.475*44/12</f>
        <v>#N/A</v>
      </c>
      <c r="BR201" s="23" t="e">
        <f>EXP(-LN(2)/2)*BR200+(1-EXP(-LN(2)/2))/(LN(2)/2)*BL201*BO201*VLOOKUP('Données projet'!$B$11,Paramètres!$A$1:$I$89,3,0)*0.475*44/12</f>
        <v>#N/A</v>
      </c>
      <c r="BS201" s="24" t="e">
        <f t="shared" si="169"/>
        <v>#N/A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3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98.305999999999969</v>
      </c>
      <c r="D202" s="12">
        <f t="shared" si="202"/>
        <v>26.558024992073921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10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963.86264906162307</v>
      </c>
      <c r="H202" s="70">
        <f t="shared" si="192"/>
        <v>510.80484352786198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-1.1368683772161603E-13</v>
      </c>
      <c r="O202" s="14">
        <f>N202*VLOOKUP('Données projet'!$B$9,Paramètres!$A$1:$I$89,3,0)*VLOOKUP('Données projet'!$B$9,Paramètres!$A$1:$I$89,5,0)</f>
        <v>-6.7984728957526396E-14</v>
      </c>
      <c r="P202" s="14" t="e">
        <f t="shared" si="203"/>
        <v>#NUM!</v>
      </c>
      <c r="Q202" s="22" t="e">
        <f t="shared" si="162"/>
        <v>#NUM!</v>
      </c>
      <c r="R202" s="62" t="e">
        <f t="shared" si="191"/>
        <v>#NUM!</v>
      </c>
      <c r="S202" s="62">
        <f ca="1">AVERAGE(OFFSET($R$3,0,0,'Données projet'!$E$9+1,1))-AVERAGE(OFFSET($H$3,0,0,'Données projet'!$E$9+1,1))</f>
        <v>255.1976414275677</v>
      </c>
      <c r="T202" s="62">
        <f t="shared" si="204"/>
        <v>266.42714758321767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0.4120213293970808</v>
      </c>
      <c r="AA202" s="23">
        <f>EXP(-LN(2)/25)*AA201+(1-EXP(-LN(2)/25))/(LN(2)/25)*Calculateur!V202*Calculateur!X202*VLOOKUP('Données projet'!$B$9,Paramètres!$A$1:$I$89,3,0)*0.475*44/12</f>
        <v>0.12162423980028937</v>
      </c>
      <c r="AB202" s="23">
        <f>EXP(-LN(2)/2)*AB201+(1-EXP(-LN(2)/2))/(LN(2)/2)*V202*Y202*VLOOKUP('Données projet'!$B$9,Paramètres!$A$1:$I$89,3,0)*0.475*44/12</f>
        <v>2.2148753955892677E-25</v>
      </c>
      <c r="AC202" s="24">
        <f t="shared" si="163"/>
        <v>0.53364556919737016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0</v>
      </c>
      <c r="AJ202" s="14" t="e">
        <f>AI202*VLOOKUP('Données projet'!$B$10,Paramètres!$A$1:$I$89,3,0)*VLOOKUP('Données projet'!$B$10,Paramètres!$A$1:$I$89,5,0)</f>
        <v>#N/A</v>
      </c>
      <c r="AK202" s="14" t="e">
        <f t="shared" si="164"/>
        <v>#N/A</v>
      </c>
      <c r="AL202" s="22" t="e">
        <f t="shared" si="165"/>
        <v>#N/A</v>
      </c>
      <c r="AM202" s="62" t="e">
        <f t="shared" si="193"/>
        <v>#N/A</v>
      </c>
      <c r="AN202" s="62" t="e">
        <f ca="1">AVERAGE(OFFSET($AM$3,0,0,'Données projet'!$E$10+1,1))-AVERAGE(OFFSET($H$3,0,0,'Données projet'!$E$10+1,1))</f>
        <v>#N/A</v>
      </c>
      <c r="AO202" s="62" t="e">
        <f t="shared" si="205"/>
        <v>#N/A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 t="e">
        <f>EXP(-LN(2)/35)*AU201+(1-EXP(-LN(2)/35))/(LN(2)/35)*AQ202*AR202*VLOOKUP('Données projet'!$B$10,Paramètres!$A$1:$I$89,3,0)*0.475*44/12</f>
        <v>#N/A</v>
      </c>
      <c r="AV202" s="23" t="e">
        <f>EXP(-LN(2)/25)*AV201+(1-EXP(-LN(2)/25))/(LN(2)/25)*Calculateur!AQ202*Calculateur!AS202*VLOOKUP('Données projet'!$B$10,Paramètres!$A$1:$I$89,3,0)*0.475*44/12</f>
        <v>#N/A</v>
      </c>
      <c r="AW202" s="23" t="e">
        <f>EXP(-LN(2)/2)*AW201+(1-EXP(-LN(2)/2))/(LN(2)/2)*AQ202*AT202*VLOOKUP('Données projet'!$B$10,Paramètres!$A$1:$I$89,3,0)*0.475*44/12</f>
        <v>#N/A</v>
      </c>
      <c r="AX202" s="23" t="e">
        <f t="shared" si="166"/>
        <v>#N/A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 t="e">
        <f>BD202*VLOOKUP('Données projet'!$B$11,Paramètres!$A$1:$I$89,3,0)*VLOOKUP('Données projet'!$B$11,Paramètres!$A$1:$I$89,5,0)</f>
        <v>#N/A</v>
      </c>
      <c r="BF202" s="14" t="e">
        <f t="shared" si="167"/>
        <v>#N/A</v>
      </c>
      <c r="BG202" s="22" t="e">
        <f t="shared" si="168"/>
        <v>#N/A</v>
      </c>
      <c r="BH202" s="62" t="e">
        <f t="shared" si="194"/>
        <v>#N/A</v>
      </c>
      <c r="BI202" s="62" t="e">
        <f ca="1">AVERAGE(OFFSET($BH$3,0,0,'Données projet'!$E$11+1,1))-AVERAGE(OFFSET($H$3,0,0,'Données projet'!$E$11+1,1))</f>
        <v>#N/A</v>
      </c>
      <c r="BJ202" s="62" t="e">
        <f t="shared" si="206"/>
        <v>#N/A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 t="e">
        <f>EXP(-LN(2)/35)*BP201+(1-EXP(-LN(2)/35))/(LN(2)/35)*BL202*BM202*VLOOKUP('Données projet'!$B$11,Paramètres!$A$1:$I$89,3,0)*0.475*44/12</f>
        <v>#N/A</v>
      </c>
      <c r="BQ202" s="23" t="e">
        <f>EXP(-LN(2)/25)*BQ201+(1-EXP(-LN(2)/25))/(LN(2)/25)*Calculateur!BL202*Calculateur!BN202*VLOOKUP('Données projet'!$B$11,Paramètres!$A$1:$I$89,3,0)*0.475*44/12</f>
        <v>#N/A</v>
      </c>
      <c r="BR202" s="23" t="e">
        <f>EXP(-LN(2)/2)*BR201+(1-EXP(-LN(2)/2))/(LN(2)/2)*BL202*BO202*VLOOKUP('Données projet'!$B$11,Paramètres!$A$1:$I$89,3,0)*0.475*44/12</f>
        <v>#N/A</v>
      </c>
      <c r="BS202" s="24" t="e">
        <f t="shared" si="169"/>
        <v>#N/A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" thickBot="1" x14ac:dyDescent="0.35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98.799999999999969</v>
      </c>
      <c r="D203" s="12">
        <f t="shared" si="202"/>
        <v>26.675913537633271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10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968.58599923787062</v>
      </c>
      <c r="H203" s="70">
        <f t="shared" si="192"/>
        <v>511.87054941137785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-1.1368683772161603E-13</v>
      </c>
      <c r="O203" s="14">
        <f>N203*VLOOKUP('Données projet'!$B$9,Paramètres!$A$1:$I$89,3,0)*VLOOKUP('Données projet'!$B$9,Paramètres!$A$1:$I$89,5,0)</f>
        <v>-6.7984728957526396E-14</v>
      </c>
      <c r="P203" s="14" t="e">
        <f t="shared" si="203"/>
        <v>#NUM!</v>
      </c>
      <c r="Q203" s="22" t="e">
        <f t="shared" si="162"/>
        <v>#NUM!</v>
      </c>
      <c r="R203" s="62" t="e">
        <f t="shared" si="191"/>
        <v>#NUM!</v>
      </c>
      <c r="S203" s="62">
        <f ca="1">AVERAGE(OFFSET($R$3,0,0,'Données projet'!$E$9+1,1))-AVERAGE(OFFSET($H$3,0,0,'Données projet'!$E$9+1,1))</f>
        <v>255.1976414275677</v>
      </c>
      <c r="T203" s="62">
        <f t="shared" si="204"/>
        <v>266.42714758321767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0.40394184243580034</v>
      </c>
      <c r="AA203" s="23">
        <f>EXP(-LN(2)/25)*AA202+(1-EXP(-LN(2)/25))/(LN(2)/25)*Calculateur!V203*Calculateur!X203*VLOOKUP('Données projet'!$B$9,Paramètres!$A$1:$I$89,3,0)*0.475*44/12</f>
        <v>0.11829841856700966</v>
      </c>
      <c r="AB203" s="23">
        <f>EXP(-LN(2)/2)*AB202+(1-EXP(-LN(2)/2))/(LN(2)/2)*V203*Y203*VLOOKUP('Données projet'!$B$9,Paramètres!$A$1:$I$89,3,0)*0.475*44/12</f>
        <v>1.5661534117044083E-25</v>
      </c>
      <c r="AC203" s="24">
        <f t="shared" si="163"/>
        <v>0.52224026100280996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0</v>
      </c>
      <c r="AJ203" s="14" t="e">
        <f>AI203*VLOOKUP('Données projet'!$B$10,Paramètres!$A$1:$I$89,3,0)*VLOOKUP('Données projet'!$B$10,Paramètres!$A$1:$I$89,5,0)</f>
        <v>#N/A</v>
      </c>
      <c r="AK203" s="14" t="e">
        <f t="shared" si="164"/>
        <v>#N/A</v>
      </c>
      <c r="AL203" s="22" t="e">
        <f t="shared" si="165"/>
        <v>#N/A</v>
      </c>
      <c r="AM203" s="62" t="e">
        <f t="shared" si="193"/>
        <v>#N/A</v>
      </c>
      <c r="AN203" s="62" t="e">
        <f ca="1">AVERAGE(OFFSET($AM$3,0,0,'Données projet'!$E$10+1,1))-AVERAGE(OFFSET($H$3,0,0,'Données projet'!$E$10+1,1))</f>
        <v>#N/A</v>
      </c>
      <c r="AO203" s="62" t="e">
        <f t="shared" si="205"/>
        <v>#N/A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 t="e">
        <f>EXP(-LN(2)/35)*AU202+(1-EXP(-LN(2)/35))/(LN(2)/35)*AQ203*AR203*VLOOKUP('Données projet'!$B$10,Paramètres!$A$1:$I$89,3,0)*0.475*44/12</f>
        <v>#N/A</v>
      </c>
      <c r="AV203" s="23" t="e">
        <f>EXP(-LN(2)/25)*AV202+(1-EXP(-LN(2)/25))/(LN(2)/25)*Calculateur!AQ203*Calculateur!AS203*VLOOKUP('Données projet'!$B$10,Paramètres!$A$1:$I$89,3,0)*0.475*44/12</f>
        <v>#N/A</v>
      </c>
      <c r="AW203" s="23" t="e">
        <f>EXP(-LN(2)/2)*AW202+(1-EXP(-LN(2)/2))/(LN(2)/2)*AQ203*AT203*VLOOKUP('Données projet'!$B$10,Paramètres!$A$1:$I$89,3,0)*0.475*44/12</f>
        <v>#N/A</v>
      </c>
      <c r="AX203" s="23" t="e">
        <f t="shared" si="166"/>
        <v>#N/A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 t="e">
        <f>BD203*VLOOKUP('Données projet'!$B$11,Paramètres!$A$1:$I$89,3,0)*VLOOKUP('Données projet'!$B$11,Paramètres!$A$1:$I$89,5,0)</f>
        <v>#N/A</v>
      </c>
      <c r="BF203" s="14" t="e">
        <f t="shared" si="167"/>
        <v>#N/A</v>
      </c>
      <c r="BG203" s="22" t="e">
        <f t="shared" si="168"/>
        <v>#N/A</v>
      </c>
      <c r="BH203" s="62" t="e">
        <f t="shared" si="194"/>
        <v>#N/A</v>
      </c>
      <c r="BI203" s="62" t="e">
        <f ca="1">AVERAGE(OFFSET($BH$3,0,0,'Données projet'!$E$11+1,1))-AVERAGE(OFFSET($H$3,0,0,'Données projet'!$E$11+1,1))</f>
        <v>#N/A</v>
      </c>
      <c r="BJ203" s="62" t="e">
        <f t="shared" si="206"/>
        <v>#N/A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 t="e">
        <f>EXP(-LN(2)/35)*BP202+(1-EXP(-LN(2)/35))/(LN(2)/35)*BL203*BM203*VLOOKUP('Données projet'!$B$11,Paramètres!$A$1:$I$89,3,0)*0.475*44/12</f>
        <v>#N/A</v>
      </c>
      <c r="BQ203" s="23" t="e">
        <f>EXP(-LN(2)/25)*BQ202+(1-EXP(-LN(2)/25))/(LN(2)/25)*Calculateur!BL203*Calculateur!BN203*VLOOKUP('Données projet'!$B$11,Paramètres!$A$1:$I$89,3,0)*0.475*44/12</f>
        <v>#N/A</v>
      </c>
      <c r="BR203" s="23" t="e">
        <f>EXP(-LN(2)/2)*BR202+(1-EXP(-LN(2)/2))/(LN(2)/2)*BL203*BO203*VLOOKUP('Données projet'!$B$11,Paramètres!$A$1:$I$89,3,0)*0.475*44/12</f>
        <v>#N/A</v>
      </c>
      <c r="BS203" s="24" t="e">
        <f t="shared" si="169"/>
        <v>#N/A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" thickBot="1" x14ac:dyDescent="0.35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" thickBot="1" x14ac:dyDescent="0.35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1.3758248603770518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 t="e">
        <f>EXP(LN('Données projet'!B62)/'Données projet'!A62)</f>
        <v>#NUM!</v>
      </c>
      <c r="BA205" s="88" t="e">
        <f>EXP(LN('Données projet'!B88)/'Données projet'!A88)</f>
        <v>#NUM!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 x14ac:dyDescent="0.3"/>
  <cols>
    <col min="1" max="1" width="23.44140625" style="5" bestFit="1" customWidth="1"/>
    <col min="2" max="2" width="27.6640625" style="5" bestFit="1" customWidth="1"/>
    <col min="3" max="3" width="11.88671875" style="5" bestFit="1" customWidth="1"/>
    <col min="4" max="4" width="40" style="5" bestFit="1" customWidth="1"/>
    <col min="5" max="5" width="11.88671875" style="5" bestFit="1" customWidth="1"/>
    <col min="6" max="6" width="13.6640625" style="5" bestFit="1" customWidth="1"/>
    <col min="7" max="7" width="11.44140625" style="5" bestFit="1" customWidth="1"/>
    <col min="8" max="8" width="39" style="5" bestFit="1" customWidth="1"/>
    <col min="9" max="9" width="16.6640625" style="5" customWidth="1"/>
    <col min="10" max="14" width="11.44140625" style="5"/>
    <col min="15" max="15" width="23.44140625" style="5" bestFit="1" customWidth="1"/>
    <col min="16" max="16384" width="11.44140625" style="5"/>
  </cols>
  <sheetData>
    <row r="1" spans="1:16" ht="43.8" thickBot="1" x14ac:dyDescent="0.35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3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5" thickBot="1" x14ac:dyDescent="0.35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5" thickBot="1" x14ac:dyDescent="0.35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3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 x14ac:dyDescent="0.3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 x14ac:dyDescent="0.3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5" thickBot="1" x14ac:dyDescent="0.35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5" thickBot="1" x14ac:dyDescent="0.35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3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5" thickBot="1" x14ac:dyDescent="0.35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 x14ac:dyDescent="0.3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3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3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3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3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3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3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3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3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3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3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3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3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3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3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3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3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3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3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3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3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3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3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3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3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3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3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3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3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3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3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3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3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3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3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3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3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3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3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3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3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3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3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3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3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3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3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3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3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3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3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3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3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3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3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3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3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3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3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3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3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3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3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3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3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3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3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3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3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3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3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3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3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3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3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3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3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" thickBot="1" x14ac:dyDescent="0.35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3">
      <c r="A93" s="131" t="s">
        <v>208</v>
      </c>
    </row>
    <row r="94" spans="1:14" x14ac:dyDescent="0.3">
      <c r="A94" s="131" t="s">
        <v>209</v>
      </c>
    </row>
    <row r="95" spans="1:14" x14ac:dyDescent="0.3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5"/>
  <dimension ref="A1:BJ357"/>
  <sheetViews>
    <sheetView zoomScale="90" zoomScaleNormal="90" workbookViewId="0">
      <selection activeCell="I8" sqref="I8"/>
    </sheetView>
  </sheetViews>
  <sheetFormatPr baseColWidth="10" defaultColWidth="11.44140625" defaultRowHeight="14.4" x14ac:dyDescent="0.3"/>
  <cols>
    <col min="1" max="1" width="22.88671875" style="1" bestFit="1" customWidth="1"/>
    <col min="2" max="2" width="10.5546875" style="1" bestFit="1" customWidth="1"/>
    <col min="3" max="3" width="15.5546875" style="1" bestFit="1" customWidth="1"/>
    <col min="4" max="4" width="13.44140625" style="1" bestFit="1" customWidth="1"/>
    <col min="5" max="8" width="11.44140625" style="1"/>
    <col min="9" max="13" width="11.44140625" style="65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6.4" thickBot="1" x14ac:dyDescent="0.55000000000000004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3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" thickBot="1" x14ac:dyDescent="0.35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2.599999999999994" thickBot="1" x14ac:dyDescent="0.35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3">
      <c r="A6" s="154" t="str">
        <f>IF('Données projet'!$B$9="","",'Données projet'!$B$9)</f>
        <v>Pin maritime</v>
      </c>
      <c r="B6" s="155">
        <f>'Données projet'!D9</f>
        <v>1.5159</v>
      </c>
      <c r="C6" s="156">
        <f ca="1">IF(OR('Données projet'!B9="",'Données projet'!C9="",'Données projet'!C9=0%),0,Calculateur!S3)</f>
        <v>255.1976414275677</v>
      </c>
      <c r="D6" s="156">
        <f>IF(OR('Données projet'!B9="",'Données projet'!C9="",'Données projet'!C9=0%),0,Calculateur!T3)</f>
        <v>266.42714758321767</v>
      </c>
      <c r="E6" s="156">
        <f ca="1">MIN(C6,D6)</f>
        <v>255.1976414275677</v>
      </c>
      <c r="F6" s="156">
        <f ca="1">E6*B6</f>
        <v>386.85410464004991</v>
      </c>
      <c r="G6" s="156">
        <f ca="1">F6*(100%-'Données projet'!$C$24)*(100%-'Données projet'!$C$25)*(100%-'Données projet'!$C$26)*(100%-'Données projet'!$C$27)</f>
        <v>348.16869417604494</v>
      </c>
      <c r="H6" s="157">
        <f>IF(OR('Données projet'!B9="",'Données projet'!C9="",'Données projet'!C9=0%),0,AVERAGE(Calculateur!$AC$3:$AC$33)*B6)</f>
        <v>15.68992977519496</v>
      </c>
      <c r="I6" s="158">
        <f>H6*(100%-'Données projet'!$C$24)*(100%-'Données projet'!$C$25)*(100%-'Données projet'!$C$26)*(100%-'Données projet'!$C$27)</f>
        <v>14.120936797675464</v>
      </c>
      <c r="J6" s="159">
        <f>IF(OR('Données projet'!B9="",'Données projet'!C9="",'Données projet'!C9=0%),0,SUM(Calculateur!$V$3:$V$33)*VLOOKUP('Données projet'!$B$9,Paramètres!$A$1:$I$89,9,0)*B6)</f>
        <v>127.89648299999999</v>
      </c>
      <c r="K6" s="160">
        <f>J6*(100%-'Données projet'!$C$24)*(100%-'Données projet'!$C$25)*(100%-'Données projet'!$C$26)*(100%-'Données projet'!$C$27)</f>
        <v>115.10683469999999</v>
      </c>
      <c r="L6" s="161">
        <f ca="1">G6+I6+K6</f>
        <v>477.3964656737204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3">
      <c r="A7" s="162" t="str">
        <f>IF('Données projet'!$B$10="","",'Données projet'!$B$10)</f>
        <v/>
      </c>
      <c r="B7" s="163">
        <f>'Données projet'!D10</f>
        <v>0</v>
      </c>
      <c r="C7" s="156">
        <f>IF(OR('Données projet'!B10="",'Données projet'!C10="",'Données projet'!C10=0%),0,Calculateur!AN3)</f>
        <v>0</v>
      </c>
      <c r="D7" s="156">
        <f>IF(OR('Données projet'!B10="",'Données projet'!C10="",'Données projet'!C10=0%),0,Calculateur!AO3)</f>
        <v>0</v>
      </c>
      <c r="E7" s="156">
        <f t="shared" ref="E7:E15" si="0">MIN(C7,D7)</f>
        <v>0</v>
      </c>
      <c r="F7" s="156">
        <f t="shared" ref="F7:F15" si="1">E7*B7</f>
        <v>0</v>
      </c>
      <c r="G7" s="156">
        <f>F7*(100%-'Données projet'!$C$24)*(100%-'Données projet'!$C$25)*(100%-'Données projet'!$C$26)*(100%-'Données projet'!$C$27)</f>
        <v>0</v>
      </c>
      <c r="H7" s="164">
        <f>IF(OR('Données projet'!B10="",'Données projet'!C10="",'Données projet'!C10=0%),0,AVERAGE(Calculateur!$AX$3:$AX$33)*B7)</f>
        <v>0</v>
      </c>
      <c r="I7" s="158">
        <f>H7*(100%-'Données projet'!$C$24)*(100%-'Données projet'!$C$25)*(100%-'Données projet'!$C$26)*(100%-'Données projet'!$C$27)</f>
        <v>0</v>
      </c>
      <c r="J7" s="159">
        <f>IF(OR('Données projet'!B10="",'Données projet'!C10="",'Données projet'!C10=0%),0,SUM(Calculateur!$AQ$3:$AQ$33)*VLOOKUP('Données projet'!$B$10,Paramètres!$A$1:$I$89,9,0)*B7)</f>
        <v>0</v>
      </c>
      <c r="K7" s="160">
        <f>J7*(100%-'Données projet'!$C$24)*(100%-'Données projet'!$C$25)*(100%-'Données projet'!$C$26)*(100%-'Données projet'!$C$27)</f>
        <v>0</v>
      </c>
      <c r="L7" s="161">
        <f t="shared" ref="L7:L15" si="2">G7+I7+K7</f>
        <v>0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3">
      <c r="A8" s="162" t="str">
        <f>IF('Données projet'!$B$11="","",'Données projet'!$B$11)</f>
        <v/>
      </c>
      <c r="B8" s="163">
        <f>'Données projet'!D11</f>
        <v>0</v>
      </c>
      <c r="C8" s="156">
        <f>IF(OR('Données projet'!B11="",'Données projet'!C11="",'Données projet'!C11=0%),0,Calculateur!BI3)</f>
        <v>0</v>
      </c>
      <c r="D8" s="156">
        <f>IF(OR('Données projet'!B11="",'Données projet'!C11="",'Données projet'!C11=0%),0,Calculateur!BJ3)</f>
        <v>0</v>
      </c>
      <c r="E8" s="156">
        <f t="shared" si="0"/>
        <v>0</v>
      </c>
      <c r="F8" s="156">
        <f t="shared" si="1"/>
        <v>0</v>
      </c>
      <c r="G8" s="156">
        <f>F8*(100%-'Données projet'!$C$24)*(100%-'Données projet'!$C$25)*(100%-'Données projet'!$C$26)*(100%-'Données projet'!$C$27)</f>
        <v>0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0</v>
      </c>
      <c r="K8" s="160">
        <f>J8*(100%-'Données projet'!$C$24)*(100%-'Données projet'!$C$25)*(100%-'Données projet'!$C$26)*(100%-'Données projet'!$C$27)</f>
        <v>0</v>
      </c>
      <c r="L8" s="161">
        <f t="shared" si="2"/>
        <v>0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3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3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3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3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3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3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" thickBot="1" x14ac:dyDescent="0.35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" thickBot="1" x14ac:dyDescent="0.35">
      <c r="A16" s="226"/>
      <c r="B16" s="233"/>
      <c r="C16" s="234"/>
      <c r="D16" s="25"/>
      <c r="E16" s="25"/>
      <c r="F16" s="174">
        <f t="shared" ref="F16:L16" ca="1" si="3">SUM(F6:F15)</f>
        <v>386.85410464004991</v>
      </c>
      <c r="G16" s="175">
        <f t="shared" ca="1" si="3"/>
        <v>348.16869417604494</v>
      </c>
      <c r="H16" s="176">
        <f t="shared" si="3"/>
        <v>15.68992977519496</v>
      </c>
      <c r="I16" s="176">
        <f t="shared" si="3"/>
        <v>14.120936797675464</v>
      </c>
      <c r="J16" s="177">
        <f t="shared" si="3"/>
        <v>127.89648299999999</v>
      </c>
      <c r="K16" s="177">
        <f t="shared" si="3"/>
        <v>115.10683469999999</v>
      </c>
      <c r="L16" s="178">
        <f t="shared" ca="1" si="3"/>
        <v>477.3964656737204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3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3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3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" thickBot="1" x14ac:dyDescent="0.35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" thickBot="1" x14ac:dyDescent="0.35">
      <c r="A21" s="179" t="str">
        <f>A6</f>
        <v>Pin maritime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3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3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3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3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3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3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3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3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3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3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3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3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3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3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3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3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" thickBot="1" x14ac:dyDescent="0.35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" thickBot="1" x14ac:dyDescent="0.35">
      <c r="A39" s="179" t="str">
        <f>A7</f>
        <v/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3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3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3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3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3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3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3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3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3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3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3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3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3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3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3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3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" thickBot="1" x14ac:dyDescent="0.35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" thickBot="1" x14ac:dyDescent="0.35">
      <c r="A57" s="179" t="str">
        <f>A8</f>
        <v/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3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3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3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3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3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3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3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3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3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3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3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3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3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3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3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3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3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" thickBot="1" x14ac:dyDescent="0.35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" thickBot="1" x14ac:dyDescent="0.35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3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3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3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3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3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3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3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3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3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3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3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3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3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3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3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3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" thickBot="1" x14ac:dyDescent="0.35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" thickBot="1" x14ac:dyDescent="0.35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3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3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3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3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3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3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3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3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3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3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3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3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3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3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3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3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" thickBot="1" x14ac:dyDescent="0.35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" thickBot="1" x14ac:dyDescent="0.35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3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3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3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3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3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3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3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3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3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3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3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3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3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3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3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3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" thickBot="1" x14ac:dyDescent="0.35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" thickBot="1" x14ac:dyDescent="0.35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3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3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3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3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3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3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3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3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3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3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3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3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3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3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3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3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" thickBot="1" x14ac:dyDescent="0.35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" thickBot="1" x14ac:dyDescent="0.35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3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3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3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3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3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3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3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3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3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3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3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3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3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3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3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3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" thickBot="1" x14ac:dyDescent="0.35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" thickBot="1" x14ac:dyDescent="0.35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3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3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3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3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3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3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3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3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3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3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3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3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3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3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3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3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" thickBot="1" x14ac:dyDescent="0.35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" thickBot="1" x14ac:dyDescent="0.35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3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3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3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3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3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3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3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3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3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3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3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3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3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3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3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3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3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3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3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3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3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3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3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3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3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3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3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3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3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3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3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3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3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3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3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3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3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3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3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3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3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3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3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3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3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3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3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3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3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3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3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3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3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3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3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3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3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3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3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3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3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3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3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3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3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3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3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3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3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3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3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3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3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3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3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3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3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3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3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3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3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3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3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3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3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3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3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3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3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3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3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3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3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3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3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3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3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3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3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3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3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3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3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3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3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3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3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3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3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3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3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3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3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3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3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3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3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3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3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3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3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3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3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3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3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3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3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3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3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3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3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3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3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3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3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3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3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3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3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3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3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3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3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3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3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3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3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3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3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3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3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3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3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3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3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3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3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3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3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3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3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3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3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3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3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3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3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3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3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3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3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3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3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6"/>
  <dimension ref="A1:BL552"/>
  <sheetViews>
    <sheetView topLeftCell="G7" zoomScale="80" zoomScaleNormal="80" workbookViewId="0">
      <selection activeCell="J23" sqref="J23"/>
    </sheetView>
  </sheetViews>
  <sheetFormatPr baseColWidth="10" defaultColWidth="11.44140625" defaultRowHeight="14.4" x14ac:dyDescent="0.3"/>
  <cols>
    <col min="1" max="1" width="11.44140625" style="1"/>
    <col min="2" max="2" width="30.88671875" style="1" bestFit="1" customWidth="1"/>
    <col min="3" max="3" width="18.109375" style="1" bestFit="1" customWidth="1"/>
    <col min="4" max="5" width="11.44140625" style="1"/>
    <col min="6" max="6" width="14" style="3" customWidth="1"/>
    <col min="7" max="7" width="17.5546875" style="3" customWidth="1"/>
    <col min="8" max="8" width="21.6640625" style="1" customWidth="1"/>
    <col min="9" max="9" width="37" style="1" customWidth="1"/>
    <col min="10" max="10" width="11.44140625" style="1"/>
    <col min="11" max="11" width="8.886718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88671875" style="1" customWidth="1"/>
    <col min="23" max="16384" width="11.44140625" style="1"/>
  </cols>
  <sheetData>
    <row r="1" spans="1:42" ht="15" thickBot="1" x14ac:dyDescent="0.35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6.4" thickBot="1" x14ac:dyDescent="0.55000000000000004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3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3">
      <c r="A4" s="99"/>
      <c r="B4" s="99"/>
      <c r="C4" s="99"/>
      <c r="D4" s="99"/>
      <c r="E4" s="99"/>
      <c r="G4" s="180"/>
      <c r="H4" s="340" t="s">
        <v>315</v>
      </c>
      <c r="I4" s="340"/>
      <c r="K4" s="337" t="s">
        <v>253</v>
      </c>
      <c r="L4" s="338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3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" thickBot="1" x14ac:dyDescent="0.35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55000000000000004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29" t="s">
        <v>310</v>
      </c>
      <c r="S7" s="330"/>
      <c r="T7" s="330"/>
      <c r="U7" s="330"/>
      <c r="V7" s="331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3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3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3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Pin maritime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576.48733107060434</v>
      </c>
      <c r="U10" s="190">
        <f>'Données projet'!D9</f>
        <v>1.5159</v>
      </c>
      <c r="V10" s="189">
        <f>U10*T10</f>
        <v>873.8971451699291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3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/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90">
        <f>'Données projet'!D10</f>
        <v>0</v>
      </c>
      <c r="V11" s="189">
        <f t="shared" ref="V11" si="0">U11*T11</f>
        <v>0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3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/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90">
        <f>'Données projet'!D11</f>
        <v>0</v>
      </c>
      <c r="V12" s="189">
        <f t="shared" ref="V12:V19" si="1">U12*T12</f>
        <v>0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3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3">
      <c r="A14" s="49" t="s">
        <v>165</v>
      </c>
      <c r="B14" s="186" t="str">
        <f>IF('Données projet'!$B$9="","",'Données projet'!$B$9)</f>
        <v>Pin maritime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3">
      <c r="A15" s="5"/>
      <c r="B15" s="5"/>
      <c r="C15" s="5"/>
      <c r="D15" s="5"/>
      <c r="E15" s="5"/>
      <c r="F15" s="261"/>
      <c r="G15" s="341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3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41"/>
      <c r="H16" s="203"/>
      <c r="I16" s="204"/>
      <c r="J16" s="216"/>
      <c r="K16" s="225"/>
      <c r="L16" s="337" t="s">
        <v>254</v>
      </c>
      <c r="M16" s="338"/>
      <c r="N16" s="2">
        <v>100</v>
      </c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3">
      <c r="A17" s="210">
        <v>0</v>
      </c>
      <c r="B17" s="213" t="s">
        <v>132</v>
      </c>
      <c r="C17" s="212" t="s">
        <v>132</v>
      </c>
      <c r="D17" s="211" t="s">
        <v>132</v>
      </c>
      <c r="E17" s="206">
        <v>1233</v>
      </c>
      <c r="F17" s="261"/>
      <c r="G17" s="341"/>
      <c r="J17" s="216"/>
      <c r="K17" s="225"/>
      <c r="L17" s="295" t="s">
        <v>289</v>
      </c>
      <c r="M17" s="297"/>
      <c r="N17" s="187">
        <f>VLOOKUP(N16,Calculateur!$A$2:$H$153,3,0)/VLOOKUP('Scénario référence'!$G$15,Paramètres!A1:I89,3,0)/VLOOKUP('Scénario référence'!$G$15,Paramètres!A1:I89,5,0)</f>
        <v>99.999999999999957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3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41"/>
      <c r="J18" s="216"/>
      <c r="K18" s="225"/>
      <c r="L18" s="295" t="s">
        <v>255</v>
      </c>
      <c r="M18" s="297"/>
      <c r="N18" s="205">
        <v>20</v>
      </c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3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41"/>
      <c r="H19" s="232" t="s">
        <v>178</v>
      </c>
      <c r="I19" s="232" t="s">
        <v>287</v>
      </c>
      <c r="J19" s="260"/>
      <c r="K19" s="183"/>
      <c r="L19" s="337" t="s">
        <v>288</v>
      </c>
      <c r="M19" s="338"/>
      <c r="N19" s="191">
        <f>N17*N18</f>
        <v>1999.9999999999991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3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41"/>
      <c r="H20" s="203">
        <v>1</v>
      </c>
      <c r="I20" s="204">
        <f>1100+(70/1.63)+150+(300/1.63)+(936/1.63)+(75/1.63)+(292.5/1.63)+250</f>
        <v>2526.687116564417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3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>
        <v>2</v>
      </c>
      <c r="I21" s="204">
        <v>450</v>
      </c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3">
      <c r="A22" s="210">
        <v>5</v>
      </c>
      <c r="B22" s="213" t="s">
        <v>132</v>
      </c>
      <c r="C22" s="212" t="s">
        <v>132</v>
      </c>
      <c r="D22" s="211" t="s">
        <v>132</v>
      </c>
      <c r="E22" s="206"/>
      <c r="F22" s="261"/>
      <c r="H22" s="203">
        <v>3</v>
      </c>
      <c r="I22" s="204">
        <v>550</v>
      </c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3">
      <c r="A23" s="192">
        <f>'Données projet'!A36</f>
        <v>12</v>
      </c>
      <c r="B23" s="193">
        <f>'Données projet'!D36</f>
        <v>0</v>
      </c>
      <c r="C23" s="206"/>
      <c r="D23" s="194">
        <f>B23*C23</f>
        <v>0</v>
      </c>
      <c r="E23" s="206"/>
      <c r="F23" s="261"/>
      <c r="H23" s="203">
        <v>4</v>
      </c>
      <c r="I23" s="204">
        <v>600</v>
      </c>
      <c r="K23" s="225"/>
      <c r="L23" s="339" t="s">
        <v>260</v>
      </c>
      <c r="M23" s="339"/>
      <c r="N23" s="339"/>
      <c r="O23" s="25"/>
      <c r="P23" s="25"/>
      <c r="Q23" s="265"/>
      <c r="R23" s="25"/>
      <c r="S23" s="185" t="s">
        <v>264</v>
      </c>
      <c r="T23" s="334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-5344.6519989909311</v>
      </c>
      <c r="U23" s="334"/>
      <c r="V23" s="334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3">
      <c r="A24" s="192">
        <f>'Données projet'!A37</f>
        <v>16</v>
      </c>
      <c r="B24" s="193">
        <f>'Données projet'!D37</f>
        <v>25</v>
      </c>
      <c r="C24" s="206">
        <v>5</v>
      </c>
      <c r="D24" s="194">
        <f t="shared" ref="D24:D42" si="2">B24*C24</f>
        <v>125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35">
        <f ca="1">'Scénario référence'!$B$8*$M$30*'Données projet'!$C$5+('Scénario référence'!B9+'Scénario référence'!B10+'Scénario référence'!F8+'Scénario référence'!F9)*$N$19/(1+M4)^N16*'Données projet'!$C$5</f>
        <v>39.956602701386139</v>
      </c>
      <c r="U24" s="335"/>
      <c r="V24" s="33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3">
      <c r="A25" s="192">
        <f>'Données projet'!A38</f>
        <v>20</v>
      </c>
      <c r="B25" s="193">
        <f>'Données projet'!D38</f>
        <v>34</v>
      </c>
      <c r="C25" s="206">
        <v>5</v>
      </c>
      <c r="D25" s="194">
        <f t="shared" si="2"/>
        <v>170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/>
      <c r="Q25" s="265"/>
      <c r="R25" s="25"/>
      <c r="S25" s="198" t="s">
        <v>266</v>
      </c>
      <c r="T25" s="336">
        <f ca="1">T23-T24</f>
        <v>-5384.6086016923173</v>
      </c>
      <c r="U25" s="336"/>
      <c r="V25" s="336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3">
      <c r="A26" s="192">
        <f>'Données projet'!A39</f>
        <v>24</v>
      </c>
      <c r="B26" s="193">
        <f>'Données projet'!D39</f>
        <v>43</v>
      </c>
      <c r="C26" s="206">
        <v>15</v>
      </c>
      <c r="D26" s="194">
        <f t="shared" si="2"/>
        <v>645</v>
      </c>
      <c r="E26" s="206"/>
      <c r="F26" s="264"/>
      <c r="G26" s="259"/>
      <c r="H26" s="203"/>
      <c r="I26" s="204"/>
      <c r="K26" s="225"/>
      <c r="L26" s="323" t="s">
        <v>258</v>
      </c>
      <c r="M26" s="324"/>
      <c r="N26" s="324"/>
      <c r="O26" s="324"/>
      <c r="P26" s="325"/>
      <c r="Q26" s="265"/>
      <c r="R26" s="25"/>
      <c r="S26" s="198" t="s">
        <v>265</v>
      </c>
      <c r="T26" s="333" t="str">
        <f ca="1">IF(T25&lt;0,"Votre projet est additionnel","Votre projet n'est pas additionnel")</f>
        <v>Votre projet est additionnel</v>
      </c>
      <c r="U26" s="333"/>
      <c r="V26" s="333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3">
      <c r="A27" s="192">
        <f>'Données projet'!A40</f>
        <v>28</v>
      </c>
      <c r="B27" s="193">
        <f>'Données projet'!D40</f>
        <v>41</v>
      </c>
      <c r="C27" s="206">
        <v>15</v>
      </c>
      <c r="D27" s="194">
        <f t="shared" si="2"/>
        <v>615</v>
      </c>
      <c r="E27" s="206"/>
      <c r="F27" s="264"/>
      <c r="G27" s="259"/>
      <c r="H27" s="203"/>
      <c r="I27" s="204"/>
      <c r="K27" s="225"/>
      <c r="L27" s="326"/>
      <c r="M27" s="327"/>
      <c r="N27" s="327"/>
      <c r="O27" s="327"/>
      <c r="P27" s="328"/>
      <c r="Q27" s="265"/>
      <c r="R27" s="25"/>
      <c r="S27" s="332" t="s">
        <v>267</v>
      </c>
      <c r="T27" s="332"/>
      <c r="U27" s="332"/>
      <c r="V27" s="332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3">
      <c r="A28" s="192">
        <f>'Données projet'!A41</f>
        <v>34</v>
      </c>
      <c r="B28" s="193">
        <f>'Données projet'!D41</f>
        <v>60</v>
      </c>
      <c r="C28" s="206">
        <v>20</v>
      </c>
      <c r="D28" s="194">
        <f t="shared" si="2"/>
        <v>1200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3">
      <c r="A29" s="192">
        <f>'Données projet'!A42</f>
        <v>40</v>
      </c>
      <c r="B29" s="193">
        <f>'Données projet'!D42</f>
        <v>34</v>
      </c>
      <c r="C29" s="206">
        <v>20</v>
      </c>
      <c r="D29" s="194">
        <f t="shared" si="2"/>
        <v>680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3">
      <c r="A30" s="192">
        <f>'Données projet'!A43</f>
        <v>46</v>
      </c>
      <c r="B30" s="193">
        <f>'Données projet'!D43</f>
        <v>21</v>
      </c>
      <c r="C30" s="206">
        <v>20</v>
      </c>
      <c r="D30" s="194">
        <f t="shared" si="2"/>
        <v>420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3">
      <c r="A31" s="192">
        <f>'Données projet'!A44</f>
        <v>54</v>
      </c>
      <c r="B31" s="193">
        <f>'Données projet'!D44</f>
        <v>17</v>
      </c>
      <c r="C31" s="206">
        <v>20</v>
      </c>
      <c r="D31" s="194">
        <f t="shared" si="2"/>
        <v>340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3">
      <c r="A32" s="192">
        <f>'Données projet'!A45</f>
        <v>62</v>
      </c>
      <c r="B32" s="193">
        <f>'Données projet'!D45</f>
        <v>409</v>
      </c>
      <c r="C32" s="206">
        <v>30</v>
      </c>
      <c r="D32" s="194">
        <f t="shared" si="2"/>
        <v>12270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3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3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3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3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3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3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3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3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3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3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3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3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3">
      <c r="A45" s="49" t="s">
        <v>166</v>
      </c>
      <c r="B45" s="186" t="str">
        <f>IF('Données projet'!$B$10="","",'Données projet'!$B$10)</f>
        <v/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3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3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3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3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3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3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3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3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3">
      <c r="A54" s="192">
        <f>'Données projet'!A62</f>
        <v>0</v>
      </c>
      <c r="B54" s="193">
        <f>'Données projet'!D62</f>
        <v>0</v>
      </c>
      <c r="C54" s="204"/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3">
      <c r="A55" s="192">
        <f>'Données projet'!A63</f>
        <v>0</v>
      </c>
      <c r="B55" s="193">
        <f>'Données projet'!D63</f>
        <v>0</v>
      </c>
      <c r="C55" s="204"/>
      <c r="D55" s="191">
        <f t="shared" ref="D55:D73" si="4">B55*C55</f>
        <v>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3">
      <c r="A56" s="192">
        <f>'Données projet'!A64</f>
        <v>0</v>
      </c>
      <c r="B56" s="193">
        <f>'Données projet'!D64</f>
        <v>0</v>
      </c>
      <c r="C56" s="204"/>
      <c r="D56" s="191">
        <f t="shared" si="4"/>
        <v>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3">
      <c r="A57" s="192">
        <f>'Données projet'!A65</f>
        <v>0</v>
      </c>
      <c r="B57" s="193">
        <f>'Données projet'!D65</f>
        <v>0</v>
      </c>
      <c r="C57" s="204"/>
      <c r="D57" s="191">
        <f t="shared" si="4"/>
        <v>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3">
      <c r="A58" s="192">
        <f>'Données projet'!A66</f>
        <v>0</v>
      </c>
      <c r="B58" s="193">
        <f>'Données projet'!D66</f>
        <v>0</v>
      </c>
      <c r="C58" s="204"/>
      <c r="D58" s="191">
        <f t="shared" si="4"/>
        <v>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3">
      <c r="A59" s="192">
        <f>'Données projet'!A67</f>
        <v>0</v>
      </c>
      <c r="B59" s="193">
        <f>'Données projet'!D67</f>
        <v>0</v>
      </c>
      <c r="C59" s="204"/>
      <c r="D59" s="191">
        <f t="shared" si="4"/>
        <v>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3">
      <c r="A60" s="192">
        <f>'Données projet'!A68</f>
        <v>0</v>
      </c>
      <c r="B60" s="193">
        <f>'Données projet'!D68</f>
        <v>0</v>
      </c>
      <c r="C60" s="204"/>
      <c r="D60" s="191">
        <f t="shared" si="4"/>
        <v>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3">
      <c r="A61" s="192">
        <f>'Données projet'!A69</f>
        <v>0</v>
      </c>
      <c r="B61" s="193">
        <f>'Données projet'!D69</f>
        <v>0</v>
      </c>
      <c r="C61" s="204"/>
      <c r="D61" s="191">
        <f t="shared" si="4"/>
        <v>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3">
      <c r="A62" s="192">
        <f>'Données projet'!A70</f>
        <v>0</v>
      </c>
      <c r="B62" s="193">
        <f>'Données projet'!D70</f>
        <v>0</v>
      </c>
      <c r="C62" s="204"/>
      <c r="D62" s="191">
        <f t="shared" si="4"/>
        <v>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3">
      <c r="A63" s="192">
        <f>'Données projet'!A71</f>
        <v>0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3">
      <c r="A64" s="192">
        <f>'Données projet'!A72</f>
        <v>0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3"/>
        <v>0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3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5">$P$25/(1+$M$4)^O65</f>
        <v>0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3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5"/>
        <v>0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3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5"/>
        <v>0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3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>
        <f>IF(O67+1&lt;=MIN('Données projet'!$E$9:$E$18),O67+1,"STOP")</f>
        <v>35</v>
      </c>
      <c r="P68" s="197">
        <f t="shared" si="5"/>
        <v>0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3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>
        <f>IF(O68+1&lt;=MIN('Données projet'!$E$9:$E$18),O68+1,"STOP")</f>
        <v>36</v>
      </c>
      <c r="P69" s="197">
        <f t="shared" si="5"/>
        <v>0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3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>
        <f>IF(O69+1&lt;=MIN('Données projet'!$E$9:$E$18),O69+1,"STOP")</f>
        <v>37</v>
      </c>
      <c r="P70" s="197">
        <f t="shared" si="5"/>
        <v>0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3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>
        <f>IF(O70+1&lt;=MIN('Données projet'!$E$9:$E$18),O70+1,"STOP")</f>
        <v>38</v>
      </c>
      <c r="P71" s="197">
        <f t="shared" si="5"/>
        <v>0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3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>
        <f>IF(O71+1&lt;=MIN('Données projet'!$E$9:$E$18),O71+1,"STOP")</f>
        <v>39</v>
      </c>
      <c r="P72" s="197">
        <f t="shared" si="5"/>
        <v>0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3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>
        <f>IF(O72+1&lt;=MIN('Données projet'!$E$9:$E$18),O72+1,"STOP")</f>
        <v>40</v>
      </c>
      <c r="P73" s="197">
        <f t="shared" si="5"/>
        <v>0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3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>
        <f>IF(O73+1&lt;=MIN('Données projet'!$E$9:$E$18),O73+1,"STOP")</f>
        <v>41</v>
      </c>
      <c r="P74" s="197">
        <f t="shared" si="5"/>
        <v>0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3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>
        <f>IF(O74+1&lt;=MIN('Données projet'!$E$9:$E$18),O74+1,"STOP")</f>
        <v>42</v>
      </c>
      <c r="P75" s="197">
        <f t="shared" si="5"/>
        <v>0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3">
      <c r="A76" s="49" t="s">
        <v>167</v>
      </c>
      <c r="B76" s="186" t="str">
        <f>IF('Données projet'!B11="","",'Données projet'!B11)</f>
        <v/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>
        <f>IF(O75+1&lt;=MIN('Données projet'!$E$9:$E$18),O75+1,"STOP")</f>
        <v>43</v>
      </c>
      <c r="P76" s="197">
        <f t="shared" si="5"/>
        <v>0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3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>
        <f>IF(O76+1&lt;=MIN('Données projet'!$E$9:$E$18),O76+1,"STOP")</f>
        <v>44</v>
      </c>
      <c r="P77" s="197">
        <f t="shared" si="5"/>
        <v>0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3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>
        <f>IF(O77+1&lt;=MIN('Données projet'!$E$9:$E$18),O77+1,"STOP")</f>
        <v>45</v>
      </c>
      <c r="P78" s="197">
        <f t="shared" si="5"/>
        <v>0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3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>
        <f>IF(O78+1&lt;=MIN('Données projet'!$E$9:$E$18),O78+1,"STOP")</f>
        <v>46</v>
      </c>
      <c r="P79" s="197">
        <f t="shared" si="5"/>
        <v>0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3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>
        <f>IF(O79+1&lt;=MIN('Données projet'!$E$9:$E$18),O79+1,"STOP")</f>
        <v>47</v>
      </c>
      <c r="P80" s="197">
        <f t="shared" si="5"/>
        <v>0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3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>
        <f>IF(O80+1&lt;=MIN('Données projet'!$E$9:$E$18),O80+1,"STOP")</f>
        <v>48</v>
      </c>
      <c r="P81" s="197">
        <f t="shared" si="5"/>
        <v>0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3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>
        <f>IF(O81+1&lt;=MIN('Données projet'!$E$9:$E$18),O81+1,"STOP")</f>
        <v>49</v>
      </c>
      <c r="P82" s="197">
        <f t="shared" si="5"/>
        <v>0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3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>
        <f>IF(O82+1&lt;=MIN('Données projet'!$E$9:$E$18),O82+1,"STOP")</f>
        <v>50</v>
      </c>
      <c r="P83" s="197">
        <f t="shared" si="5"/>
        <v>0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3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>
        <f>IF(O83+1&lt;=MIN('Données projet'!$E$9:$E$18),O83+1,"STOP")</f>
        <v>51</v>
      </c>
      <c r="P84" s="197">
        <f t="shared" si="5"/>
        <v>0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3">
      <c r="A85" s="192">
        <f>'Données projet'!A88</f>
        <v>0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>
        <f>IF(O84+1&lt;=MIN('Données projet'!$E$9:$E$18),O84+1,"STOP")</f>
        <v>52</v>
      </c>
      <c r="P85" s="197">
        <f t="shared" si="5"/>
        <v>0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3">
      <c r="A86" s="192">
        <f>'Données projet'!A89</f>
        <v>0</v>
      </c>
      <c r="B86" s="193">
        <f>'Données projet'!D89</f>
        <v>0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>
        <f>IF(O85+1&lt;=MIN('Données projet'!$E$9:$E$18),O85+1,"STOP")</f>
        <v>53</v>
      </c>
      <c r="P86" s="197">
        <f t="shared" si="5"/>
        <v>0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3">
      <c r="A87" s="192">
        <f>'Données projet'!A90</f>
        <v>0</v>
      </c>
      <c r="B87" s="193">
        <f>'Données projet'!D90</f>
        <v>0</v>
      </c>
      <c r="C87" s="204"/>
      <c r="D87" s="191">
        <f t="shared" si="6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>
        <f>IF(O86+1&lt;=MIN('Données projet'!$E$9:$E$18),O86+1,"STOP")</f>
        <v>54</v>
      </c>
      <c r="P87" s="197">
        <f t="shared" si="5"/>
        <v>0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3">
      <c r="A88" s="192">
        <f>'Données projet'!A91</f>
        <v>0</v>
      </c>
      <c r="B88" s="193">
        <f>'Données projet'!D91</f>
        <v>0</v>
      </c>
      <c r="C88" s="204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>
        <f>IF(O87+1&lt;=MIN('Données projet'!$E$9:$E$18),O87+1,"STOP")</f>
        <v>55</v>
      </c>
      <c r="P88" s="197">
        <f t="shared" si="5"/>
        <v>0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3">
      <c r="A89" s="192">
        <f>'Données projet'!A92</f>
        <v>0</v>
      </c>
      <c r="B89" s="193">
        <f>'Données projet'!D92</f>
        <v>0</v>
      </c>
      <c r="C89" s="204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>
        <f>IF(O88+1&lt;=MIN('Données projet'!$E$9:$E$18),O88+1,"STOP")</f>
        <v>56</v>
      </c>
      <c r="P89" s="197">
        <f t="shared" si="5"/>
        <v>0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3">
      <c r="A90" s="192">
        <f>'Données projet'!A93</f>
        <v>0</v>
      </c>
      <c r="B90" s="193">
        <f>'Données projet'!D93</f>
        <v>0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>
        <f>IF(O89+1&lt;=MIN('Données projet'!$E$9:$E$18),O89+1,"STOP")</f>
        <v>57</v>
      </c>
      <c r="P90" s="197">
        <f t="shared" si="5"/>
        <v>0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3">
      <c r="A91" s="192">
        <f>'Données projet'!A94</f>
        <v>0</v>
      </c>
      <c r="B91" s="193">
        <f>'Données projet'!D94</f>
        <v>0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>
        <f>IF(O90+1&lt;=MIN('Données projet'!$E$9:$E$18),O90+1,"STOP")</f>
        <v>58</v>
      </c>
      <c r="P91" s="197">
        <f t="shared" si="5"/>
        <v>0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3">
      <c r="A92" s="192">
        <f>'Données projet'!A95</f>
        <v>0</v>
      </c>
      <c r="B92" s="193">
        <f>'Données projet'!D95</f>
        <v>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>
        <f>IF(O91+1&lt;=MIN('Données projet'!$E$9:$E$18),O91+1,"STOP")</f>
        <v>59</v>
      </c>
      <c r="P92" s="197">
        <f t="shared" si="5"/>
        <v>0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3">
      <c r="A93" s="192">
        <f>'Données projet'!A96</f>
        <v>0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>
        <f>IF(O92+1&lt;=MIN('Données projet'!$E$9:$E$18),O92+1,"STOP")</f>
        <v>60</v>
      </c>
      <c r="P93" s="197">
        <f t="shared" si="5"/>
        <v>0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3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>
        <f>IF(O93+1&lt;=MIN('Données projet'!$E$9:$E$18),O93+1,"STOP")</f>
        <v>61</v>
      </c>
      <c r="P94" s="197">
        <f t="shared" si="5"/>
        <v>0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3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>
        <f>IF(O94+1&lt;=MIN('Données projet'!$E$9:$E$18),O94+1,"STOP")</f>
        <v>62</v>
      </c>
      <c r="P95" s="197">
        <f t="shared" si="5"/>
        <v>0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3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str">
        <f>IF(O95+1&lt;=MIN('Données projet'!$E$9:$E$18),O95+1,"STOP")</f>
        <v>STOP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3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3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3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3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3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3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3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3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3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3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3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3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3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3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3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3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3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3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3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3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3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3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3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3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3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3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3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3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3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3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3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3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3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3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3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3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3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3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3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3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3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3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3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3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3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3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3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3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3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3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3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3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3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3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3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3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3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3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3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3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3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3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3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3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3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3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3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3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3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3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3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3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3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3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3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3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3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3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3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3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3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3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3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3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3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3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3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3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3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3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3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3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3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3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3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3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3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3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3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3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3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3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3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3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3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3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3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3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3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3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3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3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3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3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3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3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3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3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3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3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3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3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3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3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3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3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3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3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3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3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3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3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3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3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3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3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3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3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3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3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3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3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3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3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3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3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3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3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3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3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3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3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3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3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3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3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3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3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3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3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3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3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3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3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3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3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3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3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3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3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3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3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3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3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3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3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3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3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3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3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3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3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3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3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3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3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3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3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3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3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3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3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3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3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3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3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3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3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3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3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3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3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3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3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3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3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3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3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3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3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3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3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3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3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3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3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3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3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3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3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3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3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3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3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3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3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3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3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3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3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3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3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3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3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3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3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3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3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3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3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3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3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3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3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3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3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3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3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3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3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3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3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3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3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3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3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3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3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3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3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3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3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3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3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3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3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3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3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3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3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3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3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3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3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3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3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3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3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3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3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3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3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3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3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3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3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3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3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3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3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3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3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3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3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3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3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3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3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3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3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3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3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3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3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3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3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3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3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3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3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3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3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3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3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3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3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3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3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3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3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3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3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3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3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3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3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3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3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3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3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3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3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3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3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3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3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3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3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3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3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3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3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3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3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3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3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3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3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3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3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3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3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3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3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3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3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3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3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3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3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3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3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3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3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3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3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3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3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3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3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3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3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3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3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3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3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3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3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3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3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3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3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3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3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3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3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3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3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3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3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3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3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3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3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3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3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3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3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3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3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3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3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3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3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3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3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3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3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3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3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3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3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3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3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3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3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3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3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3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3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3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3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3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3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3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3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3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3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3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3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3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3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3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3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3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3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3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3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3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3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3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3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3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3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3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3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3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3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3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3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3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3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3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3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3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3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Florence HEUSCHMIDT</cp:lastModifiedBy>
  <dcterms:created xsi:type="dcterms:W3CDTF">2021-02-01T08:22:39Z</dcterms:created>
  <dcterms:modified xsi:type="dcterms:W3CDTF">2022-04-20T07:51:24Z</dcterms:modified>
</cp:coreProperties>
</file>