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9D523879-C47B-4F9B-A3F9-B40A2F049ED7}" xr6:coauthVersionLast="45" xr6:coauthVersionMax="46" xr10:uidLastSave="{00000000-0000-0000-0000-000000000000}"/>
  <bookViews>
    <workbookView xWindow="-120" yWindow="-120" windowWidth="20730" windowHeight="11160" tabRatio="815" firstSheet="1" activeTab="2" xr2:uid="{00000000-000D-0000-FFFF-FFFF00000000}"/>
  </bookViews>
  <sheets>
    <sheet name="Référencement" sheetId="2" state="hidden" r:id="rId1"/>
    <sheet name="VAN LBC - Total" sheetId="1" r:id="rId2"/>
    <sheet name="Calcul VAN" sheetId="26" r:id="rId3"/>
  </sheets>
  <externalReferences>
    <externalReference r:id="rId4"/>
  </externalReferences>
  <definedNames>
    <definedName name="_xlnm._FilterDatabase" localSheetId="2" hidden="1">'Calcul VAN'!$A$11:$Q$53</definedName>
    <definedName name="AccPS">'[1]REA-PIN-NOIR-Fert2'!$C$58</definedName>
    <definedName name="Ci">#REF!</definedName>
    <definedName name="CS_BE">'[1]REA-PIN-NOIR-Fert2'!$B$48</definedName>
    <definedName name="CS_BIPAP">'[1]REA-PIN-NOIR-Fert2'!$B$47</definedName>
    <definedName name="CS_BIPX">'[1]REA-PIN-NOIR-Fert2'!$B$46</definedName>
    <definedName name="CS_BO">'[1]REA-PIN-NOIR-Fert2'!$B$45</definedName>
    <definedName name="CS_dyn_F2">#REF!</definedName>
    <definedName name="Ct">#REF!</definedName>
    <definedName name="n">#REF!</definedName>
    <definedName name="PA_F1">#REF!</definedName>
    <definedName name="PL_F2">#REF!</definedName>
    <definedName name="PO1_5" comment="Données Capsis">#REF!</definedName>
    <definedName name="r_">#REF!</definedName>
    <definedName name="R0">#REF!</definedName>
    <definedName name="Ri">#REF!</definedName>
    <definedName name="Rt">#REF!</definedName>
    <definedName name="S">'[1]REA-MODELE-agencePA'!$C$3</definedName>
    <definedName name="Srob">'[1]REA-MODELE-agencePA'!$C$31</definedName>
    <definedName name="t">#REF!</definedName>
    <definedName name="VANannuelle">#REF!</definedName>
    <definedName name="_xlnm.Print_Area" localSheetId="1">'VAN LBC - Total'!$A$1:$J$31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3" i="26" l="1"/>
  <c r="I52" i="26"/>
  <c r="I51" i="26"/>
  <c r="I50" i="26"/>
  <c r="I49" i="26"/>
  <c r="I48" i="26"/>
  <c r="I47" i="26"/>
  <c r="I44" i="26"/>
  <c r="I43" i="26"/>
  <c r="I41" i="26"/>
  <c r="I40" i="26"/>
  <c r="I38" i="26"/>
  <c r="I37" i="26"/>
  <c r="I36" i="26"/>
  <c r="I34" i="26"/>
  <c r="I33" i="26"/>
  <c r="I32" i="26"/>
  <c r="I30" i="26"/>
  <c r="I29" i="26"/>
  <c r="I28" i="26"/>
  <c r="I26" i="26"/>
  <c r="I25" i="26"/>
  <c r="I24" i="26"/>
  <c r="I23" i="26"/>
  <c r="I22" i="26"/>
  <c r="I21" i="26"/>
  <c r="I20" i="26"/>
  <c r="I19" i="26"/>
  <c r="I18" i="26"/>
  <c r="I17" i="26"/>
  <c r="I16" i="26"/>
  <c r="I15" i="26"/>
  <c r="D9" i="1" l="1"/>
  <c r="K42" i="26"/>
  <c r="N42" i="26" s="1"/>
  <c r="J31" i="26"/>
  <c r="K31" i="26" s="1"/>
  <c r="N31" i="26" s="1"/>
  <c r="J35" i="26"/>
  <c r="K35" i="26" s="1"/>
  <c r="N35" i="26" s="1"/>
  <c r="J39" i="26"/>
  <c r="K39" i="26" s="1"/>
  <c r="N39" i="26" s="1"/>
  <c r="J42" i="26"/>
  <c r="J45" i="26"/>
  <c r="K45" i="26" s="1"/>
  <c r="N45" i="26" s="1"/>
  <c r="J46" i="26"/>
  <c r="K46" i="26" s="1"/>
  <c r="N46" i="26" s="1"/>
  <c r="J27" i="26"/>
  <c r="K27" i="26" s="1"/>
  <c r="N27" i="26" s="1"/>
  <c r="K16" i="26" l="1"/>
  <c r="K17" i="26"/>
  <c r="N17" i="26" s="1"/>
  <c r="K19" i="26"/>
  <c r="K21" i="26"/>
  <c r="N21" i="26" s="1"/>
  <c r="K23" i="26"/>
  <c r="K25" i="26"/>
  <c r="N25" i="26" s="1"/>
  <c r="K29" i="26"/>
  <c r="N29" i="26" s="1"/>
  <c r="K34" i="26"/>
  <c r="N34" i="26" s="1"/>
  <c r="K15" i="26"/>
  <c r="N15" i="26" s="1"/>
  <c r="N16" i="26"/>
  <c r="N19" i="26"/>
  <c r="N23" i="26"/>
  <c r="J26" i="26" l="1"/>
  <c r="J30" i="26"/>
  <c r="J33" i="26"/>
  <c r="J36" i="26"/>
  <c r="J38" i="26"/>
  <c r="J41" i="26"/>
  <c r="J43" i="26"/>
  <c r="J44" i="26"/>
  <c r="J47" i="26"/>
  <c r="J48" i="26"/>
  <c r="J49" i="26"/>
  <c r="J50" i="26"/>
  <c r="J51" i="26"/>
  <c r="J52" i="26"/>
  <c r="J53" i="26"/>
  <c r="J20" i="26"/>
  <c r="J22" i="26"/>
  <c r="J24" i="26"/>
  <c r="J28" i="26"/>
  <c r="J32" i="26"/>
  <c r="J37" i="26"/>
  <c r="J40" i="26"/>
  <c r="J18" i="26"/>
  <c r="K20" i="26"/>
  <c r="N20" i="26" s="1"/>
  <c r="K22" i="26"/>
  <c r="N22" i="26" s="1"/>
  <c r="K24" i="26"/>
  <c r="N24" i="26" s="1"/>
  <c r="K28" i="26"/>
  <c r="N28" i="26" s="1"/>
  <c r="K32" i="26"/>
  <c r="N32" i="26" s="1"/>
  <c r="K37" i="26"/>
  <c r="N37" i="26" s="1"/>
  <c r="K40" i="26"/>
  <c r="N40" i="26" s="1"/>
  <c r="K53" i="26"/>
  <c r="N53" i="26" s="1"/>
  <c r="K18" i="26" l="1"/>
  <c r="N18" i="26" s="1"/>
  <c r="K49" i="26"/>
  <c r="N49" i="26" s="1"/>
  <c r="K43" i="26"/>
  <c r="N43" i="26" s="1"/>
  <c r="K33" i="26"/>
  <c r="N33" i="26" s="1"/>
  <c r="K52" i="26"/>
  <c r="N52" i="26" s="1"/>
  <c r="K48" i="26"/>
  <c r="N48" i="26" s="1"/>
  <c r="K41" i="26"/>
  <c r="N41" i="26" s="1"/>
  <c r="K30" i="26"/>
  <c r="N30" i="26" s="1"/>
  <c r="K51" i="26"/>
  <c r="N51" i="26" s="1"/>
  <c r="K47" i="26"/>
  <c r="N47" i="26" s="1"/>
  <c r="K38" i="26"/>
  <c r="N38" i="26" s="1"/>
  <c r="K26" i="26"/>
  <c r="N26" i="26" s="1"/>
  <c r="K44" i="26"/>
  <c r="N44" i="26" s="1"/>
  <c r="K36" i="26"/>
  <c r="N36" i="26" s="1"/>
  <c r="K50" i="26"/>
  <c r="N50" i="26" s="1"/>
  <c r="J13" i="26"/>
  <c r="K13" i="26" l="1"/>
  <c r="J14" i="26"/>
  <c r="B8" i="26"/>
  <c r="H25" i="1" l="1"/>
  <c r="C22" i="1" s="1"/>
  <c r="F9" i="1"/>
  <c r="D27" i="1"/>
  <c r="D29" i="1" s="1"/>
  <c r="Q12" i="26" l="1"/>
  <c r="Q13" i="26" s="1"/>
  <c r="Q14" i="26" s="1"/>
  <c r="Q15" i="26" s="1"/>
  <c r="Q16" i="26" s="1"/>
  <c r="Q17" i="26" s="1"/>
  <c r="Q18" i="26" s="1"/>
  <c r="Q19" i="26" s="1"/>
  <c r="Q20" i="26" s="1"/>
  <c r="Q21" i="26" s="1"/>
  <c r="Q22" i="26" s="1"/>
  <c r="Q23" i="26" s="1"/>
  <c r="Q24" i="26" s="1"/>
  <c r="Q25" i="26" s="1"/>
  <c r="Q26" i="26" s="1"/>
  <c r="Q27" i="26" s="1"/>
  <c r="Q28" i="26" s="1"/>
  <c r="Q29" i="26" s="1"/>
  <c r="Q30" i="26" s="1"/>
  <c r="Q31" i="26" s="1"/>
  <c r="Q32" i="26" s="1"/>
  <c r="Q33" i="26" s="1"/>
  <c r="Q34" i="26" s="1"/>
  <c r="Q35" i="26" s="1"/>
  <c r="Q36" i="26" s="1"/>
  <c r="Q37" i="26" s="1"/>
  <c r="Q38" i="26" s="1"/>
  <c r="Q39" i="26" s="1"/>
  <c r="Q40" i="26" s="1"/>
  <c r="Q41" i="26" s="1"/>
  <c r="Q42" i="26" s="1"/>
  <c r="Q43" i="26" s="1"/>
  <c r="Q44" i="26" s="1"/>
  <c r="Q45" i="26" s="1"/>
  <c r="Q46" i="26" s="1"/>
  <c r="Q47" i="26" s="1"/>
  <c r="Q48" i="26" s="1"/>
  <c r="Q49" i="26" s="1"/>
  <c r="Q50" i="26" s="1"/>
  <c r="Q51" i="26" s="1"/>
  <c r="Q52" i="26" s="1"/>
  <c r="Q53" i="26" s="1"/>
  <c r="D3" i="26" s="1"/>
  <c r="G22" i="1" s="1"/>
  <c r="J12" i="26" l="1"/>
  <c r="K12" i="26" s="1"/>
  <c r="D10" i="1" l="1"/>
  <c r="C15" i="1" l="1"/>
  <c r="I25" i="1" l="1"/>
  <c r="C16" i="1" s="1"/>
  <c r="G25" i="1" l="1"/>
  <c r="C17" i="1"/>
  <c r="C4" i="1" s="1"/>
</calcChain>
</file>

<file path=xl/sharedStrings.xml><?xml version="1.0" encoding="utf-8"?>
<sst xmlns="http://schemas.openxmlformats.org/spreadsheetml/2006/main" count="344" uniqueCount="109">
  <si>
    <t>Oui</t>
  </si>
  <si>
    <t>Non</t>
  </si>
  <si>
    <t>Question fermée</t>
  </si>
  <si>
    <t>Risque incendie</t>
  </si>
  <si>
    <t>Non concerné</t>
  </si>
  <si>
    <t>Négligeable</t>
  </si>
  <si>
    <t>Très faible ou faible</t>
  </si>
  <si>
    <t>Moyen</t>
  </si>
  <si>
    <t>Fort ou très fort</t>
  </si>
  <si>
    <t>Classement non clair par commune</t>
  </si>
  <si>
    <t>Critère litière</t>
  </si>
  <si>
    <t>Avec perturbation sol</t>
  </si>
  <si>
    <t>Suite incendie</t>
  </si>
  <si>
    <t>Avec nettoyage partiel sol</t>
  </si>
  <si>
    <t>Sans perturbation sol</t>
  </si>
  <si>
    <t>Type forêt</t>
  </si>
  <si>
    <t>Forêts tempérées</t>
  </si>
  <si>
    <t>Forêts tropicales</t>
  </si>
  <si>
    <t>Forêts boréales</t>
  </si>
  <si>
    <t>Toutes les forêts</t>
  </si>
  <si>
    <t>Essence</t>
  </si>
  <si>
    <t>Classe Fertilité</t>
  </si>
  <si>
    <t>Nom Projet</t>
  </si>
  <si>
    <t>Type</t>
  </si>
  <si>
    <t>Reboisement suite à dépérissement</t>
  </si>
  <si>
    <t>Surface
[ha]</t>
  </si>
  <si>
    <t>VAN Référence</t>
  </si>
  <si>
    <t>VAN Reboisement</t>
  </si>
  <si>
    <t>Delta VAN</t>
  </si>
  <si>
    <t>VAN
[€]</t>
  </si>
  <si>
    <t>VAN Projet</t>
  </si>
  <si>
    <t>t</t>
  </si>
  <si>
    <t>Durée de révolution</t>
  </si>
  <si>
    <t>r</t>
  </si>
  <si>
    <t>Taux d'actualisation</t>
  </si>
  <si>
    <t>Rt</t>
  </si>
  <si>
    <t>Ct</t>
  </si>
  <si>
    <t>R0</t>
  </si>
  <si>
    <t>Calcul des VAN</t>
  </si>
  <si>
    <t>Recettes nettes année 0</t>
  </si>
  <si>
    <t>VAN surfacique
[€/ha]</t>
  </si>
  <si>
    <t xml:space="preserve">Commentaire R0 : </t>
  </si>
  <si>
    <t>VAN justifiée avec devis</t>
  </si>
  <si>
    <t>Classe non justifiée</t>
  </si>
  <si>
    <t>Classe justifiée</t>
  </si>
  <si>
    <t>Analyse légale et aide publique</t>
  </si>
  <si>
    <t>Montant des aides publiques</t>
  </si>
  <si>
    <t>Résultat</t>
  </si>
  <si>
    <t>Analyse additionnalité</t>
  </si>
  <si>
    <t>Recettes coupe rase finale</t>
  </si>
  <si>
    <t>Dépenses coupe rase finale</t>
  </si>
  <si>
    <t>/ha</t>
  </si>
  <si>
    <t>Commentaire :</t>
  </si>
  <si>
    <t>Projet de reboisement éligible à aucune aide publique disponible</t>
  </si>
  <si>
    <t>soit</t>
  </si>
  <si>
    <t>essence</t>
  </si>
  <si>
    <t>zone_geo</t>
  </si>
  <si>
    <t>type_iti</t>
  </si>
  <si>
    <t>fertilite</t>
  </si>
  <si>
    <t>age</t>
  </si>
  <si>
    <t>av_ap</t>
  </si>
  <si>
    <t>CHS</t>
  </si>
  <si>
    <t>Classique</t>
  </si>
  <si>
    <t>F2</t>
  </si>
  <si>
    <t>ap</t>
  </si>
  <si>
    <t>taux d'actualisation</t>
  </si>
  <si>
    <t>CH_CONT</t>
  </si>
  <si>
    <t>Dynamique</t>
  </si>
  <si>
    <t>Multiple</t>
  </si>
  <si>
    <t>N/A</t>
  </si>
  <si>
    <t>Surface totale projet</t>
  </si>
  <si>
    <t>Volume éclaircie (m3/ha)</t>
  </si>
  <si>
    <t>CHÊNE SESSILE</t>
  </si>
  <si>
    <t>CHÊNE PUBESCENT</t>
  </si>
  <si>
    <t>Surface Essence (ha)</t>
  </si>
  <si>
    <t>VUM_ecl (m3)</t>
  </si>
  <si>
    <t>N_ecl (nb/ha)</t>
  </si>
  <si>
    <t>travaux réalisés</t>
  </si>
  <si>
    <t>coûts (EUR)</t>
  </si>
  <si>
    <t>recettes (EUR)</t>
  </si>
  <si>
    <t>Volume total récolté (m3)</t>
  </si>
  <si>
    <t>Feuillus générique</t>
  </si>
  <si>
    <t>Frêne-BT44</t>
  </si>
  <si>
    <t>Eclaircie</t>
  </si>
  <si>
    <t>Prix de vente du bois (EUR/m3)</t>
  </si>
  <si>
    <t>Total Projet</t>
  </si>
  <si>
    <t>Surface (ha)</t>
  </si>
  <si>
    <t>EUR</t>
  </si>
  <si>
    <t xml:space="preserve">VAN finale projet </t>
  </si>
  <si>
    <t xml:space="preserve">Volume récolté </t>
  </si>
  <si>
    <t>m3</t>
  </si>
  <si>
    <t xml:space="preserve">Prix de vente </t>
  </si>
  <si>
    <t>€ / m3</t>
  </si>
  <si>
    <t xml:space="preserve">Projet </t>
  </si>
  <si>
    <t>PIN LARICIO</t>
  </si>
  <si>
    <t>CEDRE DE L'ATLAS</t>
  </si>
  <si>
    <t>FRUITIERS/DIVERS</t>
  </si>
  <si>
    <t>PL</t>
  </si>
  <si>
    <t>P_CNO</t>
  </si>
  <si>
    <t>VAN (EUR)</t>
  </si>
  <si>
    <t>Cèdre de l'Atlas</t>
  </si>
  <si>
    <t>INRA</t>
  </si>
  <si>
    <t>Préparation sol - Fourniture Plants Mise en place des plants - Protection Gibier</t>
  </si>
  <si>
    <t>Dégagements + Achats de regarnis + Mise en place des regarnis + entretiens cloisonnements</t>
  </si>
  <si>
    <t>Dégagements et entretiens cloisonnements</t>
  </si>
  <si>
    <t>LBC FD SAMOUSSY</t>
  </si>
  <si>
    <t>Coût du projet terrain</t>
  </si>
  <si>
    <t>Travaux englobant les plantations, la protection gibier et les entretiens sur 5 ans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</si>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</sst>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€&quot;;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\ &quot;€&quot;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6" borderId="1" xfId="0" applyFill="1" applyBorder="1"/>
    <xf numFmtId="10" fontId="0" fillId="0" borderId="0" xfId="0" applyNumberFormat="1" applyFill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2" fontId="0" fillId="0" borderId="1" xfId="0" applyNumberFormat="1" applyBorder="1"/>
    <xf numFmtId="0" fontId="2" fillId="5" borderId="4" xfId="0" applyFont="1" applyFill="1" applyBorder="1"/>
    <xf numFmtId="42" fontId="0" fillId="5" borderId="2" xfId="0" applyNumberForma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2" fontId="0" fillId="6" borderId="1" xfId="0" applyNumberFormat="1" applyFill="1" applyBorder="1"/>
    <xf numFmtId="0" fontId="5" fillId="0" borderId="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>
      <alignment horizontal="left"/>
    </xf>
    <xf numFmtId="0" fontId="0" fillId="8" borderId="7" xfId="0" applyFill="1" applyBorder="1" applyAlignment="1">
      <alignment horizontal="center"/>
    </xf>
    <xf numFmtId="5" fontId="0" fillId="5" borderId="2" xfId="1" applyNumberFormat="1" applyFont="1" applyFill="1" applyBorder="1"/>
    <xf numFmtId="0" fontId="3" fillId="0" borderId="0" xfId="0" applyFont="1" applyAlignment="1">
      <alignment horizontal="right"/>
    </xf>
    <xf numFmtId="5" fontId="0" fillId="8" borderId="2" xfId="1" applyNumberFormat="1" applyFont="1" applyFill="1" applyBorder="1"/>
    <xf numFmtId="0" fontId="0" fillId="6" borderId="1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4" fillId="0" borderId="0" xfId="0" applyFont="1" applyFill="1"/>
    <xf numFmtId="164" fontId="4" fillId="0" borderId="8" xfId="0" applyNumberFormat="1" applyFont="1" applyFill="1" applyBorder="1"/>
    <xf numFmtId="0" fontId="4" fillId="0" borderId="9" xfId="0" applyFont="1" applyFill="1" applyBorder="1"/>
    <xf numFmtId="164" fontId="0" fillId="6" borderId="1" xfId="0" applyNumberForma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164" fontId="0" fillId="6" borderId="11" xfId="0" applyNumberFormat="1" applyFill="1" applyBorder="1" applyAlignment="1">
      <alignment horizontal="center"/>
    </xf>
    <xf numFmtId="42" fontId="8" fillId="6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10" borderId="1" xfId="0" applyFill="1" applyBorder="1" applyAlignment="1">
      <alignment horizontal="center" vertical="center"/>
    </xf>
    <xf numFmtId="10" fontId="0" fillId="5" borderId="1" xfId="0" applyNumberFormat="1" applyFill="1" applyBorder="1" applyAlignment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/>
    <xf numFmtId="2" fontId="0" fillId="11" borderId="1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/>
    <xf numFmtId="0" fontId="0" fillId="10" borderId="1" xfId="0" applyFill="1" applyBorder="1" applyAlignment="1"/>
    <xf numFmtId="0" fontId="0" fillId="5" borderId="1" xfId="0" applyFill="1" applyBorder="1" applyAlignment="1"/>
    <xf numFmtId="0" fontId="0" fillId="5" borderId="1" xfId="0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12" borderId="1" xfId="0" applyFill="1" applyBorder="1" applyAlignment="1"/>
    <xf numFmtId="0" fontId="0" fillId="12" borderId="1" xfId="0" applyFill="1" applyBorder="1" applyAlignment="1">
      <alignment horizontal="center" vertical="center"/>
    </xf>
    <xf numFmtId="2" fontId="0" fillId="12" borderId="1" xfId="0" applyNumberFormat="1" applyFill="1" applyBorder="1" applyAlignment="1">
      <alignment horizontal="center" vertical="center"/>
    </xf>
    <xf numFmtId="2" fontId="0" fillId="12" borderId="1" xfId="0" applyNumberFormat="1" applyFill="1" applyBorder="1" applyAlignment="1"/>
    <xf numFmtId="10" fontId="0" fillId="12" borderId="1" xfId="0" applyNumberFormat="1" applyFill="1" applyBorder="1" applyAlignment="1"/>
    <xf numFmtId="165" fontId="0" fillId="12" borderId="1" xfId="0" applyNumberFormat="1" applyFill="1" applyBorder="1" applyAlignment="1"/>
    <xf numFmtId="0" fontId="0" fillId="9" borderId="1" xfId="0" applyFill="1" applyBorder="1" applyAlignment="1"/>
    <xf numFmtId="0" fontId="0" fillId="9" borderId="1" xfId="0" applyFill="1" applyBorder="1" applyAlignment="1">
      <alignment horizontal="center"/>
    </xf>
    <xf numFmtId="0" fontId="8" fillId="9" borderId="1" xfId="0" applyFont="1" applyFill="1" applyBorder="1" applyAlignment="1"/>
    <xf numFmtId="0" fontId="0" fillId="9" borderId="1" xfId="0" applyFill="1" applyBorder="1" applyAlignment="1">
      <alignment horizontal="left"/>
    </xf>
    <xf numFmtId="165" fontId="0" fillId="5" borderId="1" xfId="0" applyNumberFormat="1" applyFill="1" applyBorder="1" applyAlignment="1"/>
    <xf numFmtId="0" fontId="0" fillId="5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2" fillId="12" borderId="0" xfId="0" applyFont="1" applyFill="1" applyAlignment="1"/>
    <xf numFmtId="165" fontId="2" fillId="12" borderId="0" xfId="0" applyNumberFormat="1" applyFont="1" applyFill="1" applyAlignment="1"/>
    <xf numFmtId="0" fontId="3" fillId="0" borderId="0" xfId="0" applyFont="1" applyAlignment="1">
      <alignment horizontal="center" vertical="center"/>
    </xf>
    <xf numFmtId="5" fontId="0" fillId="0" borderId="0" xfId="0" applyNumberFormat="1"/>
    <xf numFmtId="5" fontId="0" fillId="0" borderId="0" xfId="0" applyNumberFormat="1" applyFill="1" applyBorder="1"/>
    <xf numFmtId="4" fontId="8" fillId="9" borderId="1" xfId="0" applyNumberFormat="1" applyFont="1" applyFill="1" applyBorder="1" applyAlignment="1">
      <alignment horizontal="center" vertical="center"/>
    </xf>
    <xf numFmtId="42" fontId="0" fillId="0" borderId="0" xfId="0" applyNumberFormat="1"/>
    <xf numFmtId="42" fontId="0" fillId="5" borderId="2" xfId="1" applyNumberFormat="1" applyFont="1" applyFill="1" applyBorder="1"/>
    <xf numFmtId="4" fontId="0" fillId="6" borderId="1" xfId="0" applyNumberFormat="1" applyFill="1" applyBorder="1"/>
    <xf numFmtId="4" fontId="0" fillId="5" borderId="1" xfId="0" applyNumberFormat="1" applyFill="1" applyBorder="1" applyAlignment="1"/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Medium9"/>
  <colors>
    <mruColors>
      <color rgb="FFEEE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SPADD-cours/0-Mission%20MSPAPDD/ONF/36_CARBONE/4-Projets%20carbone/DT%20AURA/69%20CD69%20Pyramide%20V%20Genin/Calcul%20carbone%20VAN%20modele%20DT%20COA%20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N-MODELE"/>
      <sheetName val="REA-MODELE-agencePA"/>
      <sheetName val="REA-PIN-NOIR-Fert2"/>
    </sheetNames>
    <sheetDataSet>
      <sheetData sheetId="0" refreshError="1"/>
      <sheetData sheetId="1">
        <row r="3">
          <cell r="C3">
            <v>13</v>
          </cell>
        </row>
        <row r="31">
          <cell r="C31">
            <v>3</v>
          </cell>
        </row>
      </sheetData>
      <sheetData sheetId="2">
        <row r="45">
          <cell r="B45">
            <v>1.52</v>
          </cell>
        </row>
        <row r="46">
          <cell r="B46">
            <v>0.77</v>
          </cell>
        </row>
        <row r="47">
          <cell r="B47">
            <v>0</v>
          </cell>
        </row>
        <row r="48">
          <cell r="B48">
            <v>0.25</v>
          </cell>
        </row>
        <row r="58">
          <cell r="C58">
            <v>0.3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J8"/>
  <sheetViews>
    <sheetView workbookViewId="0">
      <selection activeCell="B10" sqref="B10:B12"/>
    </sheetView>
  </sheetViews>
  <sheetFormatPr baseColWidth="10" defaultRowHeight="15" x14ac:dyDescent="0.25"/>
  <cols>
    <col min="2" max="2" width="20.7109375" customWidth="1"/>
    <col min="4" max="4" width="19.5703125" customWidth="1"/>
    <col min="6" max="6" width="20.7109375" customWidth="1"/>
    <col min="8" max="8" width="22.42578125" customWidth="1"/>
    <col min="10" max="10" width="25.28515625" customWidth="1"/>
  </cols>
  <sheetData>
    <row r="2" spans="2:10" x14ac:dyDescent="0.25">
      <c r="B2" s="2" t="s">
        <v>2</v>
      </c>
      <c r="D2" s="2" t="s">
        <v>3</v>
      </c>
      <c r="F2" s="2" t="s">
        <v>15</v>
      </c>
      <c r="H2" s="2" t="s">
        <v>21</v>
      </c>
      <c r="J2" s="2" t="s">
        <v>10</v>
      </c>
    </row>
    <row r="3" spans="2:10" x14ac:dyDescent="0.25">
      <c r="B3" s="1" t="s">
        <v>0</v>
      </c>
      <c r="D3" s="1" t="s">
        <v>4</v>
      </c>
      <c r="F3" s="1" t="s">
        <v>16</v>
      </c>
      <c r="H3" s="1" t="s">
        <v>44</v>
      </c>
      <c r="J3" s="1" t="s">
        <v>14</v>
      </c>
    </row>
    <row r="4" spans="2:10" x14ac:dyDescent="0.25">
      <c r="B4" s="1" t="s">
        <v>1</v>
      </c>
      <c r="D4" s="1" t="s">
        <v>5</v>
      </c>
      <c r="F4" s="1" t="s">
        <v>17</v>
      </c>
      <c r="H4" s="1" t="s">
        <v>43</v>
      </c>
      <c r="J4" s="1" t="s">
        <v>11</v>
      </c>
    </row>
    <row r="5" spans="2:10" x14ac:dyDescent="0.25">
      <c r="D5" s="1" t="s">
        <v>6</v>
      </c>
      <c r="F5" s="1" t="s">
        <v>18</v>
      </c>
      <c r="J5" s="1" t="s">
        <v>13</v>
      </c>
    </row>
    <row r="6" spans="2:10" x14ac:dyDescent="0.25">
      <c r="D6" s="1" t="s">
        <v>7</v>
      </c>
      <c r="F6" s="1" t="s">
        <v>19</v>
      </c>
      <c r="J6" s="1" t="s">
        <v>12</v>
      </c>
    </row>
    <row r="7" spans="2:10" x14ac:dyDescent="0.25">
      <c r="D7" s="1" t="s">
        <v>8</v>
      </c>
    </row>
    <row r="8" spans="2:10" x14ac:dyDescent="0.25">
      <c r="D8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J46"/>
  <sheetViews>
    <sheetView topLeftCell="A4" zoomScale="85" zoomScaleNormal="85" workbookViewId="0">
      <selection activeCell="I12" sqref="I12"/>
    </sheetView>
  </sheetViews>
  <sheetFormatPr baseColWidth="10" defaultColWidth="9.140625" defaultRowHeight="15" x14ac:dyDescent="0.25"/>
  <cols>
    <col min="1" max="1" width="3.7109375" customWidth="1"/>
    <col min="2" max="2" width="26.85546875" customWidth="1"/>
    <col min="3" max="3" width="16.85546875" customWidth="1"/>
    <col min="4" max="4" width="11.28515625" customWidth="1"/>
    <col min="5" max="5" width="11.42578125" customWidth="1"/>
    <col min="6" max="6" width="17.7109375" customWidth="1"/>
    <col min="7" max="7" width="12" customWidth="1"/>
    <col min="8" max="8" width="9.7109375" customWidth="1"/>
    <col min="9" max="9" width="14.85546875" customWidth="1"/>
    <col min="10" max="10" width="16.85546875" customWidth="1"/>
    <col min="13" max="13" width="23" customWidth="1"/>
  </cols>
  <sheetData>
    <row r="1" spans="2:9" x14ac:dyDescent="0.25">
      <c r="B1" s="16" t="s">
        <v>22</v>
      </c>
      <c r="C1" s="77" t="s">
        <v>105</v>
      </c>
      <c r="D1" s="77"/>
      <c r="E1" s="77"/>
    </row>
    <row r="2" spans="2:9" ht="15.75" thickBot="1" x14ac:dyDescent="0.3">
      <c r="B2" s="17" t="s">
        <v>23</v>
      </c>
      <c r="C2" s="78" t="s">
        <v>24</v>
      </c>
      <c r="D2" s="78"/>
      <c r="E2" s="78"/>
    </row>
    <row r="3" spans="2:9" s="24" customFormat="1" ht="16.5" thickTop="1" thickBot="1" x14ac:dyDescent="0.3">
      <c r="B3" s="22"/>
      <c r="C3" s="23"/>
      <c r="D3" s="23"/>
      <c r="E3" s="23"/>
    </row>
    <row r="4" spans="2:9" s="24" customFormat="1" ht="15.75" thickBot="1" x14ac:dyDescent="0.3">
      <c r="B4" s="21" t="s">
        <v>48</v>
      </c>
      <c r="C4" s="84" t="str">
        <f>IF(D10&lt;&gt;"Ok","Projet non additionnel",IF(C17="VAN non calculée","Projet additionnel avec 10% de rabais",IF(C17&gt;0,"Projet non additionnel",IF(H17&lt;&gt;"Oui","projet additionnel avec 5% de rabais","Projet additionnel sans rabais"))))</f>
        <v>Projet additionnel sans rabais</v>
      </c>
      <c r="D4" s="85"/>
      <c r="E4" s="86"/>
    </row>
    <row r="5" spans="2:9" s="24" customFormat="1" x14ac:dyDescent="0.25">
      <c r="B5" s="22"/>
      <c r="C5" s="23"/>
      <c r="D5" s="23"/>
      <c r="E5" s="23"/>
    </row>
    <row r="6" spans="2:9" s="24" customFormat="1" x14ac:dyDescent="0.25">
      <c r="B6" s="83" t="s">
        <v>45</v>
      </c>
      <c r="C6" s="83"/>
      <c r="D6" s="83"/>
      <c r="E6" s="83"/>
      <c r="F6" s="83"/>
      <c r="G6" s="83"/>
      <c r="H6" s="83"/>
      <c r="I6" s="83"/>
    </row>
    <row r="7" spans="2:9" s="24" customFormat="1" x14ac:dyDescent="0.25">
      <c r="B7" s="22"/>
      <c r="C7" s="23"/>
      <c r="D7" s="23"/>
      <c r="E7" s="23"/>
    </row>
    <row r="8" spans="2:9" s="24" customFormat="1" x14ac:dyDescent="0.25">
      <c r="B8" s="25" t="s">
        <v>46</v>
      </c>
      <c r="C8" s="23"/>
      <c r="D8" s="35">
        <v>0</v>
      </c>
      <c r="E8" s="32" t="s">
        <v>53</v>
      </c>
    </row>
    <row r="9" spans="2:9" s="24" customFormat="1" ht="15.75" thickBot="1" x14ac:dyDescent="0.3">
      <c r="B9" s="25" t="s">
        <v>106</v>
      </c>
      <c r="C9" s="23"/>
      <c r="D9" s="37">
        <f>+'Calcul VAN'!O12+'Calcul VAN'!O13+'Calcul VAN'!O14</f>
        <v>-194809.424</v>
      </c>
      <c r="E9" s="36" t="s">
        <v>54</v>
      </c>
      <c r="F9" s="33">
        <f>+D9/'Calcul VAN'!B8</f>
        <v>-8314.5294067434897</v>
      </c>
      <c r="G9" s="34" t="s">
        <v>51</v>
      </c>
    </row>
    <row r="10" spans="2:9" s="24" customFormat="1" ht="15.75" thickBot="1" x14ac:dyDescent="0.3">
      <c r="B10" s="21" t="s">
        <v>47</v>
      </c>
      <c r="C10" s="26"/>
      <c r="D10" s="31" t="str">
        <f>IFERROR(IF(D8/D9&lt;50%,"Ok","Projet non additionnel"),"-")</f>
        <v>Ok</v>
      </c>
      <c r="E10" s="23"/>
      <c r="F10" s="28" t="s">
        <v>52</v>
      </c>
      <c r="G10" s="79" t="s">
        <v>107</v>
      </c>
      <c r="H10" s="80"/>
      <c r="I10" s="80"/>
    </row>
    <row r="11" spans="2:9" s="24" customFormat="1" x14ac:dyDescent="0.25">
      <c r="B11" s="22"/>
      <c r="C11" s="23"/>
      <c r="D11" s="23"/>
      <c r="E11" s="23"/>
      <c r="G11" s="80"/>
      <c r="H11" s="80"/>
      <c r="I11" s="80"/>
    </row>
    <row r="12" spans="2:9" s="24" customFormat="1" x14ac:dyDescent="0.25">
      <c r="B12" s="22"/>
      <c r="C12" s="23"/>
      <c r="D12" s="23"/>
      <c r="E12" s="23"/>
    </row>
    <row r="13" spans="2:9" s="24" customFormat="1" x14ac:dyDescent="0.25">
      <c r="B13" s="74" t="s">
        <v>38</v>
      </c>
      <c r="C13" s="75"/>
      <c r="D13" s="75"/>
      <c r="E13" s="75"/>
      <c r="F13" s="75"/>
      <c r="G13" s="75"/>
      <c r="H13" s="75"/>
      <c r="I13" s="76"/>
    </row>
    <row r="14" spans="2:9" ht="15.75" thickBot="1" x14ac:dyDescent="0.3"/>
    <row r="15" spans="2:9" ht="15.75" thickBot="1" x14ac:dyDescent="0.3">
      <c r="B15" s="20" t="s">
        <v>26</v>
      </c>
      <c r="C15" s="27">
        <f>C22</f>
        <v>249576.19286046052</v>
      </c>
      <c r="D15" s="67"/>
    </row>
    <row r="16" spans="2:9" ht="15.75" thickBot="1" x14ac:dyDescent="0.3">
      <c r="B16" s="20" t="s">
        <v>27</v>
      </c>
      <c r="C16" s="71">
        <f>G22</f>
        <v>78368.157372739835</v>
      </c>
      <c r="D16" s="68"/>
    </row>
    <row r="17" spans="2:10" ht="15.75" thickBot="1" x14ac:dyDescent="0.3">
      <c r="B17" s="21" t="s">
        <v>28</v>
      </c>
      <c r="C17" s="29">
        <f>IF(OR(C15=0,C16=0),"VAN non calculée",C16-C15)</f>
        <v>-171208.03548772068</v>
      </c>
      <c r="D17" s="7"/>
      <c r="F17" t="s">
        <v>42</v>
      </c>
      <c r="H17" s="30" t="s">
        <v>0</v>
      </c>
    </row>
    <row r="19" spans="2:10" x14ac:dyDescent="0.25">
      <c r="B19" s="11"/>
      <c r="C19" s="11"/>
      <c r="D19" s="11"/>
      <c r="E19" s="11"/>
      <c r="F19" s="11"/>
      <c r="G19" s="11"/>
      <c r="H19" s="11"/>
      <c r="I19" s="11"/>
    </row>
    <row r="20" spans="2:10" x14ac:dyDescent="0.25">
      <c r="B20" t="s">
        <v>39</v>
      </c>
      <c r="C20" s="12" t="s">
        <v>37</v>
      </c>
      <c r="D20" s="38">
        <v>249022.13</v>
      </c>
      <c r="E20" s="81" t="s">
        <v>41</v>
      </c>
      <c r="F20" s="82"/>
      <c r="G20" s="79"/>
      <c r="H20" s="80"/>
      <c r="I20" s="80"/>
    </row>
    <row r="21" spans="2:10" ht="15.75" thickBot="1" x14ac:dyDescent="0.3">
      <c r="B21" s="11"/>
      <c r="C21" s="11"/>
      <c r="D21" s="11"/>
      <c r="E21" s="19"/>
      <c r="F21" s="19"/>
      <c r="G21" s="80"/>
      <c r="H21" s="80"/>
      <c r="I21" s="80"/>
    </row>
    <row r="22" spans="2:10" ht="15.75" thickBot="1" x14ac:dyDescent="0.3">
      <c r="B22" s="14" t="s">
        <v>26</v>
      </c>
      <c r="C22" s="15">
        <f>D20+((D29-D30)/(1+D26)^D25)*H25</f>
        <v>249576.19286046052</v>
      </c>
      <c r="F22" s="14" t="s">
        <v>30</v>
      </c>
      <c r="G22" s="15">
        <f>D20+'Calcul VAN'!D3</f>
        <v>78368.157372739835</v>
      </c>
      <c r="J22" s="70"/>
    </row>
    <row r="24" spans="2:10" ht="45" x14ac:dyDescent="0.25">
      <c r="F24" s="4" t="s">
        <v>93</v>
      </c>
      <c r="G24" s="3" t="s">
        <v>40</v>
      </c>
      <c r="H24" s="5" t="s">
        <v>25</v>
      </c>
      <c r="I24" s="5" t="s">
        <v>29</v>
      </c>
    </row>
    <row r="25" spans="2:10" x14ac:dyDescent="0.25">
      <c r="B25" t="s">
        <v>32</v>
      </c>
      <c r="C25" s="8" t="s">
        <v>31</v>
      </c>
      <c r="D25" s="9">
        <v>80</v>
      </c>
      <c r="F25" s="9" t="s">
        <v>108</v>
      </c>
      <c r="G25" s="18">
        <f>I25/H25</f>
        <v>-7283.5669068399548</v>
      </c>
      <c r="H25" s="72">
        <f>+'Calcul VAN'!B8</f>
        <v>23.430000000000003</v>
      </c>
      <c r="I25" s="13">
        <f>'Calcul VAN'!D3</f>
        <v>-170653.97262726017</v>
      </c>
    </row>
    <row r="26" spans="2:10" x14ac:dyDescent="0.25">
      <c r="B26" t="s">
        <v>34</v>
      </c>
      <c r="C26" s="8" t="s">
        <v>33</v>
      </c>
      <c r="D26" s="10">
        <v>4.4999999999999998E-2</v>
      </c>
    </row>
    <row r="27" spans="2:10" x14ac:dyDescent="0.25">
      <c r="B27" t="s">
        <v>89</v>
      </c>
      <c r="C27" s="8" t="s">
        <v>90</v>
      </c>
      <c r="D27">
        <f>80</f>
        <v>80</v>
      </c>
    </row>
    <row r="28" spans="2:10" x14ac:dyDescent="0.25">
      <c r="B28" t="s">
        <v>91</v>
      </c>
      <c r="C28" s="23" t="s">
        <v>92</v>
      </c>
      <c r="D28">
        <v>10</v>
      </c>
    </row>
    <row r="29" spans="2:10" x14ac:dyDescent="0.25">
      <c r="B29" t="s">
        <v>49</v>
      </c>
      <c r="C29" s="8" t="s">
        <v>35</v>
      </c>
      <c r="D29" s="18">
        <f>D27*D28</f>
        <v>800</v>
      </c>
    </row>
    <row r="30" spans="2:10" ht="15" customHeight="1" x14ac:dyDescent="0.25">
      <c r="B30" t="s">
        <v>50</v>
      </c>
      <c r="C30" s="8" t="s">
        <v>36</v>
      </c>
      <c r="D30" s="18">
        <v>0</v>
      </c>
    </row>
    <row r="32" spans="2:10" x14ac:dyDescent="0.25">
      <c r="B32" s="66"/>
      <c r="C32" s="50"/>
      <c r="D32" s="50"/>
    </row>
    <row r="46" spans="2:2" x14ac:dyDescent="0.25">
      <c r="B46" s="6"/>
    </row>
  </sheetData>
  <mergeCells count="8">
    <mergeCell ref="B13:I13"/>
    <mergeCell ref="C1:E1"/>
    <mergeCell ref="C2:E2"/>
    <mergeCell ref="G20:I21"/>
    <mergeCell ref="E20:F20"/>
    <mergeCell ref="B6:I6"/>
    <mergeCell ref="C4:E4"/>
    <mergeCell ref="G10:I11"/>
  </mergeCells>
  <pageMargins left="0.7" right="0.7" top="0.75" bottom="0.75" header="0.3" footer="0.3"/>
  <pageSetup paperSize="9" scale="9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CB54F07-6932-4B19-BAB4-3B8AEE936FD1}">
          <x14:formula1>
            <xm:f>Référencement!$B$3:$B$4</xm:f>
          </x14:formula1>
          <xm:sqref>H17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9EB1-F1FD-4C5F-8798-E289F02F93B4}">
  <sheetPr filterMode="1">
    <tabColor rgb="FF92D050"/>
  </sheetPr>
  <dimension ref="A2:Q53"/>
  <sheetViews>
    <sheetView showGridLines="0" tabSelected="1" zoomScale="96" workbookViewId="0">
      <selection activeCell="I15" sqref="I15:I53"/>
    </sheetView>
  </sheetViews>
  <sheetFormatPr baseColWidth="10" defaultColWidth="10.85546875" defaultRowHeight="15" x14ac:dyDescent="0.25"/>
  <cols>
    <col min="1" max="1" width="18.42578125" style="40" customWidth="1"/>
    <col min="2" max="3" width="10.85546875" style="40"/>
    <col min="4" max="4" width="15.42578125" style="40" bestFit="1" customWidth="1"/>
    <col min="5" max="5" width="10.85546875" style="40"/>
    <col min="6" max="6" width="10.85546875" style="40" customWidth="1"/>
    <col min="7" max="7" width="10.85546875" style="40"/>
    <col min="8" max="8" width="12.7109375" style="40" customWidth="1"/>
    <col min="9" max="9" width="21.85546875" style="40" bestFit="1" customWidth="1"/>
    <col min="10" max="10" width="21.5703125" style="40" bestFit="1" customWidth="1"/>
    <col min="11" max="12" width="21.5703125" style="40" customWidth="1"/>
    <col min="13" max="13" width="51" style="39" customWidth="1"/>
    <col min="14" max="15" width="20" style="40" customWidth="1"/>
    <col min="16" max="16" width="10.85546875" style="40"/>
    <col min="17" max="17" width="16.85546875" style="40" bestFit="1" customWidth="1"/>
    <col min="18" max="16384" width="10.85546875" style="40"/>
  </cols>
  <sheetData>
    <row r="2" spans="1:17" x14ac:dyDescent="0.25">
      <c r="A2" s="60" t="s">
        <v>20</v>
      </c>
      <c r="B2" s="58" t="s">
        <v>86</v>
      </c>
      <c r="D2" s="64" t="s">
        <v>88</v>
      </c>
      <c r="E2" s="64"/>
    </row>
    <row r="3" spans="1:17" x14ac:dyDescent="0.25">
      <c r="A3" s="57" t="s">
        <v>72</v>
      </c>
      <c r="B3" s="69">
        <v>9.9448519362186794</v>
      </c>
      <c r="D3" s="65">
        <f>+Q53</f>
        <v>-170653.97262726017</v>
      </c>
      <c r="E3" s="64" t="s">
        <v>87</v>
      </c>
    </row>
    <row r="4" spans="1:17" x14ac:dyDescent="0.25">
      <c r="A4" s="57" t="s">
        <v>94</v>
      </c>
      <c r="B4" s="69">
        <v>2.490660592255125</v>
      </c>
    </row>
    <row r="5" spans="1:17" x14ac:dyDescent="0.25">
      <c r="A5" s="57" t="s">
        <v>73</v>
      </c>
      <c r="B5" s="69">
        <v>4.5543507972665154</v>
      </c>
    </row>
    <row r="6" spans="1:17" x14ac:dyDescent="0.25">
      <c r="A6" s="57" t="s">
        <v>95</v>
      </c>
      <c r="B6" s="69">
        <v>4.8389977220956721</v>
      </c>
    </row>
    <row r="7" spans="1:17" x14ac:dyDescent="0.25">
      <c r="A7" s="57" t="s">
        <v>96</v>
      </c>
      <c r="B7" s="69">
        <v>1.6011389521640089</v>
      </c>
    </row>
    <row r="8" spans="1:17" x14ac:dyDescent="0.25">
      <c r="A8" s="59" t="s">
        <v>85</v>
      </c>
      <c r="B8" s="69">
        <f>+SUM(B3:B7)</f>
        <v>23.430000000000003</v>
      </c>
    </row>
    <row r="11" spans="1:17" x14ac:dyDescent="0.25">
      <c r="A11" s="41" t="s">
        <v>55</v>
      </c>
      <c r="B11" s="41" t="s">
        <v>56</v>
      </c>
      <c r="C11" s="41" t="s">
        <v>57</v>
      </c>
      <c r="D11" s="41" t="s">
        <v>58</v>
      </c>
      <c r="E11" s="41" t="s">
        <v>59</v>
      </c>
      <c r="F11" s="41" t="s">
        <v>60</v>
      </c>
      <c r="G11" s="43" t="s">
        <v>76</v>
      </c>
      <c r="H11" s="43" t="s">
        <v>75</v>
      </c>
      <c r="I11" s="43" t="s">
        <v>71</v>
      </c>
      <c r="J11" s="44" t="s">
        <v>74</v>
      </c>
      <c r="K11" s="44" t="s">
        <v>80</v>
      </c>
      <c r="L11" s="44" t="s">
        <v>84</v>
      </c>
      <c r="M11" s="62" t="s">
        <v>77</v>
      </c>
      <c r="N11" s="48" t="s">
        <v>79</v>
      </c>
      <c r="O11" s="48" t="s">
        <v>78</v>
      </c>
      <c r="P11" s="49" t="s">
        <v>65</v>
      </c>
      <c r="Q11" s="49" t="s">
        <v>99</v>
      </c>
    </row>
    <row r="12" spans="1:17" ht="30" hidden="1" x14ac:dyDescent="0.25">
      <c r="A12" s="47" t="s">
        <v>70</v>
      </c>
      <c r="B12" s="47" t="s">
        <v>68</v>
      </c>
      <c r="C12" s="47" t="s">
        <v>69</v>
      </c>
      <c r="D12" s="47" t="s">
        <v>69</v>
      </c>
      <c r="E12" s="47">
        <v>0</v>
      </c>
      <c r="F12" s="41" t="s">
        <v>69</v>
      </c>
      <c r="G12" s="45">
        <v>0</v>
      </c>
      <c r="H12" s="45">
        <v>0</v>
      </c>
      <c r="I12" s="45">
        <v>0</v>
      </c>
      <c r="J12" s="46">
        <f>+SUM($B$3:$B$7)</f>
        <v>23.430000000000003</v>
      </c>
      <c r="K12" s="46">
        <f>+J12*I12</f>
        <v>0</v>
      </c>
      <c r="L12" s="46"/>
      <c r="M12" s="62" t="s">
        <v>102</v>
      </c>
      <c r="N12" s="48"/>
      <c r="O12" s="73">
        <v>-124651.4</v>
      </c>
      <c r="P12" s="42">
        <v>4.4999999999999998E-2</v>
      </c>
      <c r="Q12" s="61">
        <f>+(+N12+O12)/(1+P12)^E12</f>
        <v>-124651.4</v>
      </c>
    </row>
    <row r="13" spans="1:17" ht="30" hidden="1" x14ac:dyDescent="0.25">
      <c r="A13" s="47" t="s">
        <v>70</v>
      </c>
      <c r="B13" s="47" t="s">
        <v>68</v>
      </c>
      <c r="C13" s="47" t="s">
        <v>69</v>
      </c>
      <c r="D13" s="47" t="s">
        <v>69</v>
      </c>
      <c r="E13" s="47">
        <v>2</v>
      </c>
      <c r="F13" s="41" t="s">
        <v>69</v>
      </c>
      <c r="G13" s="45">
        <v>0</v>
      </c>
      <c r="H13" s="45">
        <v>0</v>
      </c>
      <c r="I13" s="45">
        <v>0</v>
      </c>
      <c r="J13" s="46">
        <f>+SUM($B$3:$B$7)</f>
        <v>23.430000000000003</v>
      </c>
      <c r="K13" s="46">
        <f>+J13*I13</f>
        <v>0</v>
      </c>
      <c r="L13" s="46"/>
      <c r="M13" s="62" t="s">
        <v>103</v>
      </c>
      <c r="N13" s="48"/>
      <c r="O13" s="73">
        <v>-55258.887000000002</v>
      </c>
      <c r="P13" s="42">
        <v>4.4999999999999998E-2</v>
      </c>
      <c r="Q13" s="61">
        <f>+(+N13+O13)/(1+P13)^E13+Q12</f>
        <v>-175253.61789794191</v>
      </c>
    </row>
    <row r="14" spans="1:17" hidden="1" x14ac:dyDescent="0.25">
      <c r="A14" s="47" t="s">
        <v>70</v>
      </c>
      <c r="B14" s="47" t="s">
        <v>68</v>
      </c>
      <c r="C14" s="47" t="s">
        <v>69</v>
      </c>
      <c r="D14" s="47" t="s">
        <v>69</v>
      </c>
      <c r="E14" s="47">
        <v>4</v>
      </c>
      <c r="F14" s="41" t="s">
        <v>69</v>
      </c>
      <c r="G14" s="45">
        <v>0</v>
      </c>
      <c r="H14" s="45">
        <v>0</v>
      </c>
      <c r="I14" s="45">
        <v>0</v>
      </c>
      <c r="J14" s="46">
        <f>+J13</f>
        <v>23.430000000000003</v>
      </c>
      <c r="K14" s="46"/>
      <c r="L14" s="46"/>
      <c r="M14" s="62" t="s">
        <v>104</v>
      </c>
      <c r="N14" s="48"/>
      <c r="O14" s="73">
        <v>-14899.137000000001</v>
      </c>
      <c r="P14" s="42">
        <v>4.4999999999999998E-2</v>
      </c>
      <c r="Q14" s="61">
        <f t="shared" ref="Q14:Q53" si="0">+(+N14+O14)/(1+P14)^E14+Q13</f>
        <v>-187747.4582390413</v>
      </c>
    </row>
    <row r="15" spans="1:17" x14ac:dyDescent="0.25">
      <c r="A15" s="51" t="s">
        <v>81</v>
      </c>
      <c r="B15" s="51" t="s">
        <v>69</v>
      </c>
      <c r="C15" s="51" t="s">
        <v>82</v>
      </c>
      <c r="D15" s="51" t="s">
        <v>63</v>
      </c>
      <c r="E15" s="51">
        <v>12</v>
      </c>
      <c r="F15" s="52" t="s">
        <v>64</v>
      </c>
      <c r="G15" s="53">
        <v>300</v>
      </c>
      <c r="H15" s="53">
        <v>0.12</v>
      </c>
      <c r="I15" s="53">
        <f>+H15*G15</f>
        <v>36</v>
      </c>
      <c r="J15" s="54">
        <v>1.6</v>
      </c>
      <c r="K15" s="54">
        <f>+J15*I15</f>
        <v>57.6</v>
      </c>
      <c r="L15" s="54">
        <v>3.5</v>
      </c>
      <c r="M15" s="63" t="s">
        <v>83</v>
      </c>
      <c r="N15" s="51">
        <f>+K15*L15</f>
        <v>201.6</v>
      </c>
      <c r="O15" s="51"/>
      <c r="P15" s="55">
        <v>4.4999999999999998E-2</v>
      </c>
      <c r="Q15" s="56">
        <f t="shared" si="0"/>
        <v>-187628.58200388437</v>
      </c>
    </row>
    <row r="16" spans="1:17" x14ac:dyDescent="0.25">
      <c r="A16" s="51" t="s">
        <v>81</v>
      </c>
      <c r="B16" s="51" t="s">
        <v>69</v>
      </c>
      <c r="C16" s="51" t="s">
        <v>82</v>
      </c>
      <c r="D16" s="51" t="s">
        <v>63</v>
      </c>
      <c r="E16" s="51">
        <v>16</v>
      </c>
      <c r="F16" s="52" t="s">
        <v>64</v>
      </c>
      <c r="G16" s="53">
        <v>200</v>
      </c>
      <c r="H16" s="53">
        <v>0.25</v>
      </c>
      <c r="I16" s="53">
        <f t="shared" ref="I16:I26" si="1">+H16*G16</f>
        <v>50</v>
      </c>
      <c r="J16" s="54">
        <v>1.6</v>
      </c>
      <c r="K16" s="54">
        <f>+J16*I16</f>
        <v>80</v>
      </c>
      <c r="L16" s="54">
        <v>3.5</v>
      </c>
      <c r="M16" s="63" t="s">
        <v>83</v>
      </c>
      <c r="N16" s="51">
        <f>+K16*L16</f>
        <v>280</v>
      </c>
      <c r="O16" s="51"/>
      <c r="P16" s="55">
        <v>4.4999999999999998E-2</v>
      </c>
      <c r="Q16" s="56">
        <f t="shared" si="0"/>
        <v>-187490.1305935031</v>
      </c>
    </row>
    <row r="17" spans="1:17" x14ac:dyDescent="0.25">
      <c r="A17" s="51" t="s">
        <v>81</v>
      </c>
      <c r="B17" s="51" t="s">
        <v>69</v>
      </c>
      <c r="C17" s="51" t="s">
        <v>82</v>
      </c>
      <c r="D17" s="51" t="s">
        <v>63</v>
      </c>
      <c r="E17" s="51">
        <v>20</v>
      </c>
      <c r="F17" s="52" t="s">
        <v>64</v>
      </c>
      <c r="G17" s="53">
        <v>200</v>
      </c>
      <c r="H17" s="53">
        <v>0.44</v>
      </c>
      <c r="I17" s="53">
        <f t="shared" si="1"/>
        <v>88</v>
      </c>
      <c r="J17" s="54">
        <v>1.6</v>
      </c>
      <c r="K17" s="54">
        <f>+J17*I17</f>
        <v>140.80000000000001</v>
      </c>
      <c r="L17" s="54">
        <v>3.5</v>
      </c>
      <c r="M17" s="63" t="s">
        <v>83</v>
      </c>
      <c r="N17" s="51">
        <f>+K17*L17</f>
        <v>492.80000000000007</v>
      </c>
      <c r="O17" s="51"/>
      <c r="P17" s="55">
        <v>4.4999999999999998E-2</v>
      </c>
      <c r="Q17" s="56">
        <f t="shared" si="0"/>
        <v>-187285.79459225055</v>
      </c>
    </row>
    <row r="18" spans="1:17" x14ac:dyDescent="0.25">
      <c r="A18" s="51" t="s">
        <v>97</v>
      </c>
      <c r="B18" s="51" t="s">
        <v>98</v>
      </c>
      <c r="C18" s="51" t="s">
        <v>62</v>
      </c>
      <c r="D18" s="51" t="s">
        <v>63</v>
      </c>
      <c r="E18" s="51">
        <v>22</v>
      </c>
      <c r="F18" s="52" t="s">
        <v>64</v>
      </c>
      <c r="G18" s="53">
        <v>493.6</v>
      </c>
      <c r="H18" s="53">
        <v>0.10969870774715679</v>
      </c>
      <c r="I18" s="53">
        <f t="shared" si="1"/>
        <v>54.147282143996591</v>
      </c>
      <c r="J18" s="54">
        <f>+$B$4</f>
        <v>2.490660592255125</v>
      </c>
      <c r="K18" s="54">
        <f>+I18*J18</f>
        <v>134.8625018137719</v>
      </c>
      <c r="L18" s="54">
        <v>10</v>
      </c>
      <c r="M18" s="63" t="s">
        <v>83</v>
      </c>
      <c r="N18" s="51">
        <f>+L18*K18</f>
        <v>1348.6250181377191</v>
      </c>
      <c r="O18" s="51"/>
      <c r="P18" s="55">
        <v>4.4999999999999998E-2</v>
      </c>
      <c r="Q18" s="56">
        <f t="shared" si="0"/>
        <v>-186773.7204784136</v>
      </c>
    </row>
    <row r="19" spans="1:17" x14ac:dyDescent="0.25">
      <c r="A19" s="51" t="s">
        <v>81</v>
      </c>
      <c r="B19" s="51" t="s">
        <v>69</v>
      </c>
      <c r="C19" s="51" t="s">
        <v>82</v>
      </c>
      <c r="D19" s="51" t="s">
        <v>63</v>
      </c>
      <c r="E19" s="51">
        <v>25</v>
      </c>
      <c r="F19" s="52" t="s">
        <v>64</v>
      </c>
      <c r="G19" s="53">
        <v>120</v>
      </c>
      <c r="H19" s="53">
        <v>0.71</v>
      </c>
      <c r="I19" s="53">
        <f t="shared" si="1"/>
        <v>85.199999999999989</v>
      </c>
      <c r="J19" s="54">
        <v>1.6</v>
      </c>
      <c r="K19" s="54">
        <f>+J19*I19</f>
        <v>136.32</v>
      </c>
      <c r="L19" s="54">
        <v>3.5</v>
      </c>
      <c r="M19" s="63" t="s">
        <v>83</v>
      </c>
      <c r="N19" s="51">
        <f>+K19*L19</f>
        <v>477.12</v>
      </c>
      <c r="O19" s="51"/>
      <c r="P19" s="55">
        <v>4.4999999999999998E-2</v>
      </c>
      <c r="Q19" s="56">
        <f t="shared" si="0"/>
        <v>-186614.96805612661</v>
      </c>
    </row>
    <row r="20" spans="1:17" x14ac:dyDescent="0.25">
      <c r="A20" s="51" t="s">
        <v>97</v>
      </c>
      <c r="B20" s="51" t="s">
        <v>98</v>
      </c>
      <c r="C20" s="51" t="s">
        <v>62</v>
      </c>
      <c r="D20" s="51" t="s">
        <v>63</v>
      </c>
      <c r="E20" s="51">
        <v>27</v>
      </c>
      <c r="F20" s="52" t="s">
        <v>64</v>
      </c>
      <c r="G20" s="53">
        <v>267</v>
      </c>
      <c r="H20" s="53">
        <v>0.15354846432190258</v>
      </c>
      <c r="I20" s="53">
        <f t="shared" si="1"/>
        <v>40.997439973947991</v>
      </c>
      <c r="J20" s="54">
        <f>+$B$4</f>
        <v>2.490660592255125</v>
      </c>
      <c r="K20" s="54">
        <f>+I20*J20</f>
        <v>102.11070812645724</v>
      </c>
      <c r="L20" s="54">
        <v>10</v>
      </c>
      <c r="M20" s="63" t="s">
        <v>83</v>
      </c>
      <c r="N20" s="51">
        <f>+L20*K20</f>
        <v>1021.1070812645723</v>
      </c>
      <c r="O20" s="51"/>
      <c r="P20" s="55">
        <v>4.4999999999999998E-2</v>
      </c>
      <c r="Q20" s="56">
        <f t="shared" si="0"/>
        <v>-186303.84553748352</v>
      </c>
    </row>
    <row r="21" spans="1:17" x14ac:dyDescent="0.25">
      <c r="A21" s="51" t="s">
        <v>81</v>
      </c>
      <c r="B21" s="51" t="s">
        <v>69</v>
      </c>
      <c r="C21" s="51" t="s">
        <v>82</v>
      </c>
      <c r="D21" s="51" t="s">
        <v>63</v>
      </c>
      <c r="E21" s="51">
        <v>30</v>
      </c>
      <c r="F21" s="52" t="s">
        <v>64</v>
      </c>
      <c r="G21" s="53">
        <v>80</v>
      </c>
      <c r="H21" s="53">
        <v>0.77</v>
      </c>
      <c r="I21" s="53">
        <f t="shared" si="1"/>
        <v>61.6</v>
      </c>
      <c r="J21" s="54">
        <v>1.6</v>
      </c>
      <c r="K21" s="54">
        <f>+J21*I21</f>
        <v>98.56</v>
      </c>
      <c r="L21" s="54">
        <v>3.5</v>
      </c>
      <c r="M21" s="63" t="s">
        <v>83</v>
      </c>
      <c r="N21" s="51">
        <f>+K21*L21</f>
        <v>344.96000000000004</v>
      </c>
      <c r="O21" s="51"/>
      <c r="P21" s="55">
        <v>4.4999999999999998E-2</v>
      </c>
      <c r="Q21" s="56">
        <f t="shared" si="0"/>
        <v>-186211.74121213422</v>
      </c>
    </row>
    <row r="22" spans="1:17" x14ac:dyDescent="0.25">
      <c r="A22" s="51" t="s">
        <v>97</v>
      </c>
      <c r="B22" s="51" t="s">
        <v>98</v>
      </c>
      <c r="C22" s="51" t="s">
        <v>62</v>
      </c>
      <c r="D22" s="51" t="s">
        <v>63</v>
      </c>
      <c r="E22" s="51">
        <v>33</v>
      </c>
      <c r="F22" s="52" t="s">
        <v>64</v>
      </c>
      <c r="G22" s="53">
        <v>187.00000000000006</v>
      </c>
      <c r="H22" s="53">
        <v>0.2408873272710963</v>
      </c>
      <c r="I22" s="53">
        <f t="shared" si="1"/>
        <v>45.045930199695022</v>
      </c>
      <c r="J22" s="54">
        <f>+$B$4</f>
        <v>2.490660592255125</v>
      </c>
      <c r="K22" s="54">
        <f>+I22*J22</f>
        <v>112.19412318985543</v>
      </c>
      <c r="L22" s="54">
        <v>20</v>
      </c>
      <c r="M22" s="63" t="s">
        <v>83</v>
      </c>
      <c r="N22" s="51">
        <f>+L22*K22</f>
        <v>2243.8824637971088</v>
      </c>
      <c r="O22" s="51"/>
      <c r="P22" s="55">
        <v>4.4999999999999998E-2</v>
      </c>
      <c r="Q22" s="56">
        <f t="shared" si="0"/>
        <v>-185686.73732400205</v>
      </c>
    </row>
    <row r="23" spans="1:17" x14ac:dyDescent="0.25">
      <c r="A23" s="51" t="s">
        <v>81</v>
      </c>
      <c r="B23" s="51" t="s">
        <v>69</v>
      </c>
      <c r="C23" s="51" t="s">
        <v>82</v>
      </c>
      <c r="D23" s="51" t="s">
        <v>63</v>
      </c>
      <c r="E23" s="51">
        <v>36</v>
      </c>
      <c r="F23" s="52" t="s">
        <v>64</v>
      </c>
      <c r="G23" s="53">
        <v>60</v>
      </c>
      <c r="H23" s="53">
        <v>1.1499999999999999</v>
      </c>
      <c r="I23" s="53">
        <f t="shared" si="1"/>
        <v>69</v>
      </c>
      <c r="J23" s="54">
        <v>1.6</v>
      </c>
      <c r="K23" s="54">
        <f>+J23*I23</f>
        <v>110.4</v>
      </c>
      <c r="L23" s="54">
        <v>5</v>
      </c>
      <c r="M23" s="63" t="s">
        <v>83</v>
      </c>
      <c r="N23" s="51">
        <f>+K23*L23</f>
        <v>552</v>
      </c>
      <c r="O23" s="51"/>
      <c r="P23" s="55">
        <v>4.4999999999999998E-2</v>
      </c>
      <c r="Q23" s="56">
        <f t="shared" si="0"/>
        <v>-185573.56177193858</v>
      </c>
    </row>
    <row r="24" spans="1:17" x14ac:dyDescent="0.25">
      <c r="A24" s="51" t="s">
        <v>97</v>
      </c>
      <c r="B24" s="51" t="s">
        <v>98</v>
      </c>
      <c r="C24" s="51" t="s">
        <v>62</v>
      </c>
      <c r="D24" s="51" t="s">
        <v>63</v>
      </c>
      <c r="E24" s="51">
        <v>40</v>
      </c>
      <c r="F24" s="52" t="s">
        <v>64</v>
      </c>
      <c r="G24" s="53">
        <v>134</v>
      </c>
      <c r="H24" s="53">
        <v>0.34928504448706715</v>
      </c>
      <c r="I24" s="53">
        <f t="shared" si="1"/>
        <v>46.804195961266998</v>
      </c>
      <c r="J24" s="54">
        <f>+$B$4</f>
        <v>2.490660592255125</v>
      </c>
      <c r="K24" s="54">
        <f>+I24*J24</f>
        <v>116.5733664329142</v>
      </c>
      <c r="L24" s="54">
        <v>30</v>
      </c>
      <c r="M24" s="63" t="s">
        <v>83</v>
      </c>
      <c r="N24" s="51">
        <f>+L24*K24</f>
        <v>3497.2009929874262</v>
      </c>
      <c r="O24" s="51"/>
      <c r="P24" s="55">
        <v>4.4999999999999998E-2</v>
      </c>
      <c r="Q24" s="56">
        <f t="shared" si="0"/>
        <v>-184972.29254777264</v>
      </c>
    </row>
    <row r="25" spans="1:17" x14ac:dyDescent="0.25">
      <c r="A25" s="51" t="s">
        <v>81</v>
      </c>
      <c r="B25" s="51" t="s">
        <v>69</v>
      </c>
      <c r="C25" s="51" t="s">
        <v>82</v>
      </c>
      <c r="D25" s="51" t="s">
        <v>63</v>
      </c>
      <c r="E25" s="51">
        <v>43</v>
      </c>
      <c r="F25" s="52" t="s">
        <v>64</v>
      </c>
      <c r="G25" s="53">
        <v>50</v>
      </c>
      <c r="H25" s="53">
        <v>1.63</v>
      </c>
      <c r="I25" s="53">
        <f t="shared" si="1"/>
        <v>81.5</v>
      </c>
      <c r="J25" s="54">
        <v>1.6</v>
      </c>
      <c r="K25" s="54">
        <f>+J25*I25</f>
        <v>130.4</v>
      </c>
      <c r="L25" s="54">
        <v>10</v>
      </c>
      <c r="M25" s="63" t="s">
        <v>83</v>
      </c>
      <c r="N25" s="51">
        <f>+K25*L25</f>
        <v>1304</v>
      </c>
      <c r="O25" s="51"/>
      <c r="P25" s="55">
        <v>4.4999999999999998E-2</v>
      </c>
      <c r="Q25" s="56">
        <f t="shared" si="0"/>
        <v>-184775.83120765182</v>
      </c>
    </row>
    <row r="26" spans="1:17" x14ac:dyDescent="0.25">
      <c r="A26" s="51" t="s">
        <v>61</v>
      </c>
      <c r="B26" s="51" t="s">
        <v>66</v>
      </c>
      <c r="C26" s="51" t="s">
        <v>67</v>
      </c>
      <c r="D26" s="51" t="s">
        <v>63</v>
      </c>
      <c r="E26" s="51">
        <v>44</v>
      </c>
      <c r="F26" s="52" t="s">
        <v>64</v>
      </c>
      <c r="G26" s="53">
        <v>793</v>
      </c>
      <c r="H26" s="53">
        <v>9.5355909031799496E-2</v>
      </c>
      <c r="I26" s="53">
        <f t="shared" si="1"/>
        <v>75.617235862217001</v>
      </c>
      <c r="J26" s="54">
        <f>+$B$3+$B$5</f>
        <v>14.499202733485195</v>
      </c>
      <c r="K26" s="54">
        <f>+I26*J26</f>
        <v>1096.3896329120514</v>
      </c>
      <c r="L26" s="54">
        <v>4</v>
      </c>
      <c r="M26" s="63" t="s">
        <v>83</v>
      </c>
      <c r="N26" s="51">
        <f>+L26*K26</f>
        <v>4385.5585316482056</v>
      </c>
      <c r="O26" s="51"/>
      <c r="P26" s="55">
        <v>4.4999999999999998E-2</v>
      </c>
      <c r="Q26" s="56">
        <f t="shared" si="0"/>
        <v>-184143.55311866108</v>
      </c>
    </row>
    <row r="27" spans="1:17" hidden="1" x14ac:dyDescent="0.25">
      <c r="A27" s="51" t="s">
        <v>100</v>
      </c>
      <c r="B27" s="51" t="s">
        <v>63</v>
      </c>
      <c r="C27" s="51" t="s">
        <v>62</v>
      </c>
      <c r="D27" s="51" t="s">
        <v>101</v>
      </c>
      <c r="E27" s="51">
        <v>46</v>
      </c>
      <c r="F27" s="52" t="s">
        <v>69</v>
      </c>
      <c r="G27" s="53"/>
      <c r="H27" s="53"/>
      <c r="I27" s="53">
        <v>114</v>
      </c>
      <c r="J27" s="54">
        <f>+$B$6</f>
        <v>4.8389977220956721</v>
      </c>
      <c r="K27" s="54">
        <f>+J27*I27</f>
        <v>551.64574031890663</v>
      </c>
      <c r="L27" s="54">
        <v>10</v>
      </c>
      <c r="M27" s="63" t="s">
        <v>83</v>
      </c>
      <c r="N27" s="51">
        <f>+K27*L27</f>
        <v>5516.4574031890661</v>
      </c>
      <c r="O27" s="51"/>
      <c r="P27" s="55">
        <v>4.4999999999999998E-2</v>
      </c>
      <c r="Q27" s="56">
        <f t="shared" si="0"/>
        <v>-183415.25211501529</v>
      </c>
    </row>
    <row r="28" spans="1:17" x14ac:dyDescent="0.25">
      <c r="A28" s="51" t="s">
        <v>97</v>
      </c>
      <c r="B28" s="51" t="s">
        <v>98</v>
      </c>
      <c r="C28" s="51" t="s">
        <v>62</v>
      </c>
      <c r="D28" s="51" t="s">
        <v>63</v>
      </c>
      <c r="E28" s="51">
        <v>49</v>
      </c>
      <c r="F28" s="52" t="s">
        <v>64</v>
      </c>
      <c r="G28" s="53">
        <v>77</v>
      </c>
      <c r="H28" s="53">
        <v>0.69496876703088339</v>
      </c>
      <c r="I28" s="53">
        <f t="shared" ref="I28:I30" si="2">+H28*G28</f>
        <v>53.512595061378022</v>
      </c>
      <c r="J28" s="54">
        <f>+$B$4</f>
        <v>2.490660592255125</v>
      </c>
      <c r="K28" s="54">
        <f>+I28*J28</f>
        <v>133.28171170868046</v>
      </c>
      <c r="L28" s="54">
        <v>40</v>
      </c>
      <c r="M28" s="63" t="s">
        <v>83</v>
      </c>
      <c r="N28" s="51">
        <f>+L28*K28</f>
        <v>5331.268468347218</v>
      </c>
      <c r="O28" s="51"/>
      <c r="P28" s="55">
        <v>4.4999999999999998E-2</v>
      </c>
      <c r="Q28" s="56">
        <f t="shared" si="0"/>
        <v>-182798.4692200415</v>
      </c>
    </row>
    <row r="29" spans="1:17" x14ac:dyDescent="0.25">
      <c r="A29" s="51" t="s">
        <v>81</v>
      </c>
      <c r="B29" s="51" t="s">
        <v>69</v>
      </c>
      <c r="C29" s="51" t="s">
        <v>82</v>
      </c>
      <c r="D29" s="51" t="s">
        <v>63</v>
      </c>
      <c r="E29" s="51">
        <v>50</v>
      </c>
      <c r="F29" s="52" t="s">
        <v>64</v>
      </c>
      <c r="G29" s="53">
        <v>30</v>
      </c>
      <c r="H29" s="53">
        <v>2.2200000000000002</v>
      </c>
      <c r="I29" s="53">
        <f t="shared" si="2"/>
        <v>66.600000000000009</v>
      </c>
      <c r="J29" s="54">
        <v>1.6</v>
      </c>
      <c r="K29" s="54">
        <f>+J29*I29</f>
        <v>106.56000000000002</v>
      </c>
      <c r="L29" s="54">
        <v>20</v>
      </c>
      <c r="M29" s="63" t="s">
        <v>83</v>
      </c>
      <c r="N29" s="51">
        <f>+K29*L29</f>
        <v>2131.2000000000003</v>
      </c>
      <c r="O29" s="51"/>
      <c r="P29" s="55">
        <v>4.4999999999999998E-2</v>
      </c>
      <c r="Q29" s="56">
        <f t="shared" si="0"/>
        <v>-182562.5248140347</v>
      </c>
    </row>
    <row r="30" spans="1:17" x14ac:dyDescent="0.25">
      <c r="A30" s="51" t="s">
        <v>61</v>
      </c>
      <c r="B30" s="51" t="s">
        <v>66</v>
      </c>
      <c r="C30" s="51" t="s">
        <v>67</v>
      </c>
      <c r="D30" s="51" t="s">
        <v>63</v>
      </c>
      <c r="E30" s="51">
        <v>51</v>
      </c>
      <c r="F30" s="52" t="s">
        <v>64</v>
      </c>
      <c r="G30" s="53">
        <v>236</v>
      </c>
      <c r="H30" s="53">
        <v>0.18739108374851698</v>
      </c>
      <c r="I30" s="53">
        <f t="shared" si="2"/>
        <v>44.224295764650009</v>
      </c>
      <c r="J30" s="54">
        <f>+$B$3+$B$5</f>
        <v>14.499202733485195</v>
      </c>
      <c r="K30" s="54">
        <f>+I30*J30</f>
        <v>641.21703003727112</v>
      </c>
      <c r="L30" s="54">
        <v>15</v>
      </c>
      <c r="M30" s="63" t="s">
        <v>83</v>
      </c>
      <c r="N30" s="51">
        <f>+L30*K30</f>
        <v>9618.255450559067</v>
      </c>
      <c r="O30" s="51"/>
      <c r="P30" s="55">
        <v>4.4999999999999998E-2</v>
      </c>
      <c r="Q30" s="56">
        <f t="shared" si="0"/>
        <v>-181543.54520234893</v>
      </c>
    </row>
    <row r="31" spans="1:17" hidden="1" x14ac:dyDescent="0.25">
      <c r="A31" s="51" t="s">
        <v>100</v>
      </c>
      <c r="B31" s="51" t="s">
        <v>63</v>
      </c>
      <c r="C31" s="51" t="s">
        <v>62</v>
      </c>
      <c r="D31" s="51" t="s">
        <v>101</v>
      </c>
      <c r="E31" s="51">
        <v>56</v>
      </c>
      <c r="F31" s="52" t="s">
        <v>69</v>
      </c>
      <c r="G31" s="53"/>
      <c r="H31" s="53"/>
      <c r="I31" s="53">
        <v>63</v>
      </c>
      <c r="J31" s="54">
        <f>+$B$6</f>
        <v>4.8389977220956721</v>
      </c>
      <c r="K31" s="54">
        <f>+J31*I31</f>
        <v>304.85685649202736</v>
      </c>
      <c r="L31" s="54">
        <v>20</v>
      </c>
      <c r="M31" s="63" t="s">
        <v>83</v>
      </c>
      <c r="N31" s="51">
        <f>+K31*L31</f>
        <v>6097.1371298405475</v>
      </c>
      <c r="O31" s="51"/>
      <c r="P31" s="55">
        <v>4.4999999999999998E-2</v>
      </c>
      <c r="Q31" s="56">
        <f t="shared" si="0"/>
        <v>-181025.20642766191</v>
      </c>
    </row>
    <row r="32" spans="1:17" x14ac:dyDescent="0.25">
      <c r="A32" s="51" t="s">
        <v>97</v>
      </c>
      <c r="B32" s="51" t="s">
        <v>98</v>
      </c>
      <c r="C32" s="51" t="s">
        <v>62</v>
      </c>
      <c r="D32" s="51" t="s">
        <v>63</v>
      </c>
      <c r="E32" s="51">
        <v>59</v>
      </c>
      <c r="F32" s="52" t="s">
        <v>64</v>
      </c>
      <c r="G32" s="53">
        <v>51</v>
      </c>
      <c r="H32" s="53">
        <v>1.1615476696139417</v>
      </c>
      <c r="I32" s="53">
        <f t="shared" ref="I32:I34" si="3">+H32*G32</f>
        <v>59.238931150311032</v>
      </c>
      <c r="J32" s="54">
        <f>+$B$4</f>
        <v>2.490660592255125</v>
      </c>
      <c r="K32" s="54">
        <f>+I32*J32</f>
        <v>147.54407134339425</v>
      </c>
      <c r="L32" s="54">
        <v>40</v>
      </c>
      <c r="M32" s="63" t="s">
        <v>83</v>
      </c>
      <c r="N32" s="51">
        <f>+L32*K32</f>
        <v>5901.7628537357705</v>
      </c>
      <c r="O32" s="51"/>
      <c r="P32" s="55">
        <v>4.4999999999999998E-2</v>
      </c>
      <c r="Q32" s="56">
        <f t="shared" si="0"/>
        <v>-180585.54271976819</v>
      </c>
    </row>
    <row r="33" spans="1:17" x14ac:dyDescent="0.25">
      <c r="A33" s="51" t="s">
        <v>61</v>
      </c>
      <c r="B33" s="51" t="s">
        <v>66</v>
      </c>
      <c r="C33" s="51" t="s">
        <v>67</v>
      </c>
      <c r="D33" s="51" t="s">
        <v>63</v>
      </c>
      <c r="E33" s="51">
        <v>59</v>
      </c>
      <c r="F33" s="52" t="s">
        <v>64</v>
      </c>
      <c r="G33" s="53">
        <v>126</v>
      </c>
      <c r="H33" s="53">
        <v>0.36054081876732547</v>
      </c>
      <c r="I33" s="53">
        <f t="shared" si="3"/>
        <v>45.428143164683007</v>
      </c>
      <c r="J33" s="54">
        <f>+$B$3+$B$5</f>
        <v>14.499202733485195</v>
      </c>
      <c r="K33" s="54">
        <f>+I33*J33</f>
        <v>658.67185755052867</v>
      </c>
      <c r="L33" s="54">
        <v>15</v>
      </c>
      <c r="M33" s="63" t="s">
        <v>83</v>
      </c>
      <c r="N33" s="51">
        <f>+L33*K33</f>
        <v>9880.0778632579295</v>
      </c>
      <c r="O33" s="51"/>
      <c r="P33" s="55">
        <v>4.4999999999999998E-2</v>
      </c>
      <c r="Q33" s="56">
        <f t="shared" si="0"/>
        <v>-179849.50642429266</v>
      </c>
    </row>
    <row r="34" spans="1:17" x14ac:dyDescent="0.25">
      <c r="A34" s="51" t="s">
        <v>81</v>
      </c>
      <c r="B34" s="51" t="s">
        <v>69</v>
      </c>
      <c r="C34" s="51" t="s">
        <v>82</v>
      </c>
      <c r="D34" s="51" t="s">
        <v>63</v>
      </c>
      <c r="E34" s="51">
        <v>60</v>
      </c>
      <c r="F34" s="52" t="s">
        <v>64</v>
      </c>
      <c r="G34" s="53">
        <v>60</v>
      </c>
      <c r="H34" s="53">
        <v>2.95</v>
      </c>
      <c r="I34" s="53">
        <f t="shared" si="3"/>
        <v>177</v>
      </c>
      <c r="J34" s="54">
        <v>1.6</v>
      </c>
      <c r="K34" s="54">
        <f>+J34*I34</f>
        <v>283.2</v>
      </c>
      <c r="L34" s="54">
        <v>30</v>
      </c>
      <c r="M34" s="63" t="s">
        <v>83</v>
      </c>
      <c r="N34" s="51">
        <f>+K34*L34</f>
        <v>8496</v>
      </c>
      <c r="O34" s="51"/>
      <c r="P34" s="55">
        <v>4.4999999999999998E-2</v>
      </c>
      <c r="Q34" s="56">
        <f t="shared" si="0"/>
        <v>-179243.8350099395</v>
      </c>
    </row>
    <row r="35" spans="1:17" hidden="1" x14ac:dyDescent="0.25">
      <c r="A35" s="51" t="s">
        <v>100</v>
      </c>
      <c r="B35" s="51" t="s">
        <v>63</v>
      </c>
      <c r="C35" s="51" t="s">
        <v>62</v>
      </c>
      <c r="D35" s="51" t="s">
        <v>101</v>
      </c>
      <c r="E35" s="51">
        <v>66</v>
      </c>
      <c r="F35" s="52" t="s">
        <v>69</v>
      </c>
      <c r="G35" s="53"/>
      <c r="H35" s="53"/>
      <c r="I35" s="53">
        <v>73</v>
      </c>
      <c r="J35" s="54">
        <f>+$B$6</f>
        <v>4.8389977220956721</v>
      </c>
      <c r="K35" s="54">
        <f>+J35*I35</f>
        <v>353.24683371298408</v>
      </c>
      <c r="L35" s="54">
        <v>30</v>
      </c>
      <c r="M35" s="63" t="s">
        <v>83</v>
      </c>
      <c r="N35" s="51">
        <f>+K35*L35</f>
        <v>10597.405011389523</v>
      </c>
      <c r="O35" s="51"/>
      <c r="P35" s="55">
        <v>4.4999999999999998E-2</v>
      </c>
      <c r="Q35" s="56">
        <f t="shared" si="0"/>
        <v>-178663.70629433458</v>
      </c>
    </row>
    <row r="36" spans="1:17" x14ac:dyDescent="0.25">
      <c r="A36" s="51" t="s">
        <v>61</v>
      </c>
      <c r="B36" s="51" t="s">
        <v>66</v>
      </c>
      <c r="C36" s="51" t="s">
        <v>67</v>
      </c>
      <c r="D36" s="51" t="s">
        <v>63</v>
      </c>
      <c r="E36" s="51">
        <v>67</v>
      </c>
      <c r="F36" s="52" t="s">
        <v>64</v>
      </c>
      <c r="G36" s="53">
        <v>71</v>
      </c>
      <c r="H36" s="53">
        <v>0.64177361990154924</v>
      </c>
      <c r="I36" s="53">
        <f t="shared" ref="I36:I38" si="4">+H36*G36</f>
        <v>45.565927013009997</v>
      </c>
      <c r="J36" s="54">
        <f>+$B$3+$B$5</f>
        <v>14.499202733485195</v>
      </c>
      <c r="K36" s="54">
        <f>+I36*J36</f>
        <v>660.66961350082147</v>
      </c>
      <c r="L36" s="54">
        <v>20</v>
      </c>
      <c r="M36" s="63" t="s">
        <v>83</v>
      </c>
      <c r="N36" s="51">
        <f>+L36*K36</f>
        <v>13213.392270016429</v>
      </c>
      <c r="O36" s="51"/>
      <c r="P36" s="55">
        <v>4.4999999999999998E-2</v>
      </c>
      <c r="Q36" s="56">
        <f t="shared" si="0"/>
        <v>-177971.52020323704</v>
      </c>
    </row>
    <row r="37" spans="1:17" x14ac:dyDescent="0.25">
      <c r="A37" s="51" t="s">
        <v>97</v>
      </c>
      <c r="B37" s="51" t="s">
        <v>98</v>
      </c>
      <c r="C37" s="51" t="s">
        <v>62</v>
      </c>
      <c r="D37" s="51" t="s">
        <v>63</v>
      </c>
      <c r="E37" s="51">
        <v>69</v>
      </c>
      <c r="F37" s="52" t="s">
        <v>64</v>
      </c>
      <c r="G37" s="53">
        <v>36</v>
      </c>
      <c r="H37" s="53">
        <v>1.5355865864558891</v>
      </c>
      <c r="I37" s="53">
        <f t="shared" si="4"/>
        <v>55.281117112412005</v>
      </c>
      <c r="J37" s="54">
        <f>+$B$4</f>
        <v>2.490660592255125</v>
      </c>
      <c r="K37" s="54">
        <f>+I37*J37</f>
        <v>137.68649988772501</v>
      </c>
      <c r="L37" s="54">
        <v>50</v>
      </c>
      <c r="M37" s="63" t="s">
        <v>83</v>
      </c>
      <c r="N37" s="51">
        <f>+L37*K37</f>
        <v>6884.3249943862502</v>
      </c>
      <c r="O37" s="51"/>
      <c r="P37" s="55">
        <v>4.4999999999999998E-2</v>
      </c>
      <c r="Q37" s="56">
        <f t="shared" si="0"/>
        <v>-177641.2743877536</v>
      </c>
    </row>
    <row r="38" spans="1:17" x14ac:dyDescent="0.25">
      <c r="A38" s="51" t="s">
        <v>61</v>
      </c>
      <c r="B38" s="51" t="s">
        <v>66</v>
      </c>
      <c r="C38" s="51" t="s">
        <v>67</v>
      </c>
      <c r="D38" s="51" t="s">
        <v>63</v>
      </c>
      <c r="E38" s="51">
        <v>75</v>
      </c>
      <c r="F38" s="52" t="s">
        <v>64</v>
      </c>
      <c r="G38" s="53">
        <v>47</v>
      </c>
      <c r="H38" s="53">
        <v>0.82911595259702153</v>
      </c>
      <c r="I38" s="53">
        <f t="shared" si="4"/>
        <v>38.968449772060012</v>
      </c>
      <c r="J38" s="54">
        <f>+$B$3+$B$5</f>
        <v>14.499202733485195</v>
      </c>
      <c r="K38" s="54">
        <f>+I38*J38</f>
        <v>565.01145345473299</v>
      </c>
      <c r="L38" s="54">
        <v>20</v>
      </c>
      <c r="M38" s="63" t="s">
        <v>83</v>
      </c>
      <c r="N38" s="51">
        <f>+L38*K38</f>
        <v>11300.229069094659</v>
      </c>
      <c r="O38" s="51"/>
      <c r="P38" s="55">
        <v>4.4999999999999998E-2</v>
      </c>
      <c r="Q38" s="56">
        <f t="shared" si="0"/>
        <v>-177225.01363648349</v>
      </c>
    </row>
    <row r="39" spans="1:17" hidden="1" x14ac:dyDescent="0.25">
      <c r="A39" s="51" t="s">
        <v>100</v>
      </c>
      <c r="B39" s="51" t="s">
        <v>63</v>
      </c>
      <c r="C39" s="51" t="s">
        <v>62</v>
      </c>
      <c r="D39" s="51" t="s">
        <v>101</v>
      </c>
      <c r="E39" s="51">
        <v>76</v>
      </c>
      <c r="F39" s="52" t="s">
        <v>69</v>
      </c>
      <c r="G39" s="53"/>
      <c r="H39" s="53"/>
      <c r="I39" s="53">
        <v>78</v>
      </c>
      <c r="J39" s="54">
        <f>+$B$6</f>
        <v>4.8389977220956721</v>
      </c>
      <c r="K39" s="54">
        <f>+J39*I39</f>
        <v>377.44182232346242</v>
      </c>
      <c r="L39" s="54">
        <v>40</v>
      </c>
      <c r="M39" s="63" t="s">
        <v>83</v>
      </c>
      <c r="N39" s="51">
        <f>+K39*L39</f>
        <v>15097.672892938497</v>
      </c>
      <c r="O39" s="51"/>
      <c r="P39" s="55">
        <v>4.4999999999999998E-2</v>
      </c>
      <c r="Q39" s="56">
        <f t="shared" si="0"/>
        <v>-176692.81723006803</v>
      </c>
    </row>
    <row r="40" spans="1:17" x14ac:dyDescent="0.25">
      <c r="A40" s="51" t="s">
        <v>97</v>
      </c>
      <c r="B40" s="51" t="s">
        <v>98</v>
      </c>
      <c r="C40" s="51" t="s">
        <v>62</v>
      </c>
      <c r="D40" s="51" t="s">
        <v>63</v>
      </c>
      <c r="E40" s="51">
        <v>79</v>
      </c>
      <c r="F40" s="52" t="s">
        <v>64</v>
      </c>
      <c r="G40" s="53">
        <v>188</v>
      </c>
      <c r="H40" s="53">
        <v>2.2533869982735215</v>
      </c>
      <c r="I40" s="53">
        <f t="shared" ref="I40:I41" si="5">+H40*G40</f>
        <v>423.63675567542202</v>
      </c>
      <c r="J40" s="54">
        <f>+$B$4</f>
        <v>2.490660592255125</v>
      </c>
      <c r="K40" s="54">
        <f>+I40*J40</f>
        <v>1055.1353727915864</v>
      </c>
      <c r="L40" s="54">
        <v>60</v>
      </c>
      <c r="M40" s="63" t="s">
        <v>83</v>
      </c>
      <c r="N40" s="51">
        <f>+L40*K40</f>
        <v>63308.122367495183</v>
      </c>
      <c r="O40" s="51"/>
      <c r="P40" s="55">
        <v>4.4999999999999998E-2</v>
      </c>
      <c r="Q40" s="56">
        <f t="shared" si="0"/>
        <v>-174737.251185417</v>
      </c>
    </row>
    <row r="41" spans="1:17" x14ac:dyDescent="0.25">
      <c r="A41" s="51" t="s">
        <v>61</v>
      </c>
      <c r="B41" s="51" t="s">
        <v>66</v>
      </c>
      <c r="C41" s="51" t="s">
        <v>67</v>
      </c>
      <c r="D41" s="51" t="s">
        <v>63</v>
      </c>
      <c r="E41" s="51">
        <v>84</v>
      </c>
      <c r="F41" s="52" t="s">
        <v>64</v>
      </c>
      <c r="G41" s="53">
        <v>37</v>
      </c>
      <c r="H41" s="53">
        <v>1.1838605543597842</v>
      </c>
      <c r="I41" s="53">
        <f t="shared" si="5"/>
        <v>43.802840511312013</v>
      </c>
      <c r="J41" s="54">
        <f>+$B$3+$B$5</f>
        <v>14.499202733485195</v>
      </c>
      <c r="K41" s="54">
        <f>+I41*J41</f>
        <v>635.10626487603122</v>
      </c>
      <c r="L41" s="54">
        <v>30</v>
      </c>
      <c r="M41" s="63" t="s">
        <v>83</v>
      </c>
      <c r="N41" s="51">
        <f>+L41*K41</f>
        <v>19053.187946280937</v>
      </c>
      <c r="O41" s="51"/>
      <c r="P41" s="55">
        <v>4.4999999999999998E-2</v>
      </c>
      <c r="Q41" s="56">
        <f t="shared" si="0"/>
        <v>-174264.97151234443</v>
      </c>
    </row>
    <row r="42" spans="1:17" hidden="1" x14ac:dyDescent="0.25">
      <c r="A42" s="51" t="s">
        <v>100</v>
      </c>
      <c r="B42" s="51" t="s">
        <v>63</v>
      </c>
      <c r="C42" s="51" t="s">
        <v>62</v>
      </c>
      <c r="D42" s="51" t="s">
        <v>101</v>
      </c>
      <c r="E42" s="51">
        <v>91</v>
      </c>
      <c r="F42" s="52" t="s">
        <v>69</v>
      </c>
      <c r="G42" s="53"/>
      <c r="H42" s="53"/>
      <c r="I42" s="53">
        <v>138</v>
      </c>
      <c r="J42" s="54">
        <f>+$B$6</f>
        <v>4.8389977220956721</v>
      </c>
      <c r="K42" s="54">
        <f>+J42*I42</f>
        <v>667.7816856492027</v>
      </c>
      <c r="L42" s="54">
        <v>50</v>
      </c>
      <c r="M42" s="63" t="s">
        <v>83</v>
      </c>
      <c r="N42" s="51">
        <f>+K42*L42</f>
        <v>33389.084282460135</v>
      </c>
      <c r="O42" s="51"/>
      <c r="P42" s="55">
        <v>4.4999999999999998E-2</v>
      </c>
      <c r="Q42" s="56">
        <f t="shared" si="0"/>
        <v>-173656.80559522877</v>
      </c>
    </row>
    <row r="43" spans="1:17" x14ac:dyDescent="0.25">
      <c r="A43" s="51" t="s">
        <v>61</v>
      </c>
      <c r="B43" s="51" t="s">
        <v>66</v>
      </c>
      <c r="C43" s="51" t="s">
        <v>67</v>
      </c>
      <c r="D43" s="51" t="s">
        <v>63</v>
      </c>
      <c r="E43" s="51">
        <v>93</v>
      </c>
      <c r="F43" s="52" t="s">
        <v>64</v>
      </c>
      <c r="G43" s="53">
        <v>24</v>
      </c>
      <c r="H43" s="53">
        <v>1.724960532541792</v>
      </c>
      <c r="I43" s="53">
        <f t="shared" ref="I43:I44" si="6">+H43*G43</f>
        <v>41.399052781003007</v>
      </c>
      <c r="J43" s="54">
        <f>+$B$3+$B$5</f>
        <v>14.499202733485195</v>
      </c>
      <c r="K43" s="54">
        <f>+I43*J43</f>
        <v>600.25325924601668</v>
      </c>
      <c r="L43" s="54">
        <v>30</v>
      </c>
      <c r="M43" s="63" t="s">
        <v>83</v>
      </c>
      <c r="N43" s="51">
        <f>+L43*K43</f>
        <v>18007.597777380499</v>
      </c>
      <c r="O43" s="51"/>
      <c r="P43" s="55">
        <v>4.4999999999999998E-2</v>
      </c>
      <c r="Q43" s="56">
        <f t="shared" si="0"/>
        <v>-173356.44651205483</v>
      </c>
    </row>
    <row r="44" spans="1:17" x14ac:dyDescent="0.25">
      <c r="A44" s="51" t="s">
        <v>61</v>
      </c>
      <c r="B44" s="51" t="s">
        <v>66</v>
      </c>
      <c r="C44" s="51" t="s">
        <v>67</v>
      </c>
      <c r="D44" s="51" t="s">
        <v>63</v>
      </c>
      <c r="E44" s="51">
        <v>103</v>
      </c>
      <c r="F44" s="52" t="s">
        <v>64</v>
      </c>
      <c r="G44" s="53">
        <v>22</v>
      </c>
      <c r="H44" s="53">
        <v>2.1737468204258632</v>
      </c>
      <c r="I44" s="53">
        <f t="shared" si="6"/>
        <v>47.82243004936899</v>
      </c>
      <c r="J44" s="54">
        <f>+$B$3+$B$5</f>
        <v>14.499202733485195</v>
      </c>
      <c r="K44" s="54">
        <f>+I44*J44</f>
        <v>693.38710849371535</v>
      </c>
      <c r="L44" s="54">
        <v>40</v>
      </c>
      <c r="M44" s="63" t="s">
        <v>83</v>
      </c>
      <c r="N44" s="51">
        <f>+L44*K44</f>
        <v>27735.484339748615</v>
      </c>
      <c r="O44" s="51"/>
      <c r="P44" s="55">
        <v>4.4999999999999998E-2</v>
      </c>
      <c r="Q44" s="56">
        <f t="shared" si="0"/>
        <v>-173058.55519934336</v>
      </c>
    </row>
    <row r="45" spans="1:17" hidden="1" x14ac:dyDescent="0.25">
      <c r="A45" s="51" t="s">
        <v>100</v>
      </c>
      <c r="B45" s="51" t="s">
        <v>63</v>
      </c>
      <c r="C45" s="51" t="s">
        <v>62</v>
      </c>
      <c r="D45" s="51" t="s">
        <v>101</v>
      </c>
      <c r="E45" s="51">
        <v>106</v>
      </c>
      <c r="F45" s="52" t="s">
        <v>69</v>
      </c>
      <c r="G45" s="53"/>
      <c r="H45" s="53"/>
      <c r="I45" s="53">
        <v>122</v>
      </c>
      <c r="J45" s="54">
        <f>+$B$6</f>
        <v>4.8389977220956721</v>
      </c>
      <c r="K45" s="54">
        <f>+J45*I45</f>
        <v>590.35772209567199</v>
      </c>
      <c r="L45" s="54">
        <v>50</v>
      </c>
      <c r="M45" s="63" t="s">
        <v>83</v>
      </c>
      <c r="N45" s="51">
        <f>+K45*L45</f>
        <v>29517.8861047836</v>
      </c>
      <c r="O45" s="51"/>
      <c r="P45" s="55">
        <v>4.4999999999999998E-2</v>
      </c>
      <c r="Q45" s="56">
        <f t="shared" si="0"/>
        <v>-172780.73842451299</v>
      </c>
    </row>
    <row r="46" spans="1:17" hidden="1" x14ac:dyDescent="0.25">
      <c r="A46" s="51" t="s">
        <v>100</v>
      </c>
      <c r="B46" s="51" t="s">
        <v>63</v>
      </c>
      <c r="C46" s="51" t="s">
        <v>62</v>
      </c>
      <c r="D46" s="51" t="s">
        <v>101</v>
      </c>
      <c r="E46" s="51">
        <v>110</v>
      </c>
      <c r="F46" s="52" t="s">
        <v>69</v>
      </c>
      <c r="G46" s="53"/>
      <c r="H46" s="53"/>
      <c r="I46" s="53">
        <v>513</v>
      </c>
      <c r="J46" s="54">
        <f>+$B$6</f>
        <v>4.8389977220956721</v>
      </c>
      <c r="K46" s="54">
        <f>+J46*I46</f>
        <v>2482.40583143508</v>
      </c>
      <c r="L46" s="54">
        <v>50</v>
      </c>
      <c r="M46" s="63" t="s">
        <v>83</v>
      </c>
      <c r="N46" s="51">
        <f>+K46*L46</f>
        <v>124120.291571754</v>
      </c>
      <c r="O46" s="51"/>
      <c r="P46" s="55">
        <v>4.4999999999999998E-2</v>
      </c>
      <c r="Q46" s="56">
        <f t="shared" si="0"/>
        <v>-171801.13377458745</v>
      </c>
    </row>
    <row r="47" spans="1:17" x14ac:dyDescent="0.25">
      <c r="A47" s="51" t="s">
        <v>61</v>
      </c>
      <c r="B47" s="51" t="s">
        <v>66</v>
      </c>
      <c r="C47" s="51" t="s">
        <v>67</v>
      </c>
      <c r="D47" s="51" t="s">
        <v>63</v>
      </c>
      <c r="E47" s="51">
        <v>113</v>
      </c>
      <c r="F47" s="52" t="s">
        <v>64</v>
      </c>
      <c r="G47" s="53">
        <v>14</v>
      </c>
      <c r="H47" s="53">
        <v>2.8850082502531427</v>
      </c>
      <c r="I47" s="53">
        <f t="shared" ref="I47:I53" si="7">+H47*G47</f>
        <v>40.390115503543996</v>
      </c>
      <c r="J47" s="54">
        <f t="shared" ref="J47:J53" si="8">+$B$3+$B$5</f>
        <v>14.499202733485195</v>
      </c>
      <c r="K47" s="54">
        <f t="shared" ref="K47:K53" si="9">+I47*J47</f>
        <v>585.62447311476785</v>
      </c>
      <c r="L47" s="54">
        <v>40</v>
      </c>
      <c r="M47" s="63" t="s">
        <v>83</v>
      </c>
      <c r="N47" s="51">
        <f t="shared" ref="N47:N53" si="10">+L47*K47</f>
        <v>23424.978924590716</v>
      </c>
      <c r="O47" s="51"/>
      <c r="P47" s="55">
        <v>4.4999999999999998E-2</v>
      </c>
      <c r="Q47" s="56">
        <f t="shared" si="0"/>
        <v>-171639.1250554997</v>
      </c>
    </row>
    <row r="48" spans="1:17" x14ac:dyDescent="0.25">
      <c r="A48" s="51" t="s">
        <v>61</v>
      </c>
      <c r="B48" s="51" t="s">
        <v>66</v>
      </c>
      <c r="C48" s="51" t="s">
        <v>67</v>
      </c>
      <c r="D48" s="51" t="s">
        <v>63</v>
      </c>
      <c r="E48" s="51">
        <v>125</v>
      </c>
      <c r="F48" s="52" t="s">
        <v>64</v>
      </c>
      <c r="G48" s="53">
        <v>15</v>
      </c>
      <c r="H48" s="53">
        <v>3.925419039262469</v>
      </c>
      <c r="I48" s="53">
        <f t="shared" si="7"/>
        <v>58.881285588937033</v>
      </c>
      <c r="J48" s="54">
        <f t="shared" si="8"/>
        <v>14.499202733485195</v>
      </c>
      <c r="K48" s="54">
        <f t="shared" si="9"/>
        <v>853.73169696223817</v>
      </c>
      <c r="L48" s="54">
        <v>50</v>
      </c>
      <c r="M48" s="63" t="s">
        <v>83</v>
      </c>
      <c r="N48" s="51">
        <f t="shared" si="10"/>
        <v>42686.58484811191</v>
      </c>
      <c r="O48" s="51"/>
      <c r="P48" s="55">
        <v>4.4999999999999998E-2</v>
      </c>
      <c r="Q48" s="56">
        <f t="shared" si="0"/>
        <v>-171465.04255971173</v>
      </c>
    </row>
    <row r="49" spans="1:17" x14ac:dyDescent="0.25">
      <c r="A49" s="51" t="s">
        <v>61</v>
      </c>
      <c r="B49" s="51" t="s">
        <v>66</v>
      </c>
      <c r="C49" s="51" t="s">
        <v>67</v>
      </c>
      <c r="D49" s="51" t="s">
        <v>63</v>
      </c>
      <c r="E49" s="51">
        <v>137</v>
      </c>
      <c r="F49" s="52" t="s">
        <v>64</v>
      </c>
      <c r="G49" s="53">
        <v>12</v>
      </c>
      <c r="H49" s="53">
        <v>5.3194438835420828</v>
      </c>
      <c r="I49" s="53">
        <f t="shared" si="7"/>
        <v>63.833326602504997</v>
      </c>
      <c r="J49" s="54">
        <f t="shared" si="8"/>
        <v>14.499202733485195</v>
      </c>
      <c r="K49" s="54">
        <f t="shared" si="9"/>
        <v>925.53234356249368</v>
      </c>
      <c r="L49" s="54">
        <v>50</v>
      </c>
      <c r="M49" s="63" t="s">
        <v>83</v>
      </c>
      <c r="N49" s="51">
        <f t="shared" si="10"/>
        <v>46276.617178124681</v>
      </c>
      <c r="O49" s="51"/>
      <c r="P49" s="55">
        <v>4.4999999999999998E-2</v>
      </c>
      <c r="Q49" s="56">
        <f t="shared" si="0"/>
        <v>-171353.75930647785</v>
      </c>
    </row>
    <row r="50" spans="1:17" x14ac:dyDescent="0.25">
      <c r="A50" s="51" t="s">
        <v>61</v>
      </c>
      <c r="B50" s="51" t="s">
        <v>66</v>
      </c>
      <c r="C50" s="51" t="s">
        <v>67</v>
      </c>
      <c r="D50" s="51" t="s">
        <v>63</v>
      </c>
      <c r="E50" s="51">
        <v>149</v>
      </c>
      <c r="F50" s="52" t="s">
        <v>64</v>
      </c>
      <c r="G50" s="53">
        <v>23</v>
      </c>
      <c r="H50" s="53">
        <v>6.7514884657807386</v>
      </c>
      <c r="I50" s="53">
        <f t="shared" si="7"/>
        <v>155.28423471295699</v>
      </c>
      <c r="J50" s="54">
        <f t="shared" si="8"/>
        <v>14.499202733485195</v>
      </c>
      <c r="K50" s="54">
        <f t="shared" si="9"/>
        <v>2251.4976004172627</v>
      </c>
      <c r="L50" s="54">
        <v>80</v>
      </c>
      <c r="M50" s="63" t="s">
        <v>83</v>
      </c>
      <c r="N50" s="51">
        <f t="shared" si="10"/>
        <v>180119.80803338101</v>
      </c>
      <c r="O50" s="51"/>
      <c r="P50" s="55">
        <v>4.4999999999999998E-2</v>
      </c>
      <c r="Q50" s="56">
        <f t="shared" si="0"/>
        <v>-171098.35148142645</v>
      </c>
    </row>
    <row r="51" spans="1:17" x14ac:dyDescent="0.25">
      <c r="A51" s="51" t="s">
        <v>61</v>
      </c>
      <c r="B51" s="51" t="s">
        <v>66</v>
      </c>
      <c r="C51" s="51" t="s">
        <v>67</v>
      </c>
      <c r="D51" s="51" t="s">
        <v>63</v>
      </c>
      <c r="E51" s="51">
        <v>153</v>
      </c>
      <c r="F51" s="52" t="s">
        <v>64</v>
      </c>
      <c r="G51" s="53">
        <v>11</v>
      </c>
      <c r="H51" s="53">
        <v>7.7264079820679994</v>
      </c>
      <c r="I51" s="53">
        <f t="shared" si="7"/>
        <v>84.990487802747992</v>
      </c>
      <c r="J51" s="54">
        <f t="shared" si="8"/>
        <v>14.499202733485195</v>
      </c>
      <c r="K51" s="54">
        <f t="shared" si="9"/>
        <v>1232.2943130698438</v>
      </c>
      <c r="L51" s="54">
        <v>100</v>
      </c>
      <c r="M51" s="63" t="s">
        <v>83</v>
      </c>
      <c r="N51" s="51">
        <f t="shared" si="10"/>
        <v>123229.43130698438</v>
      </c>
      <c r="O51" s="51"/>
      <c r="P51" s="55">
        <v>4.4999999999999998E-2</v>
      </c>
      <c r="Q51" s="56">
        <f t="shared" si="0"/>
        <v>-170951.82301447183</v>
      </c>
    </row>
    <row r="52" spans="1:17" x14ac:dyDescent="0.25">
      <c r="A52" s="51" t="s">
        <v>61</v>
      </c>
      <c r="B52" s="51" t="s">
        <v>66</v>
      </c>
      <c r="C52" s="51" t="s">
        <v>67</v>
      </c>
      <c r="D52" s="51" t="s">
        <v>63</v>
      </c>
      <c r="E52" s="51">
        <v>157</v>
      </c>
      <c r="F52" s="52" t="s">
        <v>64</v>
      </c>
      <c r="G52" s="53">
        <v>7</v>
      </c>
      <c r="H52" s="53">
        <v>7.8337944215874318</v>
      </c>
      <c r="I52" s="53">
        <f t="shared" si="7"/>
        <v>54.83656095111202</v>
      </c>
      <c r="J52" s="54">
        <f t="shared" si="8"/>
        <v>14.499202733485195</v>
      </c>
      <c r="K52" s="54">
        <f t="shared" si="9"/>
        <v>795.08641443729084</v>
      </c>
      <c r="L52" s="54">
        <v>120</v>
      </c>
      <c r="M52" s="63" t="s">
        <v>83</v>
      </c>
      <c r="N52" s="51">
        <f t="shared" si="10"/>
        <v>95410.369732474908</v>
      </c>
      <c r="O52" s="51"/>
      <c r="P52" s="55">
        <v>4.4999999999999998E-2</v>
      </c>
      <c r="Q52" s="56">
        <f t="shared" si="0"/>
        <v>-170856.68852791321</v>
      </c>
    </row>
    <row r="53" spans="1:17" x14ac:dyDescent="0.25">
      <c r="A53" s="51" t="s">
        <v>61</v>
      </c>
      <c r="B53" s="51" t="s">
        <v>66</v>
      </c>
      <c r="C53" s="51" t="s">
        <v>67</v>
      </c>
      <c r="D53" s="51" t="s">
        <v>63</v>
      </c>
      <c r="E53" s="51">
        <v>161</v>
      </c>
      <c r="F53" s="52" t="s">
        <v>64</v>
      </c>
      <c r="G53" s="53">
        <v>15</v>
      </c>
      <c r="H53" s="53">
        <v>7.9624581024109338</v>
      </c>
      <c r="I53" s="53">
        <f t="shared" si="7"/>
        <v>119.43687153616401</v>
      </c>
      <c r="J53" s="54">
        <f t="shared" si="8"/>
        <v>14.499202733485195</v>
      </c>
      <c r="K53" s="54">
        <f t="shared" si="9"/>
        <v>1731.7394142560693</v>
      </c>
      <c r="L53" s="54">
        <v>140</v>
      </c>
      <c r="M53" s="63" t="s">
        <v>83</v>
      </c>
      <c r="N53" s="51">
        <f t="shared" si="10"/>
        <v>242443.51799584969</v>
      </c>
      <c r="O53" s="51"/>
      <c r="P53" s="55">
        <v>4.4999999999999998E-2</v>
      </c>
      <c r="Q53" s="56">
        <f t="shared" si="0"/>
        <v>-170653.97262726017</v>
      </c>
    </row>
  </sheetData>
  <autoFilter ref="A11:Q53" xr:uid="{DFE5DA17-9976-48FB-81BB-11301B8D1AD2}">
    <filterColumn colId="0">
      <filters>
        <filter val="CHS"/>
        <filter val="Feuillus générique"/>
        <filter val="PL"/>
      </filters>
    </filterColumn>
  </autoFilter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Référencement</vt:lpstr>
      <vt:lpstr>VAN LBC - Total</vt:lpstr>
      <vt:lpstr>Calcul VAN</vt:lpstr>
      <vt:lpstr>'VAN LBC - Total'!Zone_d_impression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2021-07-22T15:14:34Z</dcterms:modified>
</cp:coreProperties>
</file>