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G:\Drive partagés\01_PROJETS\02_Projects\00_Projects\EU\France\03_Projets_Forestiers\02_IOS_Foret\02_Roll_out\01_Design_Activites\Vague_2022-2023\GE_NIDERVILLER_Michaut_Arnaud\Pieces justif_DDP_ancien format\"/>
    </mc:Choice>
  </mc:AlternateContent>
  <xr:revisionPtr revIDLastSave="0" documentId="13_ncr:1_{1D7988B9-40A3-47E9-8381-1964CC8FF76D}" xr6:coauthVersionLast="47" xr6:coauthVersionMax="47" xr10:uidLastSave="{00000000-0000-0000-0000-000000000000}"/>
  <bookViews>
    <workbookView xWindow="-120" yWindow="-120" windowWidth="25440" windowHeight="15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E48" i="6"/>
  <c r="E17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FQ4" i="2"/>
  <c r="GL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V7" i="2"/>
  <c r="EB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FS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C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HH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EV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HG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EC85" i="2"/>
  <c r="HH85" i="2"/>
  <c r="EW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EX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B128" i="2"/>
  <c r="EX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C140" i="2"/>
  <c r="HG140" i="2"/>
  <c r="EX140" i="2"/>
  <c r="EB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EB145" i="2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HH150" i="2"/>
  <c r="EV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G155" i="2"/>
  <c r="HH155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HG156" i="2"/>
  <c r="H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A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HG163" i="2"/>
  <c r="HI163" i="2"/>
  <c r="EV163" i="2"/>
  <c r="EY163" i="2" s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X164" i="2" l="1"/>
  <c r="FR164" i="2"/>
  <c r="HG164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FR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B168" i="2"/>
  <c r="DI167" i="2"/>
  <c r="HH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W178" i="2"/>
  <c r="HH178" i="2"/>
  <c r="FS178" i="2"/>
  <c r="FQ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A185" i="2"/>
  <c r="EV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C192" i="2"/>
  <c r="EW192" i="2"/>
  <c r="HG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FQ195" i="2"/>
  <c r="EX195" i="2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EB199" i="2"/>
  <c r="EA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EA201" i="2"/>
  <c r="EB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EX202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4" i="2" a="1"/>
  <c r="EI34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37" i="2" l="1" a="1"/>
  <c r="EI37" i="2" s="1"/>
  <c r="EI20" i="2" a="1"/>
  <c r="EI20" i="2" s="1"/>
  <c r="EI38" i="2" a="1"/>
  <c r="EI38" i="2" s="1"/>
  <c r="EI195" i="2" a="1"/>
  <c r="EI195" i="2" s="1"/>
  <c r="EI29" i="2" a="1"/>
  <c r="EI29" i="2" s="1"/>
  <c r="EI139" i="2" a="1"/>
  <c r="EI139" i="2" s="1"/>
  <c r="EI165" i="2" a="1"/>
  <c r="EI165" i="2" s="1"/>
  <c r="EI153" i="2" a="1"/>
  <c r="EI153" i="2" s="1"/>
  <c r="EI142" i="2" a="1"/>
  <c r="EI142" i="2" s="1"/>
  <c r="EI166" i="2" a="1"/>
  <c r="EI166" i="2" s="1"/>
  <c r="EI170" i="2" a="1"/>
  <c r="EI170" i="2" s="1"/>
  <c r="EI57" i="2" a="1"/>
  <c r="EI57" i="2" s="1"/>
  <c r="EI178" i="2" a="1"/>
  <c r="EI178" i="2" s="1"/>
  <c r="EI198" i="2" a="1"/>
  <c r="EI198" i="2" s="1"/>
  <c r="EI16" i="2" a="1"/>
  <c r="EI16" i="2" s="1"/>
  <c r="EI36" i="2" a="1"/>
  <c r="EI36" i="2" s="1"/>
  <c r="EI145" i="2" a="1"/>
  <c r="EI145" i="2" s="1"/>
  <c r="EI71" i="2" a="1"/>
  <c r="EI71" i="2" s="1"/>
  <c r="EI113" i="2" a="1"/>
  <c r="EI113" i="2" s="1"/>
  <c r="EI87" i="2" a="1"/>
  <c r="EI87" i="2" s="1"/>
  <c r="EI162" i="2" a="1"/>
  <c r="EI162" i="2" s="1"/>
  <c r="EI67" i="2" a="1"/>
  <c r="EI67" i="2" s="1"/>
  <c r="EI128" i="2" a="1"/>
  <c r="EI128" i="2" s="1"/>
  <c r="EI109" i="2" a="1"/>
  <c r="EI109" i="2" s="1"/>
  <c r="EI150" i="2" a="1"/>
  <c r="EI150" i="2" s="1"/>
  <c r="BP203" i="2"/>
  <c r="HH203" i="2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0" i="2" a="1"/>
  <c r="AH90" i="2" s="1"/>
  <c r="AH92" i="2" a="1"/>
  <c r="AH92" i="2" s="1"/>
  <c r="AH19" i="2" a="1"/>
  <c r="AH19" i="2" s="1"/>
  <c r="BC151" i="2" a="1"/>
  <c r="BC151" i="2" s="1"/>
  <c r="BC192" i="2" a="1"/>
  <c r="BC192" i="2" s="1"/>
  <c r="BC47" i="2" a="1"/>
  <c r="BC47" i="2" s="1"/>
  <c r="BC7" i="2" a="1"/>
  <c r="BC7" i="2" s="1"/>
  <c r="BD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81" i="2" a="1"/>
  <c r="BC181" i="2" s="1"/>
  <c r="BC34" i="2" a="1"/>
  <c r="BC34" i="2" s="1"/>
  <c r="BC143" i="2" a="1"/>
  <c r="BC143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<sst xmlns="http://schemas.openxmlformats.org/spreadsheetml/2006/main" count="1173" uniqueCount="325">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</sst>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103.97634269291849</c:v>
                </c:pt>
                <c:pt idx="22">
                  <c:v>110.65058636488233</c:v>
                </c:pt>
                <c:pt idx="23">
                  <c:v>117.31494327401042</c:v>
                </c:pt>
                <c:pt idx="24">
                  <c:v>123.97005543664547</c:v>
                </c:pt>
                <c:pt idx="25">
                  <c:v>130.61649014376766</c:v>
                </c:pt>
                <c:pt idx="26">
                  <c:v>137.25475210550681</c:v>
                </c:pt>
                <c:pt idx="27">
                  <c:v>143.88529311683052</c:v>
                </c:pt>
                <c:pt idx="28">
                  <c:v>150.5085198437738</c:v>
                </c:pt>
                <c:pt idx="29">
                  <c:v>157.12480016409424</c:v>
                </c:pt>
                <c:pt idx="30">
                  <c:v>163.73446838162991</c:v>
                </c:pt>
                <c:pt idx="31">
                  <c:v>144.39502686294233</c:v>
                </c:pt>
                <c:pt idx="32">
                  <c:v>151.52685252328283</c:v>
                </c:pt>
                <c:pt idx="33">
                  <c:v>158.65068353627368</c:v>
                </c:pt>
                <c:pt idx="34">
                  <c:v>165.76693012867713</c:v>
                </c:pt>
                <c:pt idx="35">
                  <c:v>172.87596436429328</c:v>
                </c:pt>
                <c:pt idx="36">
                  <c:v>179.97812515299574</c:v>
                </c:pt>
                <c:pt idx="37">
                  <c:v>187.07372242622981</c:v>
                </c:pt>
                <c:pt idx="38">
                  <c:v>194.16304064471555</c:v>
                </c:pt>
                <c:pt idx="39">
                  <c:v>201.24634176616689</c:v>
                </c:pt>
                <c:pt idx="40">
                  <c:v>208.32386777264207</c:v>
                </c:pt>
                <c:pt idx="41">
                  <c:v>177.84817966602256</c:v>
                </c:pt>
                <c:pt idx="42">
                  <c:v>184.84436712462625</c:v>
                </c:pt>
                <c:pt idx="43">
                  <c:v>191.83436931920767</c:v>
                </c:pt>
                <c:pt idx="44">
                  <c:v>198.81844377630503</c:v>
                </c:pt>
                <c:pt idx="45">
                  <c:v>205.79682842274221</c:v>
                </c:pt>
                <c:pt idx="46">
                  <c:v>212.76974370629156</c:v>
                </c:pt>
                <c:pt idx="47">
                  <c:v>219.73739442337504</c:v>
                </c:pt>
                <c:pt idx="48">
                  <c:v>226.69997130248001</c:v>
                </c:pt>
                <c:pt idx="49">
                  <c:v>233.65765238260352</c:v>
                </c:pt>
                <c:pt idx="50">
                  <c:v>240.61060421870184</c:v>
                </c:pt>
                <c:pt idx="51">
                  <c:v>201.24634176616698</c:v>
                </c:pt>
                <c:pt idx="52">
                  <c:v>209.3344847569399</c:v>
                </c:pt>
                <c:pt idx="53">
                  <c:v>217.41541708927392</c:v>
                </c:pt>
                <c:pt idx="54">
                  <c:v>225.48944490087419</c:v>
                </c:pt>
                <c:pt idx="55">
                  <c:v>233.55685058738553</c:v>
                </c:pt>
                <c:pt idx="56">
                  <c:v>241.61789541835174</c:v>
                </c:pt>
                <c:pt idx="57">
                  <c:v>249.67282178538542</c:v>
                </c:pt>
                <c:pt idx="58">
                  <c:v>257.72185514470993</c:v>
                </c:pt>
                <c:pt idx="59">
                  <c:v>265.76520570407035</c:v>
                </c:pt>
                <c:pt idx="60">
                  <c:v>273.80306989453726</c:v>
                </c:pt>
                <c:pt idx="61">
                  <c:v>236.07659864506695</c:v>
                </c:pt>
                <c:pt idx="62">
                  <c:v>243.63219153359827</c:v>
                </c:pt>
                <c:pt idx="63">
                  <c:v>251.18245788467843</c:v>
                </c:pt>
                <c:pt idx="64">
                  <c:v>258.72758058754556</c:v>
                </c:pt>
                <c:pt idx="65">
                  <c:v>266.26773098057953</c:v>
                </c:pt>
                <c:pt idx="66">
                  <c:v>273.80306989453726</c:v>
                </c:pt>
                <c:pt idx="67">
                  <c:v>281.33374857482323</c:v>
                </c:pt>
                <c:pt idx="68">
                  <c:v>288.85990949975201</c:v>
                </c:pt>
                <c:pt idx="69">
                  <c:v>296.38168710899475</c:v>
                </c:pt>
                <c:pt idx="70">
                  <c:v>303.8992084541465</c:v>
                </c:pt>
                <c:pt idx="71">
                  <c:v>267.6746881557828</c:v>
                </c:pt>
                <c:pt idx="72">
                  <c:v>276.61506059958816</c:v>
                </c:pt>
                <c:pt idx="73">
                  <c:v>285.54894649013437</c:v>
                </c:pt>
                <c:pt idx="74">
                  <c:v>294.47657756105315</c:v>
                </c:pt>
                <c:pt idx="75">
                  <c:v>303.39817033602759</c:v>
                </c:pt>
                <c:pt idx="76">
                  <c:v>312.31392755479123</c:v>
                </c:pt>
                <c:pt idx="77">
                  <c:v>321.2240394276692</c:v>
                </c:pt>
                <c:pt idx="78">
                  <c:v>330.12868474355946</c:v>
                </c:pt>
                <c:pt idx="79">
                  <c:v>339.02803185205107</c:v>
                </c:pt>
                <c:pt idx="80">
                  <c:v>347.92223953697498</c:v>
                </c:pt>
                <c:pt idx="81">
                  <c:v>305.90317747212316</c:v>
                </c:pt>
                <c:pt idx="82">
                  <c:v>313.91615631143884</c:v>
                </c:pt>
                <c:pt idx="83">
                  <c:v>321.92460060215109</c:v>
                </c:pt>
                <c:pt idx="84">
                  <c:v>329.92863915898056</c:v>
                </c:pt>
                <c:pt idx="85">
                  <c:v>337.92839403108059</c:v>
                </c:pt>
                <c:pt idx="86">
                  <c:v>345.92398101265036</c:v>
                </c:pt>
                <c:pt idx="87">
                  <c:v>353.91551010384427</c:v>
                </c:pt>
                <c:pt idx="88">
                  <c:v>361.90308592785351</c:v>
                </c:pt>
                <c:pt idx="89">
                  <c:v>369.88680810922119</c:v>
                </c:pt>
                <c:pt idx="90">
                  <c:v>377.86677161777288</c:v>
                </c:pt>
                <c:pt idx="91">
                  <c:v>325.32684808209268</c:v>
                </c:pt>
                <c:pt idx="92">
                  <c:v>332.72903457884433</c:v>
                </c:pt>
                <c:pt idx="93">
                  <c:v>340.12759117496347</c:v>
                </c:pt>
                <c:pt idx="94">
                  <c:v>347.52260803925395</c:v>
                </c:pt>
                <c:pt idx="95">
                  <c:v>354.91417118647973</c:v>
                </c:pt>
                <c:pt idx="96">
                  <c:v>362.30236275317969</c:v>
                </c:pt>
                <c:pt idx="97">
                  <c:v>369.68726124979707</c:v>
                </c:pt>
                <c:pt idx="98">
                  <c:v>377.06894179159895</c:v>
                </c:pt>
                <c:pt idx="99">
                  <c:v>384.44747631055856</c:v>
                </c:pt>
                <c:pt idx="100">
                  <c:v>391.82293375011403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7.9754594360445097</c:v>
                </c:pt>
                <c:pt idx="2">
                  <c:v>15.5967056958581</c:v>
                </c:pt>
                <c:pt idx="3">
                  <c:v>23.10355888013828</c:v>
                </c:pt>
                <c:pt idx="4">
                  <c:v>30.539897511026407</c:v>
                </c:pt>
                <c:pt idx="5">
                  <c:v>37.925608773190028</c:v>
                </c:pt>
                <c:pt idx="6">
                  <c:v>45.272037147076617</c:v>
                </c:pt>
                <c:pt idx="7">
                  <c:v>52.586495980589994</c:v>
                </c:pt>
                <c:pt idx="8">
                  <c:v>59.874079309275885</c:v>
                </c:pt>
                <c:pt idx="9">
                  <c:v>67.138531314061879</c:v>
                </c:pt>
                <c:pt idx="10">
                  <c:v>74.382715323922113</c:v>
                </c:pt>
                <c:pt idx="11">
                  <c:v>81.608888863397013</c:v>
                </c:pt>
                <c:pt idx="12">
                  <c:v>88.818875455441173</c:v>
                </c:pt>
                <c:pt idx="13">
                  <c:v>96.014177371687992</c:v>
                </c:pt>
                <c:pt idx="14">
                  <c:v>103.196052636028</c:v>
                </c:pt>
                <c:pt idx="15">
                  <c:v>110.36556937100062</c:v>
                </c:pt>
                <c:pt idx="16">
                  <c:v>117.52364522565699</c:v>
                </c:pt>
                <c:pt idx="17">
                  <c:v>124.67107665970541</c:v>
                </c:pt>
                <c:pt idx="18">
                  <c:v>131.80856113846616</c:v>
                </c:pt>
                <c:pt idx="19">
                  <c:v>138.93671425421209</c:v>
                </c:pt>
                <c:pt idx="20">
                  <c:v>146.05608314018855</c:v>
                </c:pt>
                <c:pt idx="21">
                  <c:v>153.16715712558823</c:v>
                </c:pt>
                <c:pt idx="22">
                  <c:v>160.27037630350409</c:v>
                </c:pt>
                <c:pt idx="23">
                  <c:v>167.36613849703664</c:v>
                </c:pt>
                <c:pt idx="24">
                  <c:v>174.45480497972017</c:v>
                </c:pt>
                <c:pt idx="25">
                  <c:v>181.53670521567878</c:v>
                </c:pt>
                <c:pt idx="26">
                  <c:v>188.61214082000879</c:v>
                </c:pt>
                <c:pt idx="27">
                  <c:v>195.68138889273436</c:v>
                </c:pt>
                <c:pt idx="28">
                  <c:v>202.74470484495825</c:v>
                </c:pt>
                <c:pt idx="29">
                  <c:v>209.80232480993155</c:v>
                </c:pt>
                <c:pt idx="30">
                  <c:v>216.85446771221939</c:v>
                </c:pt>
                <c:pt idx="31">
                  <c:v>223.90133705322685</c:v>
                </c:pt>
                <c:pt idx="32">
                  <c:v>230.94312245986308</c:v>
                </c:pt>
                <c:pt idx="33">
                  <c:v>237.98000103418462</c:v>
                </c:pt>
                <c:pt idx="34">
                  <c:v>245.01213853484862</c:v>
                </c:pt>
                <c:pt idx="35">
                  <c:v>252.03969041566543</c:v>
                </c:pt>
                <c:pt idx="36">
                  <c:v>259.0628027421248</c:v>
                </c:pt>
                <c:pt idx="37">
                  <c:v>206.43707921846092</c:v>
                </c:pt>
                <c:pt idx="38">
                  <c:v>224.00971024958235</c:v>
                </c:pt>
                <c:pt idx="39">
                  <c:v>241.55074565033283</c:v>
                </c:pt>
                <c:pt idx="40">
                  <c:v>259.0628027421248</c:v>
                </c:pt>
                <c:pt idx="41">
                  <c:v>276.54811592924443</c:v>
                </c:pt>
                <c:pt idx="42">
                  <c:v>294.0086139070097</c:v>
                </c:pt>
                <c:pt idx="43">
                  <c:v>230.50992525899269</c:v>
                </c:pt>
                <c:pt idx="44">
                  <c:v>246.74241713656832</c:v>
                </c:pt>
                <c:pt idx="45">
                  <c:v>262.95066686184344</c:v>
                </c:pt>
                <c:pt idx="46">
                  <c:v>279.13637908968957</c:v>
                </c:pt>
                <c:pt idx="47">
                  <c:v>295.30104458450205</c:v>
                </c:pt>
                <c:pt idx="48">
                  <c:v>311.44597754536511</c:v>
                </c:pt>
                <c:pt idx="49">
                  <c:v>247.06681362820675</c:v>
                </c:pt>
                <c:pt idx="50">
                  <c:v>262.30278018519846</c:v>
                </c:pt>
                <c:pt idx="51">
                  <c:v>277.51877807553331</c:v>
                </c:pt>
                <c:pt idx="52">
                  <c:v>292.71605638412387</c:v>
                </c:pt>
                <c:pt idx="53">
                  <c:v>307.89572387305208</c:v>
                </c:pt>
                <c:pt idx="54">
                  <c:v>323.05877103273184</c:v>
                </c:pt>
                <c:pt idx="55">
                  <c:v>278.00408054679281</c:v>
                </c:pt>
                <c:pt idx="56">
                  <c:v>293.03920769154797</c:v>
                </c:pt>
                <c:pt idx="57">
                  <c:v>308.05711869016056</c:v>
                </c:pt>
                <c:pt idx="58">
                  <c:v>323.05877103273184</c:v>
                </c:pt>
                <c:pt idx="59">
                  <c:v>338.04502601481693</c:v>
                </c:pt>
                <c:pt idx="60">
                  <c:v>353.01666232745441</c:v>
                </c:pt>
                <c:pt idx="61">
                  <c:v>367.9743872204312</c:v>
                </c:pt>
                <c:pt idx="62">
                  <c:v>382.9188457551445</c:v>
                </c:pt>
                <c:pt idx="63">
                  <c:v>323.30060479601497</c:v>
                </c:pt>
                <c:pt idx="64">
                  <c:v>339.01137125935287</c:v>
                </c:pt>
                <c:pt idx="65">
                  <c:v>354.70612187779744</c:v>
                </c:pt>
                <c:pt idx="66">
                  <c:v>370.38566498431533</c:v>
                </c:pt>
                <c:pt idx="67">
                  <c:v>386.05073489457141</c:v>
                </c:pt>
                <c:pt idx="68">
                  <c:v>401.70200147564918</c:v>
                </c:pt>
                <c:pt idx="69">
                  <c:v>417.34007814551131</c:v>
                </c:pt>
                <c:pt idx="70">
                  <c:v>432.96552861089259</c:v>
                </c:pt>
                <c:pt idx="71">
                  <c:v>345.29114635937094</c:v>
                </c:pt>
                <c:pt idx="72">
                  <c:v>359.77344653568503</c:v>
                </c:pt>
                <c:pt idx="73">
                  <c:v>374.24299819156437</c:v>
                </c:pt>
                <c:pt idx="74">
                  <c:v>388.70036362009432</c:v>
                </c:pt>
                <c:pt idx="75">
                  <c:v>403.14605987522009</c:v>
                </c:pt>
                <c:pt idx="76">
                  <c:v>417.5805639360197</c:v>
                </c:pt>
                <c:pt idx="77">
                  <c:v>432.00431711964933</c:v>
                </c:pt>
                <c:pt idx="78">
                  <c:v>446.4177288742078</c:v>
                </c:pt>
                <c:pt idx="79">
                  <c:v>377.9923525989995</c:v>
                </c:pt>
                <c:pt idx="80">
                  <c:v>390.41304605128562</c:v>
                </c:pt>
                <c:pt idx="81">
                  <c:v>402.82516769451564</c:v>
                </c:pt>
                <c:pt idx="82">
                  <c:v>415.2290188902025</c:v>
                </c:pt>
                <c:pt idx="83">
                  <c:v>427.6248815247975</c:v>
                </c:pt>
                <c:pt idx="84">
                  <c:v>440.01301980824064</c:v>
                </c:pt>
                <c:pt idx="85">
                  <c:v>452.39368185940071</c:v>
                </c:pt>
                <c:pt idx="86">
                  <c:v>464.76710110891599</c:v>
                </c:pt>
                <c:pt idx="87">
                  <c:v>477.13349754486836</c:v>
                </c:pt>
                <c:pt idx="88">
                  <c:v>413.92485656153303</c:v>
                </c:pt>
                <c:pt idx="89">
                  <c:v>425.65916330199144</c:v>
                </c:pt>
                <c:pt idx="90">
                  <c:v>437.38651290584818</c:v>
                </c:pt>
                <c:pt idx="91">
                  <c:v>449.10711821530134</c:v>
                </c:pt>
                <c:pt idx="92">
                  <c:v>460.82118005626171</c:v>
                </c:pt>
                <c:pt idx="93">
                  <c:v>472.52888821143938</c:v>
                </c:pt>
                <c:pt idx="94">
                  <c:v>484.23042229196705</c:v>
                </c:pt>
                <c:pt idx="95">
                  <c:v>495.92595252039115</c:v>
                </c:pt>
                <c:pt idx="96">
                  <c:v>507.61564043595712</c:v>
                </c:pt>
                <c:pt idx="97">
                  <c:v>519.29963953155652</c:v>
                </c:pt>
                <c:pt idx="98">
                  <c:v>451.21996795767382</c:v>
                </c:pt>
                <c:pt idx="99">
                  <c:v>463.70070669781461</c:v>
                </c:pt>
                <c:pt idx="100">
                  <c:v>476.17428221780096</c:v>
                </c:pt>
                <c:pt idx="101">
                  <c:v>488.64090858857759</c:v>
                </c:pt>
                <c:pt idx="102">
                  <c:v>501.10078806812936</c:v>
                </c:pt>
                <c:pt idx="103">
                  <c:v>513.55411203705989</c:v>
                </c:pt>
                <c:pt idx="104">
                  <c:v>526.0010618387148</c:v>
                </c:pt>
                <c:pt idx="105">
                  <c:v>538.4418095356591</c:v>
                </c:pt>
                <c:pt idx="106">
                  <c:v>550.87651859261939</c:v>
                </c:pt>
                <c:pt idx="107">
                  <c:v>563.30534449457082</c:v>
                </c:pt>
                <c:pt idx="108">
                  <c:v>488.06567585482873</c:v>
                </c:pt>
                <c:pt idx="109">
                  <c:v>500.90914774323136</c:v>
                </c:pt>
                <c:pt idx="110">
                  <c:v>513.74565139766867</c:v>
                </c:pt>
                <c:pt idx="111">
                  <c:v>526.5753854276752</c:v>
                </c:pt>
                <c:pt idx="112">
                  <c:v>539.39853797754756</c:v>
                </c:pt>
                <c:pt idx="113">
                  <c:v>552.21528751868789</c:v>
                </c:pt>
                <c:pt idx="114">
                  <c:v>565.02580356458077</c:v>
                </c:pt>
                <c:pt idx="115">
                  <c:v>577.83024731757405</c:v>
                </c:pt>
                <c:pt idx="116">
                  <c:v>590.62877225537125</c:v>
                </c:pt>
                <c:pt idx="117">
                  <c:v>603.42152466405844</c:v>
                </c:pt>
                <c:pt idx="118">
                  <c:v>529.03206537897029</c:v>
                </c:pt>
                <c:pt idx="119">
                  <c:v>540.67412044872333</c:v>
                </c:pt>
                <c:pt idx="120">
                  <c:v>552.31091126495016</c:v>
                </c:pt>
                <c:pt idx="121">
                  <c:v>563.94256435591444</c:v>
                </c:pt>
                <c:pt idx="122">
                  <c:v>575.56920060576647</c:v>
                </c:pt>
                <c:pt idx="123">
                  <c:v>587.19093561764714</c:v>
                </c:pt>
                <c:pt idx="124">
                  <c:v>598.80788004655824</c:v>
                </c:pt>
                <c:pt idx="125">
                  <c:v>610.4201399050653</c:v>
                </c:pt>
                <c:pt idx="126">
                  <c:v>622.02781684453828</c:v>
                </c:pt>
                <c:pt idx="127">
                  <c:v>633.63100841431367</c:v>
                </c:pt>
                <c:pt idx="128">
                  <c:v>645.22980830089637</c:v>
                </c:pt>
                <c:pt idx="129">
                  <c:v>656.82430654907159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7" zoomScale="88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2" zoomScaleNormal="100" workbookViewId="0">
      <selection activeCell="E21" sqref="E2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164</v>
      </c>
      <c r="C9" s="32">
        <v>0.33</v>
      </c>
      <c r="D9" s="33">
        <f t="shared" ref="D9:D18" si="0">C9*$C$5</f>
        <v>2.31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0.67</v>
      </c>
      <c r="D10" s="33">
        <f t="shared" si="0"/>
        <v>4.6900000000000004</v>
      </c>
      <c r="E10" s="34">
        <v>129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115</v>
      </c>
      <c r="C36" s="60">
        <v>1</v>
      </c>
      <c r="D36" s="60">
        <v>23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5.75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157</v>
      </c>
      <c r="C37" s="60">
        <v>2</v>
      </c>
      <c r="D37" s="60">
        <v>26</v>
      </c>
      <c r="E37" s="51">
        <v>0.7</v>
      </c>
      <c r="F37" s="51">
        <v>0.17</v>
      </c>
      <c r="G37" s="51">
        <v>0.13</v>
      </c>
      <c r="H37" s="51">
        <v>0</v>
      </c>
      <c r="I37" s="53">
        <f t="shared" ref="I37:I55" si="1">IF(A37&lt;&gt;0,(B37-(B36-D36))/(A37-A36),"")</f>
        <v>6.5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201</v>
      </c>
      <c r="C38" s="60">
        <v>3</v>
      </c>
      <c r="D38" s="60">
        <v>37</v>
      </c>
      <c r="E38" s="51">
        <v>0.7</v>
      </c>
      <c r="F38" s="51">
        <v>0.17</v>
      </c>
      <c r="G38" s="51">
        <v>0.13</v>
      </c>
      <c r="H38" s="51">
        <v>0</v>
      </c>
      <c r="I38" s="53">
        <f t="shared" si="1"/>
        <v>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233</v>
      </c>
      <c r="C39" s="60">
        <v>4</v>
      </c>
      <c r="D39" s="60">
        <v>47</v>
      </c>
      <c r="E39" s="51">
        <v>0.7</v>
      </c>
      <c r="F39" s="51">
        <v>0.17</v>
      </c>
      <c r="G39" s="51">
        <v>0.13</v>
      </c>
      <c r="H39" s="51">
        <v>0</v>
      </c>
      <c r="I39" s="49">
        <f t="shared" si="1"/>
        <v>6.9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266</v>
      </c>
      <c r="C40" s="60">
        <v>5</v>
      </c>
      <c r="D40" s="60">
        <v>45</v>
      </c>
      <c r="E40" s="51">
        <v>0.7</v>
      </c>
      <c r="F40" s="51">
        <v>0.17</v>
      </c>
      <c r="G40" s="51">
        <v>0.13</v>
      </c>
      <c r="H40" s="51">
        <v>0</v>
      </c>
      <c r="I40" s="49">
        <f t="shared" si="1"/>
        <v>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296</v>
      </c>
      <c r="C41" s="60">
        <v>6</v>
      </c>
      <c r="D41" s="60">
        <v>45</v>
      </c>
      <c r="E41" s="51">
        <v>0.7</v>
      </c>
      <c r="F41" s="51">
        <v>0.17</v>
      </c>
      <c r="G41" s="51">
        <v>0.13</v>
      </c>
      <c r="H41" s="51">
        <v>0</v>
      </c>
      <c r="I41" s="53">
        <f t="shared" si="1"/>
        <v>7.5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340</v>
      </c>
      <c r="C42" s="60">
        <v>7</v>
      </c>
      <c r="D42" s="60">
        <v>50</v>
      </c>
      <c r="E42" s="51">
        <v>0.7</v>
      </c>
      <c r="F42" s="51">
        <v>0.17</v>
      </c>
      <c r="G42" s="51">
        <v>0.13</v>
      </c>
      <c r="H42" s="51">
        <v>0</v>
      </c>
      <c r="I42" s="53">
        <f t="shared" si="1"/>
        <v>8.9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370</v>
      </c>
      <c r="C43" s="60">
        <v>8</v>
      </c>
      <c r="D43" s="60">
        <v>60</v>
      </c>
      <c r="E43" s="51">
        <v>0.7</v>
      </c>
      <c r="F43" s="51">
        <v>0.17</v>
      </c>
      <c r="G43" s="51">
        <v>0.13</v>
      </c>
      <c r="H43" s="51">
        <v>0</v>
      </c>
      <c r="I43" s="49">
        <f t="shared" si="1"/>
        <v>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384</v>
      </c>
      <c r="C44" s="60" t="s">
        <v>324</v>
      </c>
      <c r="D44" s="60">
        <v>384</v>
      </c>
      <c r="E44" s="51">
        <v>0.7</v>
      </c>
      <c r="F44" s="51">
        <v>0.17</v>
      </c>
      <c r="G44" s="51">
        <v>0.13</v>
      </c>
      <c r="H44" s="51">
        <v>0</v>
      </c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36</v>
      </c>
      <c r="B62" s="60">
        <v>130</v>
      </c>
      <c r="C62" s="60">
        <v>1</v>
      </c>
      <c r="D62" s="60">
        <v>36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3.6111111111111112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42</v>
      </c>
      <c r="B63" s="60">
        <v>148</v>
      </c>
      <c r="C63" s="60">
        <v>2</v>
      </c>
      <c r="D63" s="60">
        <v>41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48</v>
      </c>
      <c r="B64" s="60">
        <v>157</v>
      </c>
      <c r="C64" s="60">
        <v>3</v>
      </c>
      <c r="D64" s="60">
        <v>41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8.3333333333333339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54</v>
      </c>
      <c r="B65" s="60">
        <v>163</v>
      </c>
      <c r="C65" s="60">
        <v>4</v>
      </c>
      <c r="D65" s="60">
        <v>31</v>
      </c>
      <c r="E65" s="51">
        <v>0.7</v>
      </c>
      <c r="F65" s="51">
        <v>0</v>
      </c>
      <c r="G65" s="51">
        <v>0</v>
      </c>
      <c r="H65" s="51">
        <v>0.3</v>
      </c>
      <c r="I65" s="49">
        <f>IF(A65&lt;&gt;0,(B65-(B64-D64))/(A65-A64),"")</f>
        <v>7.833333333333333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62</v>
      </c>
      <c r="B66" s="60">
        <v>194</v>
      </c>
      <c r="C66" s="60">
        <v>5</v>
      </c>
      <c r="D66" s="60">
        <v>39</v>
      </c>
      <c r="E66" s="51">
        <v>0.7</v>
      </c>
      <c r="F66" s="51">
        <v>0</v>
      </c>
      <c r="G66" s="51">
        <v>0</v>
      </c>
      <c r="H66" s="51">
        <v>0.3</v>
      </c>
      <c r="I66" s="49">
        <f t="shared" ref="I66:I81" si="2">IF(A66&lt;&gt;0,(B66-(B65-D65))/(A66-A65),"")</f>
        <v>7.75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220</v>
      </c>
      <c r="C67" s="60">
        <v>6</v>
      </c>
      <c r="D67" s="60">
        <v>53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8.125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78</v>
      </c>
      <c r="B68" s="60">
        <v>227</v>
      </c>
      <c r="C68" s="60">
        <v>7</v>
      </c>
      <c r="D68" s="60">
        <v>42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7.5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87</v>
      </c>
      <c r="B69" s="50">
        <v>243</v>
      </c>
      <c r="C69" s="50">
        <v>8</v>
      </c>
      <c r="D69" s="50">
        <v>39</v>
      </c>
      <c r="E69" s="51">
        <v>0.9</v>
      </c>
      <c r="F69" s="51">
        <v>0</v>
      </c>
      <c r="G69" s="51">
        <v>0</v>
      </c>
      <c r="H69" s="51">
        <v>0.1</v>
      </c>
      <c r="I69" s="49">
        <f t="shared" si="2"/>
        <v>6.4444444444444446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97</v>
      </c>
      <c r="B70" s="50">
        <v>265</v>
      </c>
      <c r="C70" s="50">
        <v>9</v>
      </c>
      <c r="D70" s="50">
        <v>42</v>
      </c>
      <c r="E70" s="51">
        <v>0.9</v>
      </c>
      <c r="F70" s="51">
        <v>0</v>
      </c>
      <c r="G70" s="51">
        <v>0</v>
      </c>
      <c r="H70" s="51">
        <v>0.1</v>
      </c>
      <c r="I70" s="49">
        <f t="shared" si="2"/>
        <v>6.1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107</v>
      </c>
      <c r="B71" s="50">
        <v>288</v>
      </c>
      <c r="C71" s="50">
        <v>10</v>
      </c>
      <c r="D71" s="50">
        <v>46</v>
      </c>
      <c r="E71" s="51">
        <v>0.9</v>
      </c>
      <c r="F71" s="51">
        <v>0</v>
      </c>
      <c r="G71" s="51">
        <v>0</v>
      </c>
      <c r="H71" s="51">
        <v>0.1</v>
      </c>
      <c r="I71" s="49">
        <f t="shared" si="2"/>
        <v>6.5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117</v>
      </c>
      <c r="B72" s="50">
        <v>309</v>
      </c>
      <c r="C72" s="50">
        <v>11</v>
      </c>
      <c r="D72" s="50">
        <v>45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129</v>
      </c>
      <c r="B73" s="50">
        <v>337</v>
      </c>
      <c r="C73" s="50" t="s">
        <v>324</v>
      </c>
      <c r="D73" s="50">
        <v>337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6.083333333333333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70" zoomScaleNormal="7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107.39524504744702</v>
      </c>
      <c r="T3" s="59">
        <f>IF('Données projet'!E9&gt;30,$R$33-$H$33,LOOKUP('Données projet'!$E$9,$A$3:$A$203,R3:R203)-LOOKUP('Données projet'!$E$9,$A$3:$A$203,$H$3:$H$203))</f>
        <v>102.66420075171004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215.7418266360167</v>
      </c>
      <c r="AO3" s="59">
        <f>IF('Données projet'!E10&gt;30,$AM$33-$H$33,LOOKUP('Données projet'!$E$10,$A$3:$A$203,AM3:AM203)-LOOKUP('Données projet'!$E$10,$A$3:$A$203,$H$3:$H$203))</f>
        <v>155.78420008229949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5.75</v>
      </c>
      <c r="N4" s="13">
        <f>IF('Données projet'!$A$36&gt;35,N3+M4-V3,IF(A4&lt;'Données projet'!$A$36,$K$205^A4,IF(A4='Données projet'!$A$36,'Données projet'!$B$36,N3+M4-V3)))</f>
        <v>1.2677537154322802</v>
      </c>
      <c r="O4" s="13">
        <f>N4*VLOOKUP('Données projet'!$B$9,Paramètres!$A$1:$I$89,3,0)*VLOOKUP('Données projet'!$B$9,Paramètres!$A$1:$I$89,5,0)</f>
        <v>0.59330873882230706</v>
      </c>
      <c r="P4" s="13">
        <f>EXP(-1.0587+0.8836*LN(O4)+0.284)</f>
        <v>0.29055137246158741</v>
      </c>
      <c r="Q4" s="20">
        <f t="shared" ref="Q4:Q34" si="2">(O4+P4)*0.475*44/12</f>
        <v>1.5393896938194491</v>
      </c>
      <c r="R4" s="59">
        <f t="shared" si="0"/>
        <v>294.87272302715274</v>
      </c>
      <c r="S4" s="59">
        <f ca="1">AVERAGE(OFFSET($R$3,0,0,'Données projet'!$E$9+1,1))-AVERAGE(OFFSET($H$3,0,0,'Données projet'!$E$9+1,1))</f>
        <v>107.39524504744702</v>
      </c>
      <c r="T4" s="59">
        <f>$T$3</f>
        <v>102.66420075171004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3.6111111111111112</v>
      </c>
      <c r="AI4" s="13">
        <f>IF('Données projet'!$A$62&gt;35,AI3+AH4-AQ3,IF(A4&lt;'Données projet'!$A$62,$AF$205^A4,IF(A4='Données projet'!$A$62,'Données projet'!$B$62,AI3+AH4-AQ3)))</f>
        <v>3.6111111111111112</v>
      </c>
      <c r="AJ4" s="13">
        <f>AI4*VLOOKUP('Données projet'!$B$10,Paramètres!$A$1:$I$89,3,0)*VLOOKUP('Données projet'!$B$10,Paramètres!$A$1:$I$89,5,0)</f>
        <v>3.2673333333333328</v>
      </c>
      <c r="AK4" s="13">
        <f>EXP(-1.0587+0.8836*LN(AJ4)+0.284)</f>
        <v>1.311877826118061</v>
      </c>
      <c r="AL4" s="20">
        <f t="shared" ref="AL4:AL67" si="4">(AJ4+AK4)*0.475*44/12</f>
        <v>7.9754594360445097</v>
      </c>
      <c r="AM4" s="59">
        <f t="shared" ref="AM4:AM67" si="5">AL4+(AD4+AE4)*44/12</f>
        <v>301.30879276937782</v>
      </c>
      <c r="AN4" s="59">
        <f ca="1">AVERAGE(OFFSET($AM$3,0,0,'Données projet'!$E$10+1,1))-AVERAGE(OFFSET($H$3,0,0,'Données projet'!$E$10+1,1))</f>
        <v>215.7418266360167</v>
      </c>
      <c r="AO4" s="59">
        <f>$AO$3</f>
        <v>155.78420008229949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5.75</v>
      </c>
      <c r="N5" s="13">
        <f>IF('Données projet'!$A$36&gt;35,N4+M5-V4,IF(A5&lt;'Données projet'!$A$36,$K$205^A5,IF(A5='Données projet'!$A$36,'Données projet'!$B$36,N4+M5-V4)))</f>
        <v>1.6071994829923508</v>
      </c>
      <c r="O5" s="13">
        <f>N5*VLOOKUP('Données projet'!$B$9,Paramètres!$A$1:$I$89,3,0)*VLOOKUP('Données projet'!$B$9,Paramètres!$A$1:$I$89,5,0)</f>
        <v>0.75216935804042018</v>
      </c>
      <c r="P5" s="13">
        <f t="shared" ref="P5:P68" si="33">EXP(-1.0587+0.8836*LN(O5)+0.284)</f>
        <v>0.35831464735172275</v>
      </c>
      <c r="Q5" s="20">
        <f t="shared" si="2"/>
        <v>1.9340929760579824</v>
      </c>
      <c r="R5" s="59">
        <f t="shared" si="0"/>
        <v>295.26742630939128</v>
      </c>
      <c r="S5" s="59">
        <f ca="1">AVERAGE(OFFSET($R$3,0,0,'Données projet'!$E$9+1,1))-AVERAGE(OFFSET($H$3,0,0,'Données projet'!$E$9+1,1))</f>
        <v>107.39524504744702</v>
      </c>
      <c r="T5" s="59">
        <f t="shared" ref="T5:T68" si="34">$T$3</f>
        <v>102.66420075171004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3.6111111111111112</v>
      </c>
      <c r="AI5" s="13">
        <f>IF('Données projet'!$A$62&gt;35,AI4+AH5-AQ4,IF(A5&lt;'Données projet'!$A$62,$AF$205^A5,IF(A5='Données projet'!$A$62,'Données projet'!$B$62,AI4+AH5-AQ4)))</f>
        <v>7.2222222222222223</v>
      </c>
      <c r="AJ5" s="13">
        <f>AI5*VLOOKUP('Données projet'!$B$10,Paramètres!$A$1:$I$89,3,0)*VLOOKUP('Données projet'!$B$10,Paramètres!$A$1:$I$89,5,0)</f>
        <v>6.5346666666666655</v>
      </c>
      <c r="AK5" s="13">
        <f t="shared" ref="AK5:AK68" si="35">EXP(-1.0587+0.8836*LN(AJ5)+0.284)</f>
        <v>2.42037966588344</v>
      </c>
      <c r="AL5" s="20">
        <f t="shared" si="4"/>
        <v>15.5967056958581</v>
      </c>
      <c r="AM5" s="59">
        <f t="shared" si="5"/>
        <v>308.93003902919139</v>
      </c>
      <c r="AN5" s="59">
        <f ca="1">AVERAGE(OFFSET($AM$3,0,0,'Données projet'!$E$10+1,1))-AVERAGE(OFFSET($H$3,0,0,'Données projet'!$E$10+1,1))</f>
        <v>215.7418266360167</v>
      </c>
      <c r="AO5" s="59">
        <f t="shared" ref="AO5:AO68" si="36">$AO$3</f>
        <v>155.78420008229949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5.75</v>
      </c>
      <c r="N6" s="13">
        <f>IF('Données projet'!$A$36&gt;35,N5+M6-V5,IF(A6&lt;'Données projet'!$A$36,$K$205^A6,IF(A6='Données projet'!$A$36,'Données projet'!$B$36,N5+M6-V5)))</f>
        <v>2.0375331160043926</v>
      </c>
      <c r="O6" s="13">
        <f>N6*VLOOKUP('Données projet'!$B$9,Paramètres!$A$1:$I$89,3,0)*VLOOKUP('Données projet'!$B$9,Paramètres!$A$1:$I$89,5,0)</f>
        <v>0.95356549829005577</v>
      </c>
      <c r="P6" s="13">
        <f t="shared" si="33"/>
        <v>0.44188187933534279</v>
      </c>
      <c r="Q6" s="20">
        <f t="shared" si="2"/>
        <v>2.4304041826975693</v>
      </c>
      <c r="R6" s="59">
        <f t="shared" si="0"/>
        <v>295.76373751603086</v>
      </c>
      <c r="S6" s="59">
        <f ca="1">AVERAGE(OFFSET($R$3,0,0,'Données projet'!$E$9+1,1))-AVERAGE(OFFSET($H$3,0,0,'Données projet'!$E$9+1,1))</f>
        <v>107.39524504744702</v>
      </c>
      <c r="T6" s="59">
        <f t="shared" si="34"/>
        <v>102.66420075171004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3.6111111111111112</v>
      </c>
      <c r="AI6" s="13">
        <f>IF('Données projet'!$A$62&gt;35,AI5+AH6-AQ5,IF(A6&lt;'Données projet'!$A$62,$AF$205^A6,IF(A6='Données projet'!$A$62,'Données projet'!$B$62,AI5+AH6-AQ5)))</f>
        <v>10.833333333333334</v>
      </c>
      <c r="AJ6" s="13">
        <f>AI6*VLOOKUP('Données projet'!$B$10,Paramètres!$A$1:$I$89,3,0)*VLOOKUP('Données projet'!$B$10,Paramètres!$A$1:$I$89,5,0)</f>
        <v>9.8019999999999996</v>
      </c>
      <c r="AK6" s="13">
        <f t="shared" si="35"/>
        <v>3.4632012708927946</v>
      </c>
      <c r="AL6" s="20">
        <f t="shared" si="4"/>
        <v>23.10355888013828</v>
      </c>
      <c r="AM6" s="59">
        <f t="shared" si="5"/>
        <v>316.43689221347159</v>
      </c>
      <c r="AN6" s="59">
        <f ca="1">AVERAGE(OFFSET($AM$3,0,0,'Données projet'!$E$10+1,1))-AVERAGE(OFFSET($H$3,0,0,'Données projet'!$E$10+1,1))</f>
        <v>215.7418266360167</v>
      </c>
      <c r="AO6" s="59">
        <f t="shared" si="36"/>
        <v>155.78420008229949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5.75</v>
      </c>
      <c r="N7" s="13">
        <f>IF('Données projet'!$A$36&gt;35,N6+M7-V6,IF(A7&lt;'Données projet'!$A$36,$K$205^A7,IF(A7='Données projet'!$A$36,'Données projet'!$B$36,N6+M7-V6)))</f>
        <v>2.5830901781308797</v>
      </c>
      <c r="O7" s="13">
        <f>N7*VLOOKUP('Données projet'!$B$9,Paramètres!$A$1:$I$89,3,0)*VLOOKUP('Données projet'!$B$9,Paramètres!$A$1:$I$89,5,0)</f>
        <v>1.2088862033652517</v>
      </c>
      <c r="P7" s="13">
        <f t="shared" si="33"/>
        <v>0.54493891535856476</v>
      </c>
      <c r="Q7" s="20">
        <f t="shared" si="2"/>
        <v>3.0545787484439804</v>
      </c>
      <c r="R7" s="59">
        <f t="shared" si="0"/>
        <v>296.3879120817773</v>
      </c>
      <c r="S7" s="59">
        <f ca="1">AVERAGE(OFFSET($R$3,0,0,'Données projet'!$E$9+1,1))-AVERAGE(OFFSET($H$3,0,0,'Données projet'!$E$9+1,1))</f>
        <v>107.39524504744702</v>
      </c>
      <c r="T7" s="59">
        <f t="shared" si="34"/>
        <v>102.66420075171004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3.6111111111111112</v>
      </c>
      <c r="AI7" s="13">
        <f>IF('Données projet'!$A$62&gt;35,AI6+AH7-AQ6,IF(A7&lt;'Données projet'!$A$62,$AF$205^A7,IF(A7='Données projet'!$A$62,'Données projet'!$B$62,AI6+AH7-AQ6)))</f>
        <v>14.444444444444445</v>
      </c>
      <c r="AJ7" s="13">
        <f>AI7*VLOOKUP('Données projet'!$B$10,Paramètres!$A$1:$I$89,3,0)*VLOOKUP('Données projet'!$B$10,Paramètres!$A$1:$I$89,5,0)</f>
        <v>13.069333333333331</v>
      </c>
      <c r="AK7" s="13">
        <f t="shared" si="35"/>
        <v>4.4655360509880495</v>
      </c>
      <c r="AL7" s="20">
        <f t="shared" si="4"/>
        <v>30.539897511026407</v>
      </c>
      <c r="AM7" s="59">
        <f t="shared" si="5"/>
        <v>323.87323084435974</v>
      </c>
      <c r="AN7" s="59">
        <f ca="1">AVERAGE(OFFSET($AM$3,0,0,'Données projet'!$E$10+1,1))-AVERAGE(OFFSET($H$3,0,0,'Données projet'!$E$10+1,1))</f>
        <v>215.7418266360167</v>
      </c>
      <c r="AO7" s="59">
        <f t="shared" si="36"/>
        <v>155.78420008229949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5.75</v>
      </c>
      <c r="N8" s="13">
        <f>IF('Données projet'!$A$36&gt;35,N7+M8-V7,IF(A8&lt;'Données projet'!$A$36,$K$205^A8,IF(A8='Données projet'!$A$36,'Données projet'!$B$36,N7+M8-V7)))</f>
        <v>3.2747221706220535</v>
      </c>
      <c r="O8" s="13">
        <f>N8*VLOOKUP('Données projet'!$B$9,Paramètres!$A$1:$I$89,3,0)*VLOOKUP('Données projet'!$B$9,Paramètres!$A$1:$I$89,5,0)</f>
        <v>1.5325699758511209</v>
      </c>
      <c r="P8" s="13">
        <f t="shared" si="33"/>
        <v>0.67203122680395833</v>
      </c>
      <c r="Q8" s="20">
        <f t="shared" si="2"/>
        <v>3.839680427957596</v>
      </c>
      <c r="R8" s="59">
        <f t="shared" si="0"/>
        <v>297.17301376129092</v>
      </c>
      <c r="S8" s="59">
        <f ca="1">AVERAGE(OFFSET($R$3,0,0,'Données projet'!$E$9+1,1))-AVERAGE(OFFSET($H$3,0,0,'Données projet'!$E$9+1,1))</f>
        <v>107.39524504744702</v>
      </c>
      <c r="T8" s="59">
        <f t="shared" si="34"/>
        <v>102.66420075171004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3.6111111111111112</v>
      </c>
      <c r="AI8" s="13">
        <f>IF('Données projet'!$A$62&gt;35,AI7+AH8-AQ7,IF(A8&lt;'Données projet'!$A$62,$AF$205^A8,IF(A8='Données projet'!$A$62,'Données projet'!$B$62,AI7+AH8-AQ7)))</f>
        <v>18.055555555555557</v>
      </c>
      <c r="AJ8" s="13">
        <f>AI8*VLOOKUP('Données projet'!$B$10,Paramètres!$A$1:$I$89,3,0)*VLOOKUP('Données projet'!$B$10,Paramètres!$A$1:$I$89,5,0)</f>
        <v>16.33666666666667</v>
      </c>
      <c r="AK8" s="13">
        <f t="shared" si="35"/>
        <v>5.4388024854041586</v>
      </c>
      <c r="AL8" s="20">
        <f t="shared" si="4"/>
        <v>37.925608773190028</v>
      </c>
      <c r="AM8" s="59">
        <f t="shared" si="5"/>
        <v>331.25894210652336</v>
      </c>
      <c r="AN8" s="59">
        <f ca="1">AVERAGE(OFFSET($AM$3,0,0,'Données projet'!$E$10+1,1))-AVERAGE(OFFSET($H$3,0,0,'Données projet'!$E$10+1,1))</f>
        <v>215.7418266360167</v>
      </c>
      <c r="AO8" s="59">
        <f t="shared" si="36"/>
        <v>155.78420008229949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5.75</v>
      </c>
      <c r="N9" s="13">
        <f>IF('Données projet'!$A$36&gt;35,N8+M9-V8,IF(A9&lt;'Données projet'!$A$36,$K$205^A9,IF(A9='Données projet'!$A$36,'Données projet'!$B$36,N8+M9-V8)))</f>
        <v>4.1515411988145692</v>
      </c>
      <c r="O9" s="13">
        <f>N9*VLOOKUP('Données projet'!$B$9,Paramètres!$A$1:$I$89,3,0)*VLOOKUP('Données projet'!$B$9,Paramètres!$A$1:$I$89,5,0)</f>
        <v>1.9429212810452183</v>
      </c>
      <c r="P9" s="13">
        <f t="shared" si="33"/>
        <v>0.82876439371643607</v>
      </c>
      <c r="Q9" s="20">
        <f t="shared" si="2"/>
        <v>4.8273525502098815</v>
      </c>
      <c r="R9" s="59">
        <f t="shared" si="0"/>
        <v>298.16068588354318</v>
      </c>
      <c r="S9" s="59">
        <f ca="1">AVERAGE(OFFSET($R$3,0,0,'Données projet'!$E$9+1,1))-AVERAGE(OFFSET($H$3,0,0,'Données projet'!$E$9+1,1))</f>
        <v>107.39524504744702</v>
      </c>
      <c r="T9" s="59">
        <f t="shared" si="34"/>
        <v>102.66420075171004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3.6111111111111112</v>
      </c>
      <c r="AI9" s="13">
        <f>IF('Données projet'!$A$62&gt;35,AI8+AH9-AQ8,IF(A9&lt;'Données projet'!$A$62,$AF$205^A9,IF(A9='Données projet'!$A$62,'Données projet'!$B$62,AI8+AH9-AQ8)))</f>
        <v>21.666666666666668</v>
      </c>
      <c r="AJ9" s="13">
        <f>AI9*VLOOKUP('Données projet'!$B$10,Paramètres!$A$1:$I$89,3,0)*VLOOKUP('Données projet'!$B$10,Paramètres!$A$1:$I$89,5,0)</f>
        <v>19.603999999999999</v>
      </c>
      <c r="AK9" s="13">
        <f t="shared" si="35"/>
        <v>6.3895141514315492</v>
      </c>
      <c r="AL9" s="20">
        <f t="shared" si="4"/>
        <v>45.272037147076617</v>
      </c>
      <c r="AM9" s="59">
        <f t="shared" si="5"/>
        <v>338.60537048040993</v>
      </c>
      <c r="AN9" s="59">
        <f ca="1">AVERAGE(OFFSET($AM$3,0,0,'Données projet'!$E$10+1,1))-AVERAGE(OFFSET($H$3,0,0,'Données projet'!$E$10+1,1))</f>
        <v>215.7418266360167</v>
      </c>
      <c r="AO9" s="59">
        <f t="shared" si="36"/>
        <v>155.78420008229949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5.75</v>
      </c>
      <c r="N10" s="13">
        <f>IF('Données projet'!$A$36&gt;35,N9+M10-V9,IF(A10&lt;'Données projet'!$A$36,$K$205^A10,IF(A10='Données projet'!$A$36,'Données projet'!$B$36,N9+M10-V9)))</f>
        <v>5.2631317795673525</v>
      </c>
      <c r="O10" s="13">
        <f>N10*VLOOKUP('Données projet'!$B$9,Paramètres!$A$1:$I$89,3,0)*VLOOKUP('Données projet'!$B$9,Paramètres!$A$1:$I$89,5,0)</f>
        <v>2.4631456728375212</v>
      </c>
      <c r="P10" s="13">
        <f t="shared" si="33"/>
        <v>1.0220513465701448</v>
      </c>
      <c r="Q10" s="20">
        <f t="shared" si="2"/>
        <v>6.0700514754683512</v>
      </c>
      <c r="R10" s="59">
        <f t="shared" si="0"/>
        <v>299.40338480880166</v>
      </c>
      <c r="S10" s="59">
        <f ca="1">AVERAGE(OFFSET($R$3,0,0,'Données projet'!$E$9+1,1))-AVERAGE(OFFSET($H$3,0,0,'Données projet'!$E$9+1,1))</f>
        <v>107.39524504744702</v>
      </c>
      <c r="T10" s="59">
        <f t="shared" si="34"/>
        <v>102.66420075171004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3.6111111111111112</v>
      </c>
      <c r="AI10" s="13">
        <f>IF('Données projet'!$A$62&gt;35,AI9+AH10-AQ9,IF(A10&lt;'Données projet'!$A$62,$AF$205^A10,IF(A10='Données projet'!$A$62,'Données projet'!$B$62,AI9+AH10-AQ9)))</f>
        <v>25.277777777777779</v>
      </c>
      <c r="AJ10" s="13">
        <f>AI10*VLOOKUP('Données projet'!$B$10,Paramètres!$A$1:$I$89,3,0)*VLOOKUP('Données projet'!$B$10,Paramètres!$A$1:$I$89,5,0)</f>
        <v>22.871333333333336</v>
      </c>
      <c r="AK10" s="13">
        <f t="shared" si="35"/>
        <v>7.3218701004982369</v>
      </c>
      <c r="AL10" s="20">
        <f t="shared" si="4"/>
        <v>52.586495980589994</v>
      </c>
      <c r="AM10" s="59">
        <f t="shared" si="5"/>
        <v>345.91982931392329</v>
      </c>
      <c r="AN10" s="59">
        <f ca="1">AVERAGE(OFFSET($AM$3,0,0,'Données projet'!$E$10+1,1))-AVERAGE(OFFSET($H$3,0,0,'Données projet'!$E$10+1,1))</f>
        <v>215.7418266360167</v>
      </c>
      <c r="AO10" s="59">
        <f t="shared" si="36"/>
        <v>155.78420008229949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5.75</v>
      </c>
      <c r="N11" s="13">
        <f>IF('Données projet'!$A$36&gt;35,N10+M11-V10,IF(A11&lt;'Données projet'!$A$36,$K$205^A11,IF(A11='Données projet'!$A$36,'Données projet'!$B$36,N10+M11-V10)))</f>
        <v>6.6723548683562202</v>
      </c>
      <c r="O11" s="13">
        <f>N11*VLOOKUP('Données projet'!$B$9,Paramètres!$A$1:$I$89,3,0)*VLOOKUP('Données projet'!$B$9,Paramètres!$A$1:$I$89,5,0)</f>
        <v>3.1226620783907113</v>
      </c>
      <c r="P11" s="13">
        <f t="shared" si="33"/>
        <v>1.2604172705122936</v>
      </c>
      <c r="Q11" s="20">
        <f t="shared" si="2"/>
        <v>7.6338631993393991</v>
      </c>
      <c r="R11" s="59">
        <f t="shared" si="0"/>
        <v>300.96719653267269</v>
      </c>
      <c r="S11" s="59">
        <f ca="1">AVERAGE(OFFSET($R$3,0,0,'Données projet'!$E$9+1,1))-AVERAGE(OFFSET($H$3,0,0,'Données projet'!$E$9+1,1))</f>
        <v>107.39524504744702</v>
      </c>
      <c r="T11" s="59">
        <f t="shared" si="34"/>
        <v>102.66420075171004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3.6111111111111112</v>
      </c>
      <c r="AI11" s="13">
        <f>IF('Données projet'!$A$62&gt;35,AI10+AH11-AQ10,IF(A11&lt;'Données projet'!$A$62,$AF$205^A11,IF(A11='Données projet'!$A$62,'Données projet'!$B$62,AI10+AH11-AQ10)))</f>
        <v>28.888888888888889</v>
      </c>
      <c r="AJ11" s="13">
        <f>AI11*VLOOKUP('Données projet'!$B$10,Paramètres!$A$1:$I$89,3,0)*VLOOKUP('Données projet'!$B$10,Paramètres!$A$1:$I$89,5,0)</f>
        <v>26.138666666666662</v>
      </c>
      <c r="AK11" s="13">
        <f t="shared" si="35"/>
        <v>8.2387951377022741</v>
      </c>
      <c r="AL11" s="20">
        <f t="shared" si="4"/>
        <v>59.874079309275885</v>
      </c>
      <c r="AM11" s="59">
        <f t="shared" si="5"/>
        <v>353.2074126426092</v>
      </c>
      <c r="AN11" s="59">
        <f ca="1">AVERAGE(OFFSET($AM$3,0,0,'Données projet'!$E$10+1,1))-AVERAGE(OFFSET($H$3,0,0,'Données projet'!$E$10+1,1))</f>
        <v>215.7418266360167</v>
      </c>
      <c r="AO11" s="59">
        <f t="shared" si="36"/>
        <v>155.78420008229949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5.75</v>
      </c>
      <c r="N12" s="13">
        <f>IF('Données projet'!$A$36&gt;35,N11+M12-V11,IF(A12&lt;'Données projet'!$A$36,$K$205^A12,IF(A12='Données projet'!$A$36,'Données projet'!$B$36,N11+M12-V11)))</f>
        <v>8.4589026750412604</v>
      </c>
      <c r="O12" s="13">
        <f>N12*VLOOKUP('Données projet'!$B$9,Paramètres!$A$1:$I$89,3,0)*VLOOKUP('Données projet'!$B$9,Paramètres!$A$1:$I$89,5,0)</f>
        <v>3.9587664519193098</v>
      </c>
      <c r="P12" s="13">
        <f t="shared" si="33"/>
        <v>1.5543756203021926</v>
      </c>
      <c r="Q12" s="20">
        <f t="shared" si="2"/>
        <v>9.6020557757857823</v>
      </c>
      <c r="R12" s="59">
        <f t="shared" si="0"/>
        <v>302.93538910911911</v>
      </c>
      <c r="S12" s="59">
        <f ca="1">AVERAGE(OFFSET($R$3,0,0,'Données projet'!$E$9+1,1))-AVERAGE(OFFSET($H$3,0,0,'Données projet'!$E$9+1,1))</f>
        <v>107.39524504744702</v>
      </c>
      <c r="T12" s="59">
        <f t="shared" si="34"/>
        <v>102.66420075171004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3.6111111111111112</v>
      </c>
      <c r="AI12" s="13">
        <f>IF('Données projet'!$A$62&gt;35,AI11+AH12-AQ11,IF(A12&lt;'Données projet'!$A$62,$AF$205^A12,IF(A12='Données projet'!$A$62,'Données projet'!$B$62,AI11+AH12-AQ11)))</f>
        <v>32.5</v>
      </c>
      <c r="AJ12" s="13">
        <f>AI12*VLOOKUP('Données projet'!$B$10,Paramètres!$A$1:$I$89,3,0)*VLOOKUP('Données projet'!$B$10,Paramètres!$A$1:$I$89,5,0)</f>
        <v>29.405999999999999</v>
      </c>
      <c r="AK12" s="13">
        <f t="shared" si="35"/>
        <v>9.1424390319972488</v>
      </c>
      <c r="AL12" s="20">
        <f t="shared" si="4"/>
        <v>67.138531314061879</v>
      </c>
      <c r="AM12" s="59">
        <f t="shared" si="5"/>
        <v>360.47186464739519</v>
      </c>
      <c r="AN12" s="59">
        <f ca="1">AVERAGE(OFFSET($AM$3,0,0,'Données projet'!$E$10+1,1))-AVERAGE(OFFSET($H$3,0,0,'Données projet'!$E$10+1,1))</f>
        <v>215.7418266360167</v>
      </c>
      <c r="AO12" s="59">
        <f t="shared" si="36"/>
        <v>155.78420008229949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5.75</v>
      </c>
      <c r="N13" s="13">
        <f>IF('Données projet'!$A$36&gt;35,N12+M13-V12,IF(A13&lt;'Données projet'!$A$36,$K$205^A13,IF(A13='Données projet'!$A$36,'Données projet'!$B$36,N12+M13-V12)))</f>
        <v>10.723805294763611</v>
      </c>
      <c r="O13" s="13">
        <f>N13*VLOOKUP('Données projet'!$B$9,Paramètres!$A$1:$I$89,3,0)*VLOOKUP('Données projet'!$B$9,Paramètres!$A$1:$I$89,5,0)</f>
        <v>5.0187408779493703</v>
      </c>
      <c r="P13" s="13">
        <f t="shared" si="33"/>
        <v>1.9168918305981435</v>
      </c>
      <c r="Q13" s="20">
        <f t="shared" si="2"/>
        <v>12.079560300720253</v>
      </c>
      <c r="R13" s="59">
        <f t="shared" si="0"/>
        <v>305.41289363405355</v>
      </c>
      <c r="S13" s="59">
        <f ca="1">AVERAGE(OFFSET($R$3,0,0,'Données projet'!$E$9+1,1))-AVERAGE(OFFSET($H$3,0,0,'Données projet'!$E$9+1,1))</f>
        <v>107.39524504744702</v>
      </c>
      <c r="T13" s="59">
        <f t="shared" si="34"/>
        <v>102.66420075171004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3.6111111111111112</v>
      </c>
      <c r="AI13" s="13">
        <f>IF('Données projet'!$A$62&gt;35,AI12+AH13-AQ12,IF(A13&lt;'Données projet'!$A$62,$AF$205^A13,IF(A13='Données projet'!$A$62,'Données projet'!$B$62,AI12+AH13-AQ12)))</f>
        <v>36.111111111111114</v>
      </c>
      <c r="AJ13" s="13">
        <f>AI13*VLOOKUP('Données projet'!$B$10,Paramètres!$A$1:$I$89,3,0)*VLOOKUP('Données projet'!$B$10,Paramètres!$A$1:$I$89,5,0)</f>
        <v>32.673333333333339</v>
      </c>
      <c r="AK13" s="13">
        <f t="shared" si="35"/>
        <v>10.03444580001908</v>
      </c>
      <c r="AL13" s="20">
        <f t="shared" si="4"/>
        <v>74.382715323922113</v>
      </c>
      <c r="AM13" s="59">
        <f t="shared" si="5"/>
        <v>367.71604865725544</v>
      </c>
      <c r="AN13" s="59">
        <f ca="1">AVERAGE(OFFSET($AM$3,0,0,'Données projet'!$E$10+1,1))-AVERAGE(OFFSET($H$3,0,0,'Données projet'!$E$10+1,1))</f>
        <v>215.7418266360167</v>
      </c>
      <c r="AO13" s="59">
        <f t="shared" si="36"/>
        <v>155.78420008229949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5.75</v>
      </c>
      <c r="N14" s="13">
        <f>IF('Données projet'!$A$36&gt;35,N13+M14-V13,IF(A14&lt;'Données projet'!$A$36,$K$205^A14,IF(A14='Données projet'!$A$36,'Données projet'!$B$36,N13+M14-V13)))</f>
        <v>13.595144006008928</v>
      </c>
      <c r="O14" s="13">
        <f>N14*VLOOKUP('Données projet'!$B$9,Paramètres!$A$1:$I$89,3,0)*VLOOKUP('Données projet'!$B$9,Paramètres!$A$1:$I$89,5,0)</f>
        <v>6.3625273948121777</v>
      </c>
      <c r="P14" s="13">
        <f t="shared" si="33"/>
        <v>2.3639551741679612</v>
      </c>
      <c r="Q14" s="20">
        <f t="shared" si="2"/>
        <v>15.198623807640407</v>
      </c>
      <c r="R14" s="59">
        <f t="shared" si="0"/>
        <v>308.5319571409737</v>
      </c>
      <c r="S14" s="59">
        <f ca="1">AVERAGE(OFFSET($R$3,0,0,'Données projet'!$E$9+1,1))-AVERAGE(OFFSET($H$3,0,0,'Données projet'!$E$9+1,1))</f>
        <v>107.39524504744702</v>
      </c>
      <c r="T14" s="59">
        <f t="shared" si="34"/>
        <v>102.66420075171004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3.6111111111111112</v>
      </c>
      <c r="AI14" s="13">
        <f>IF('Données projet'!$A$62&gt;35,AI13+AH14-AQ13,IF(A14&lt;'Données projet'!$A$62,$AF$205^A14,IF(A14='Données projet'!$A$62,'Données projet'!$B$62,AI13+AH14-AQ13)))</f>
        <v>39.722222222222229</v>
      </c>
      <c r="AJ14" s="13">
        <f>AI14*VLOOKUP('Données projet'!$B$10,Paramètres!$A$1:$I$89,3,0)*VLOOKUP('Données projet'!$B$10,Paramètres!$A$1:$I$89,5,0)</f>
        <v>35.940666666666672</v>
      </c>
      <c r="AK14" s="13">
        <f t="shared" si="35"/>
        <v>10.916111628106732</v>
      </c>
      <c r="AL14" s="20">
        <f t="shared" si="4"/>
        <v>81.608888863397013</v>
      </c>
      <c r="AM14" s="59">
        <f t="shared" si="5"/>
        <v>374.94222219673031</v>
      </c>
      <c r="AN14" s="59">
        <f ca="1">AVERAGE(OFFSET($AM$3,0,0,'Données projet'!$E$10+1,1))-AVERAGE(OFFSET($H$3,0,0,'Données projet'!$E$10+1,1))</f>
        <v>215.7418266360167</v>
      </c>
      <c r="AO14" s="59">
        <f t="shared" si="36"/>
        <v>155.78420008229949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5.75</v>
      </c>
      <c r="N15" s="13">
        <f>IF('Données projet'!$A$36&gt;35,N14+M15-V14,IF(A15&lt;'Données projet'!$A$36,$K$205^A15,IF(A15='Données projet'!$A$36,'Données projet'!$B$36,N14+M15-V14)))</f>
        <v>17.23529432545471</v>
      </c>
      <c r="O15" s="13">
        <f>N15*VLOOKUP('Données projet'!$B$9,Paramètres!$A$1:$I$89,3,0)*VLOOKUP('Données projet'!$B$9,Paramètres!$A$1:$I$89,5,0)</f>
        <v>8.0661177443128054</v>
      </c>
      <c r="P15" s="13">
        <f t="shared" si="33"/>
        <v>2.915283990610841</v>
      </c>
      <c r="Q15" s="20">
        <f t="shared" si="2"/>
        <v>19.125941354992019</v>
      </c>
      <c r="R15" s="59">
        <f t="shared" si="0"/>
        <v>312.45927468832531</v>
      </c>
      <c r="S15" s="59">
        <f ca="1">AVERAGE(OFFSET($R$3,0,0,'Données projet'!$E$9+1,1))-AVERAGE(OFFSET($H$3,0,0,'Données projet'!$E$9+1,1))</f>
        <v>107.39524504744702</v>
      </c>
      <c r="T15" s="59">
        <f t="shared" si="34"/>
        <v>102.66420075171004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3.6111111111111112</v>
      </c>
      <c r="AI15" s="13">
        <f>IF('Données projet'!$A$62&gt;35,AI14+AH15-AQ14,IF(A15&lt;'Données projet'!$A$62,$AF$205^A15,IF(A15='Données projet'!$A$62,'Données projet'!$B$62,AI14+AH15-AQ14)))</f>
        <v>43.333333333333343</v>
      </c>
      <c r="AJ15" s="13">
        <f>AI15*VLOOKUP('Données projet'!$B$10,Paramètres!$A$1:$I$89,3,0)*VLOOKUP('Données projet'!$B$10,Paramètres!$A$1:$I$89,5,0)</f>
        <v>39.208000000000006</v>
      </c>
      <c r="AK15" s="13">
        <f t="shared" si="35"/>
        <v>11.788483515085835</v>
      </c>
      <c r="AL15" s="20">
        <f t="shared" si="4"/>
        <v>88.818875455441173</v>
      </c>
      <c r="AM15" s="59">
        <f t="shared" si="5"/>
        <v>382.15220878877449</v>
      </c>
      <c r="AN15" s="59">
        <f ca="1">AVERAGE(OFFSET($AM$3,0,0,'Données projet'!$E$10+1,1))-AVERAGE(OFFSET($H$3,0,0,'Données projet'!$E$10+1,1))</f>
        <v>215.7418266360167</v>
      </c>
      <c r="AO15" s="59">
        <f t="shared" si="36"/>
        <v>155.78420008229949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5.75</v>
      </c>
      <c r="N16" s="13">
        <f>IF('Données projet'!$A$36&gt;35,N15+M16-V15,IF(A16&lt;'Données projet'!$A$36,$K$205^A16,IF(A16='Données projet'!$A$36,'Données projet'!$B$36,N15+M16-V15)))</f>
        <v>21.850108417664106</v>
      </c>
      <c r="O16" s="13">
        <f>N16*VLOOKUP('Données projet'!$B$9,Paramètres!$A$1:$I$89,3,0)*VLOOKUP('Données projet'!$B$9,Paramètres!$A$1:$I$89,5,0)</f>
        <v>10.225850739466802</v>
      </c>
      <c r="P16" s="13">
        <f t="shared" si="33"/>
        <v>3.5951953906669201</v>
      </c>
      <c r="Q16" s="20">
        <f t="shared" si="2"/>
        <v>24.071655343316234</v>
      </c>
      <c r="R16" s="59">
        <f t="shared" si="0"/>
        <v>317.40498867664957</v>
      </c>
      <c r="S16" s="59">
        <f ca="1">AVERAGE(OFFSET($R$3,0,0,'Données projet'!$E$9+1,1))-AVERAGE(OFFSET($H$3,0,0,'Données projet'!$E$9+1,1))</f>
        <v>107.39524504744702</v>
      </c>
      <c r="T16" s="59">
        <f t="shared" si="34"/>
        <v>102.66420075171004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3.6111111111111112</v>
      </c>
      <c r="AI16" s="13">
        <f>IF('Données projet'!$A$62&gt;35,AI15+AH16-AQ15,IF(A16&lt;'Données projet'!$A$62,$AF$205^A16,IF(A16='Données projet'!$A$62,'Données projet'!$B$62,AI15+AH16-AQ15)))</f>
        <v>46.944444444444457</v>
      </c>
      <c r="AJ16" s="13">
        <f>AI16*VLOOKUP('Données projet'!$B$10,Paramètres!$A$1:$I$89,3,0)*VLOOKUP('Données projet'!$B$10,Paramètres!$A$1:$I$89,5,0)</f>
        <v>42.475333333333346</v>
      </c>
      <c r="AK16" s="13">
        <f t="shared" si="35"/>
        <v>12.652424009262637</v>
      </c>
      <c r="AL16" s="20">
        <f t="shared" si="4"/>
        <v>96.014177371687992</v>
      </c>
      <c r="AM16" s="59">
        <f t="shared" si="5"/>
        <v>389.34751070502131</v>
      </c>
      <c r="AN16" s="59">
        <f ca="1">AVERAGE(OFFSET($AM$3,0,0,'Données projet'!$E$10+1,1))-AVERAGE(OFFSET($H$3,0,0,'Données projet'!$E$10+1,1))</f>
        <v>215.7418266360167</v>
      </c>
      <c r="AO16" s="59">
        <f t="shared" si="36"/>
        <v>155.78420008229949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5.75</v>
      </c>
      <c r="N17" s="13">
        <f>IF('Données projet'!$A$36&gt;35,N16+M17-V16,IF(A17&lt;'Données projet'!$A$36,$K$205^A17,IF(A17='Données projet'!$A$36,'Données projet'!$B$36,N16+M17-V16)))</f>
        <v>27.700556129091808</v>
      </c>
      <c r="O17" s="13">
        <f>N17*VLOOKUP('Données projet'!$B$9,Paramètres!$A$1:$I$89,3,0)*VLOOKUP('Données projet'!$B$9,Paramètres!$A$1:$I$89,5,0)</f>
        <v>12.963860268414967</v>
      </c>
      <c r="P17" s="13">
        <f t="shared" si="33"/>
        <v>4.4336777956113931</v>
      </c>
      <c r="Q17" s="20">
        <f t="shared" si="2"/>
        <v>30.300712128179242</v>
      </c>
      <c r="R17" s="59">
        <f t="shared" si="0"/>
        <v>323.63404546151253</v>
      </c>
      <c r="S17" s="59">
        <f ca="1">AVERAGE(OFFSET($R$3,0,0,'Données projet'!$E$9+1,1))-AVERAGE(OFFSET($H$3,0,0,'Données projet'!$E$9+1,1))</f>
        <v>107.39524504744702</v>
      </c>
      <c r="T17" s="59">
        <f t="shared" si="34"/>
        <v>102.66420075171004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3.6111111111111112</v>
      </c>
      <c r="AI17" s="13">
        <f>IF('Données projet'!$A$62&gt;35,AI16+AH17-AQ16,IF(A17&lt;'Données projet'!$A$62,$AF$205^A17,IF(A17='Données projet'!$A$62,'Données projet'!$B$62,AI16+AH17-AQ16)))</f>
        <v>50.555555555555571</v>
      </c>
      <c r="AJ17" s="13">
        <f>AI17*VLOOKUP('Données projet'!$B$10,Paramètres!$A$1:$I$89,3,0)*VLOOKUP('Données projet'!$B$10,Paramètres!$A$1:$I$89,5,0)</f>
        <v>45.742666666666679</v>
      </c>
      <c r="AK17" s="13">
        <f t="shared" si="35"/>
        <v>13.508655421004901</v>
      </c>
      <c r="AL17" s="20">
        <f t="shared" si="4"/>
        <v>103.196052636028</v>
      </c>
      <c r="AM17" s="59">
        <f t="shared" si="5"/>
        <v>396.52938596936133</v>
      </c>
      <c r="AN17" s="59">
        <f ca="1">AVERAGE(OFFSET($AM$3,0,0,'Données projet'!$E$10+1,1))-AVERAGE(OFFSET($H$3,0,0,'Données projet'!$E$10+1,1))</f>
        <v>215.7418266360167</v>
      </c>
      <c r="AO17" s="59">
        <f t="shared" si="36"/>
        <v>155.78420008229949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5.75</v>
      </c>
      <c r="N18" s="13">
        <f>IF('Données projet'!$A$36&gt;35,N17+M18-V17,IF(A18&lt;'Données projet'!$A$36,$K$205^A18,IF(A18='Données projet'!$A$36,'Données projet'!$B$36,N17+M18-V17)))</f>
        <v>35.117482952196561</v>
      </c>
      <c r="O18" s="13">
        <f>N18*VLOOKUP('Données projet'!$B$9,Paramètres!$A$1:$I$89,3,0)*VLOOKUP('Données projet'!$B$9,Paramètres!$A$1:$I$89,5,0)</f>
        <v>16.434982021627992</v>
      </c>
      <c r="P18" s="13">
        <f t="shared" si="33"/>
        <v>5.4677136175486121</v>
      </c>
      <c r="Q18" s="20">
        <f t="shared" si="2"/>
        <v>38.147194904899251</v>
      </c>
      <c r="R18" s="59">
        <f t="shared" si="0"/>
        <v>331.48052823823258</v>
      </c>
      <c r="S18" s="59">
        <f ca="1">AVERAGE(OFFSET($R$3,0,0,'Données projet'!$E$9+1,1))-AVERAGE(OFFSET($H$3,0,0,'Données projet'!$E$9+1,1))</f>
        <v>107.39524504744702</v>
      </c>
      <c r="T18" s="59">
        <f t="shared" si="34"/>
        <v>102.66420075171004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3.6111111111111112</v>
      </c>
      <c r="AI18" s="13">
        <f>IF('Données projet'!$A$62&gt;35,AI17+AH18-AQ17,IF(A18&lt;'Données projet'!$A$62,$AF$205^A18,IF(A18='Données projet'!$A$62,'Données projet'!$B$62,AI17+AH18-AQ17)))</f>
        <v>54.166666666666686</v>
      </c>
      <c r="AJ18" s="13">
        <f>AI18*VLOOKUP('Données projet'!$B$10,Paramètres!$A$1:$I$89,3,0)*VLOOKUP('Données projet'!$B$10,Paramètres!$A$1:$I$89,5,0)</f>
        <v>49.010000000000012</v>
      </c>
      <c r="AK18" s="13">
        <f t="shared" si="35"/>
        <v>14.357791026411833</v>
      </c>
      <c r="AL18" s="20">
        <f t="shared" si="4"/>
        <v>110.36556937100062</v>
      </c>
      <c r="AM18" s="59">
        <f t="shared" si="5"/>
        <v>403.69890270433393</v>
      </c>
      <c r="AN18" s="59">
        <f ca="1">AVERAGE(OFFSET($AM$3,0,0,'Données projet'!$E$10+1,1))-AVERAGE(OFFSET($H$3,0,0,'Données projet'!$E$10+1,1))</f>
        <v>215.7418266360167</v>
      </c>
      <c r="AO18" s="59">
        <f t="shared" si="36"/>
        <v>155.78420008229949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5.75</v>
      </c>
      <c r="N19" s="13">
        <f>IF('Données projet'!$A$36&gt;35,N18+M19-V18,IF(A19&lt;'Données projet'!$A$36,$K$205^A19,IF(A19='Données projet'!$A$36,'Données projet'!$B$36,N18+M19-V18)))</f>
        <v>44.52031948927695</v>
      </c>
      <c r="O19" s="13">
        <f>N19*VLOOKUP('Données projet'!$B$9,Paramètres!$A$1:$I$89,3,0)*VLOOKUP('Données projet'!$B$9,Paramètres!$A$1:$I$89,5,0)</f>
        <v>20.835509520981613</v>
      </c>
      <c r="P19" s="13">
        <f t="shared" si="33"/>
        <v>6.7429104192276883</v>
      </c>
      <c r="Q19" s="20">
        <f t="shared" si="2"/>
        <v>48.03241472919786</v>
      </c>
      <c r="R19" s="59">
        <f t="shared" si="0"/>
        <v>341.36574806253117</v>
      </c>
      <c r="S19" s="59">
        <f ca="1">AVERAGE(OFFSET($R$3,0,0,'Données projet'!$E$9+1,1))-AVERAGE(OFFSET($H$3,0,0,'Données projet'!$E$9+1,1))</f>
        <v>107.39524504744702</v>
      </c>
      <c r="T19" s="59">
        <f t="shared" si="34"/>
        <v>102.66420075171004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3.6111111111111112</v>
      </c>
      <c r="AI19" s="13">
        <f>IF('Données projet'!$A$62&gt;35,AI18+AH19-AQ18,IF(A19&lt;'Données projet'!$A$62,$AF$205^A19,IF(A19='Données projet'!$A$62,'Données projet'!$B$62,AI18+AH19-AQ18)))</f>
        <v>57.7777777777778</v>
      </c>
      <c r="AJ19" s="13">
        <f>AI19*VLOOKUP('Données projet'!$B$10,Paramètres!$A$1:$I$89,3,0)*VLOOKUP('Données projet'!$B$10,Paramètres!$A$1:$I$89,5,0)</f>
        <v>52.277333333333345</v>
      </c>
      <c r="AK19" s="13">
        <f t="shared" si="35"/>
        <v>15.200357705321389</v>
      </c>
      <c r="AL19" s="20">
        <f t="shared" si="4"/>
        <v>117.52364522565699</v>
      </c>
      <c r="AM19" s="59">
        <f t="shared" si="5"/>
        <v>410.85697855899031</v>
      </c>
      <c r="AN19" s="59">
        <f ca="1">AVERAGE(OFFSET($AM$3,0,0,'Données projet'!$E$10+1,1))-AVERAGE(OFFSET($H$3,0,0,'Données projet'!$E$10+1,1))</f>
        <v>215.7418266360167</v>
      </c>
      <c r="AO19" s="59">
        <f t="shared" si="36"/>
        <v>155.78420008229949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5.75</v>
      </c>
      <c r="N20" s="13">
        <f>IF('Données projet'!$A$36&gt;35,N19+M20-V19,IF(A20&lt;'Données projet'!$A$36,$K$205^A20,IF(A20='Données projet'!$A$36,'Données projet'!$B$36,N19+M20-V19)))</f>
        <v>56.440800444763006</v>
      </c>
      <c r="O20" s="13">
        <f>N20*VLOOKUP('Données projet'!$B$9,Paramètres!$A$1:$I$89,3,0)*VLOOKUP('Données projet'!$B$9,Paramètres!$A$1:$I$89,5,0)</f>
        <v>26.414294608149088</v>
      </c>
      <c r="P20" s="13">
        <f t="shared" si="33"/>
        <v>8.3155124979120405</v>
      </c>
      <c r="Q20" s="20">
        <f t="shared" si="2"/>
        <v>60.487747376389791</v>
      </c>
      <c r="R20" s="59">
        <f t="shared" si="0"/>
        <v>353.82108070972311</v>
      </c>
      <c r="S20" s="59">
        <f ca="1">AVERAGE(OFFSET($R$3,0,0,'Données projet'!$E$9+1,1))-AVERAGE(OFFSET($H$3,0,0,'Données projet'!$E$9+1,1))</f>
        <v>107.39524504744702</v>
      </c>
      <c r="T20" s="59">
        <f t="shared" si="34"/>
        <v>102.66420075171004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3.6111111111111112</v>
      </c>
      <c r="AI20" s="13">
        <f>IF('Données projet'!$A$62&gt;35,AI19+AH20-AQ19,IF(A20&lt;'Données projet'!$A$62,$AF$205^A20,IF(A20='Données projet'!$A$62,'Données projet'!$B$62,AI19+AH20-AQ19)))</f>
        <v>61.388888888888914</v>
      </c>
      <c r="AJ20" s="13">
        <f>AI20*VLOOKUP('Données projet'!$B$10,Paramètres!$A$1:$I$89,3,0)*VLOOKUP('Données projet'!$B$10,Paramètres!$A$1:$I$89,5,0)</f>
        <v>55.544666666666686</v>
      </c>
      <c r="AK20" s="13">
        <f t="shared" si="35"/>
        <v>16.036812755173745</v>
      </c>
      <c r="AL20" s="20">
        <f t="shared" si="4"/>
        <v>124.67107665970541</v>
      </c>
      <c r="AM20" s="59">
        <f t="shared" si="5"/>
        <v>418.00440999303873</v>
      </c>
      <c r="AN20" s="59">
        <f ca="1">AVERAGE(OFFSET($AM$3,0,0,'Données projet'!$E$10+1,1))-AVERAGE(OFFSET($H$3,0,0,'Données projet'!$E$10+1,1))</f>
        <v>215.7418266360167</v>
      </c>
      <c r="AO20" s="59">
        <f t="shared" si="36"/>
        <v>155.78420008229949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5.75</v>
      </c>
      <c r="N21" s="13">
        <f>IF('Données projet'!$A$36&gt;35,N20+M21-V20,IF(A21&lt;'Données projet'!$A$36,$K$205^A21,IF(A21='Données projet'!$A$36,'Données projet'!$B$36,N20+M21-V20)))</f>
        <v>71.55303446582019</v>
      </c>
      <c r="O21" s="13">
        <f>N21*VLOOKUP('Données projet'!$B$9,Paramètres!$A$1:$I$89,3,0)*VLOOKUP('Données projet'!$B$9,Paramètres!$A$1:$I$89,5,0)</f>
        <v>33.486820130003849</v>
      </c>
      <c r="P21" s="13">
        <f t="shared" si="33"/>
        <v>10.254881616957807</v>
      </c>
      <c r="Q21" s="20">
        <f t="shared" si="2"/>
        <v>76.183463875958196</v>
      </c>
      <c r="R21" s="59">
        <f t="shared" si="0"/>
        <v>369.5167972092915</v>
      </c>
      <c r="S21" s="59">
        <f ca="1">AVERAGE(OFFSET($R$3,0,0,'Données projet'!$E$9+1,1))-AVERAGE(OFFSET($H$3,0,0,'Données projet'!$E$9+1,1))</f>
        <v>107.39524504744702</v>
      </c>
      <c r="T21" s="59">
        <f t="shared" si="34"/>
        <v>102.66420075171004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3.6111111111111112</v>
      </c>
      <c r="AI21" s="13">
        <f>IF('Données projet'!$A$62&gt;35,AI20+AH21-AQ20,IF(A21&lt;'Données projet'!$A$62,$AF$205^A21,IF(A21='Données projet'!$A$62,'Données projet'!$B$62,AI20+AH21-AQ20)))</f>
        <v>65.000000000000028</v>
      </c>
      <c r="AJ21" s="13">
        <f>AI21*VLOOKUP('Données projet'!$B$10,Paramètres!$A$1:$I$89,3,0)*VLOOKUP('Données projet'!$B$10,Paramètres!$A$1:$I$89,5,0)</f>
        <v>58.812000000000026</v>
      </c>
      <c r="AK21" s="13">
        <f t="shared" si="35"/>
        <v>16.86755663452599</v>
      </c>
      <c r="AL21" s="20">
        <f t="shared" si="4"/>
        <v>131.80856113846616</v>
      </c>
      <c r="AM21" s="59">
        <f t="shared" si="5"/>
        <v>425.14189447179945</v>
      </c>
      <c r="AN21" s="59">
        <f ca="1">AVERAGE(OFFSET($AM$3,0,0,'Données projet'!$E$10+1,1))-AVERAGE(OFFSET($H$3,0,0,'Données projet'!$E$10+1,1))</f>
        <v>215.7418266360167</v>
      </c>
      <c r="AO21" s="59">
        <f t="shared" si="36"/>
        <v>155.78420008229949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5.75</v>
      </c>
      <c r="N22" s="13">
        <f>IF('Données projet'!$A$36&gt;35,N21+M22-V21,IF(A22&lt;'Données projet'!$A$36,$K$205^A22,IF(A22='Données projet'!$A$36,'Données projet'!$B$36,N21+M22-V21)))</f>
        <v>90.711625294497551</v>
      </c>
      <c r="O22" s="13">
        <f>N22*VLOOKUP('Données projet'!$B$9,Paramètres!$A$1:$I$89,3,0)*VLOOKUP('Données projet'!$B$9,Paramètres!$A$1:$I$89,5,0)</f>
        <v>42.453040637824856</v>
      </c>
      <c r="P22" s="13">
        <f t="shared" si="33"/>
        <v>12.646556301156998</v>
      </c>
      <c r="Q22" s="20">
        <f t="shared" si="2"/>
        <v>95.96513133539338</v>
      </c>
      <c r="R22" s="59">
        <f t="shared" si="0"/>
        <v>389.29846466872669</v>
      </c>
      <c r="S22" s="59">
        <f ca="1">AVERAGE(OFFSET($R$3,0,0,'Données projet'!$E$9+1,1))-AVERAGE(OFFSET($H$3,0,0,'Données projet'!$E$9+1,1))</f>
        <v>107.39524504744702</v>
      </c>
      <c r="T22" s="59">
        <f t="shared" si="34"/>
        <v>102.66420075171004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3.6111111111111112</v>
      </c>
      <c r="AI22" s="13">
        <f>IF('Données projet'!$A$62&gt;35,AI21+AH22-AQ21,IF(A22&lt;'Données projet'!$A$62,$AF$205^A22,IF(A22='Données projet'!$A$62,'Données projet'!$B$62,AI21+AH22-AQ21)))</f>
        <v>68.611111111111143</v>
      </c>
      <c r="AJ22" s="13">
        <f>AI22*VLOOKUP('Données projet'!$B$10,Paramètres!$A$1:$I$89,3,0)*VLOOKUP('Données projet'!$B$10,Paramètres!$A$1:$I$89,5,0)</f>
        <v>62.079333333333359</v>
      </c>
      <c r="AK22" s="13">
        <f t="shared" si="35"/>
        <v>17.692942793486981</v>
      </c>
      <c r="AL22" s="20">
        <f t="shared" si="4"/>
        <v>138.93671425421209</v>
      </c>
      <c r="AM22" s="59">
        <f t="shared" si="5"/>
        <v>432.27004758754538</v>
      </c>
      <c r="AN22" s="59">
        <f ca="1">AVERAGE(OFFSET($AM$3,0,0,'Données projet'!$E$10+1,1))-AVERAGE(OFFSET($H$3,0,0,'Données projet'!$E$10+1,1))</f>
        <v>215.7418266360167</v>
      </c>
      <c r="AO22" s="59">
        <f t="shared" si="36"/>
        <v>155.78420008229949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115</v>
      </c>
      <c r="L23" s="12">
        <f>VLOOKUP(A23,'Données projet'!$A$35:$I$55,9,0)</f>
        <v>5.75</v>
      </c>
      <c r="M23" s="12">
        <f t="array" ref="M23">INDEX(L:L,MIN(IF(ISNUMBER(L23:L219),ROW(L23:L219),"")))</f>
        <v>5.75</v>
      </c>
      <c r="N23" s="13">
        <f>IF('Données projet'!$A$36&gt;35,N22+M23-V22,IF(A23&lt;'Données projet'!$A$36,$K$205^A23,IF(A23='Données projet'!$A$36,'Données projet'!$B$36,N22+M23-V22)))</f>
        <v>115</v>
      </c>
      <c r="O23" s="13">
        <f>N23*VLOOKUP('Données projet'!$B$9,Paramètres!$A$1:$I$89,3,0)*VLOOKUP('Données projet'!$B$9,Paramètres!$A$1:$I$89,5,0)</f>
        <v>53.82</v>
      </c>
      <c r="P23" s="13">
        <f t="shared" si="33"/>
        <v>15.596024630246266</v>
      </c>
      <c r="Q23" s="20">
        <f t="shared" si="2"/>
        <v>120.89957623101225</v>
      </c>
      <c r="R23" s="59">
        <f t="shared" si="0"/>
        <v>414.23290956434556</v>
      </c>
      <c r="S23" s="59">
        <f ca="1">AVERAGE(OFFSET($R$3,0,0,'Données projet'!$E$9+1,1))-AVERAGE(OFFSET($H$3,0,0,'Données projet'!$E$9+1,1))</f>
        <v>107.39524504744702</v>
      </c>
      <c r="T23" s="59">
        <f t="shared" si="34"/>
        <v>102.66420075171004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0.30800000000000005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4.3806585543293775</v>
      </c>
      <c r="AB23" s="21">
        <f>EXP(-LN(2)/2)*AB22+(1-EXP(-LN(2)/2))/(LN(2)/2)*V23*Y23*VLOOKUP('Données projet'!$B$9,Paramètres!$A$1:$I$89,3,0)*0.475*44/12</f>
        <v>5.362433318252946</v>
      </c>
      <c r="AC23" s="22">
        <f t="shared" si="3"/>
        <v>9.7430918725823226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3.6111111111111112</v>
      </c>
      <c r="AI23" s="13">
        <f>IF('Données projet'!$A$62&gt;35,AI22+AH23-AQ22,IF(A23&lt;'Données projet'!$A$62,$AF$205^A23,IF(A23='Données projet'!$A$62,'Données projet'!$B$62,AI22+AH23-AQ22)))</f>
        <v>72.222222222222257</v>
      </c>
      <c r="AJ23" s="13">
        <f>AI23*VLOOKUP('Données projet'!$B$10,Paramètres!$A$1:$I$89,3,0)*VLOOKUP('Données projet'!$B$10,Paramètres!$A$1:$I$89,5,0)</f>
        <v>65.346666666666692</v>
      </c>
      <c r="AK23" s="13">
        <f t="shared" si="35"/>
        <v>18.513285375546825</v>
      </c>
      <c r="AL23" s="20">
        <f t="shared" si="4"/>
        <v>146.05608314018855</v>
      </c>
      <c r="AM23" s="59">
        <f t="shared" si="5"/>
        <v>439.38941647352186</v>
      </c>
      <c r="AN23" s="59">
        <f ca="1">AVERAGE(OFFSET($AM$3,0,0,'Données projet'!$E$10+1,1))-AVERAGE(OFFSET($H$3,0,0,'Données projet'!$E$10+1,1))</f>
        <v>215.7418266360167</v>
      </c>
      <c r="AO23" s="59">
        <f t="shared" si="36"/>
        <v>155.78420008229949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6.5</v>
      </c>
      <c r="N24" s="13">
        <f>IF('Données projet'!$A$36&gt;35,N23+M24-V23,IF(A24&lt;'Données projet'!$A$36,$K$205^A24,IF(A24='Données projet'!$A$36,'Données projet'!$B$36,N23+M24-V23)))</f>
        <v>98.5</v>
      </c>
      <c r="O24" s="13">
        <f>N24*VLOOKUP('Données projet'!$B$9,Paramètres!$A$1:$I$89,3,0)*VLOOKUP('Données projet'!$B$9,Paramètres!$A$1:$I$89,5,0)</f>
        <v>46.098000000000006</v>
      </c>
      <c r="P24" s="13">
        <f t="shared" si="33"/>
        <v>13.601335517465165</v>
      </c>
      <c r="Q24" s="20">
        <f t="shared" si="2"/>
        <v>103.97634269291849</v>
      </c>
      <c r="R24" s="59">
        <f t="shared" si="0"/>
        <v>397.30967602625179</v>
      </c>
      <c r="S24" s="59">
        <f ca="1">AVERAGE(OFFSET($R$3,0,0,'Données projet'!$E$9+1,1))-AVERAGE(OFFSET($H$3,0,0,'Données projet'!$E$9+1,1))</f>
        <v>107.39524504744702</v>
      </c>
      <c r="T24" s="59">
        <f t="shared" si="34"/>
        <v>102.66420075171004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4.2608692157924191</v>
      </c>
      <c r="AB24" s="21">
        <f>EXP(-LN(2)/2)*AB23+(1-EXP(-LN(2)/2))/(LN(2)/2)*V24*Y24*VLOOKUP('Données projet'!$B$9,Paramètres!$A$1:$I$89,3,0)*0.475*44/12</f>
        <v>3.7918129629973381</v>
      </c>
      <c r="AC24" s="22">
        <f t="shared" si="3"/>
        <v>8.0526821787897571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3.6111111111111112</v>
      </c>
      <c r="AI24" s="13">
        <f>IF('Données projet'!$A$62&gt;35,AI23+AH24-AQ23,IF(A24&lt;'Données projet'!$A$62,$AF$205^A24,IF(A24='Données projet'!$A$62,'Données projet'!$B$62,AI23+AH24-AQ23)))</f>
        <v>75.833333333333371</v>
      </c>
      <c r="AJ24" s="13">
        <f>AI24*VLOOKUP('Données projet'!$B$10,Paramètres!$A$1:$I$89,3,0)*VLOOKUP('Données projet'!$B$10,Paramètres!$A$1:$I$89,5,0)</f>
        <v>68.614000000000033</v>
      </c>
      <c r="AK24" s="13">
        <f t="shared" si="35"/>
        <v>19.328865335265945</v>
      </c>
      <c r="AL24" s="20">
        <f t="shared" si="4"/>
        <v>153.16715712558823</v>
      </c>
      <c r="AM24" s="59">
        <f t="shared" si="5"/>
        <v>446.50049045892155</v>
      </c>
      <c r="AN24" s="59">
        <f ca="1">AVERAGE(OFFSET($AM$3,0,0,'Données projet'!$E$10+1,1))-AVERAGE(OFFSET($H$3,0,0,'Données projet'!$E$10+1,1))</f>
        <v>215.7418266360167</v>
      </c>
      <c r="AO24" s="59">
        <f t="shared" si="36"/>
        <v>155.78420008229949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6.5</v>
      </c>
      <c r="N25" s="13">
        <f>IF('Données projet'!$A$36&gt;35,N24+M25-V24,IF(A25&lt;'Données projet'!$A$36,$K$205^A25,IF(A25='Données projet'!$A$36,'Données projet'!$B$36,N24+M25-V24)))</f>
        <v>105</v>
      </c>
      <c r="O25" s="13">
        <f>N25*VLOOKUP('Données projet'!$B$9,Paramètres!$A$1:$I$89,3,0)*VLOOKUP('Données projet'!$B$9,Paramètres!$A$1:$I$89,5,0)</f>
        <v>49.14</v>
      </c>
      <c r="P25" s="13">
        <f t="shared" si="33"/>
        <v>14.391437147300868</v>
      </c>
      <c r="Q25" s="20">
        <f t="shared" si="2"/>
        <v>110.65058636488233</v>
      </c>
      <c r="R25" s="59">
        <f t="shared" si="0"/>
        <v>403.98391969821563</v>
      </c>
      <c r="S25" s="59">
        <f ca="1">AVERAGE(OFFSET($R$3,0,0,'Données projet'!$E$9+1,1))-AVERAGE(OFFSET($H$3,0,0,'Données projet'!$E$9+1,1))</f>
        <v>107.39524504744702</v>
      </c>
      <c r="T25" s="59">
        <f t="shared" si="34"/>
        <v>102.66420075171004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4.144355523017202</v>
      </c>
      <c r="AB25" s="21">
        <f>EXP(-LN(2)/2)*AB24+(1-EXP(-LN(2)/2))/(LN(2)/2)*V25*Y25*VLOOKUP('Données projet'!$B$9,Paramètres!$A$1:$I$89,3,0)*0.475*44/12</f>
        <v>2.6812166591264734</v>
      </c>
      <c r="AC25" s="22">
        <f t="shared" si="3"/>
        <v>6.8255721821436754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3.6111111111111112</v>
      </c>
      <c r="AI25" s="13">
        <f>IF('Données projet'!$A$62&gt;35,AI24+AH25-AQ24,IF(A25&lt;'Données projet'!$A$62,$AF$205^A25,IF(A25='Données projet'!$A$62,'Données projet'!$B$62,AI24+AH25-AQ24)))</f>
        <v>79.444444444444485</v>
      </c>
      <c r="AJ25" s="13">
        <f>AI25*VLOOKUP('Données projet'!$B$10,Paramètres!$A$1:$I$89,3,0)*VLOOKUP('Données projet'!$B$10,Paramètres!$A$1:$I$89,5,0)</f>
        <v>71.881333333333359</v>
      </c>
      <c r="AK25" s="13">
        <f t="shared" si="35"/>
        <v>20.139935357673757</v>
      </c>
      <c r="AL25" s="20">
        <f t="shared" si="4"/>
        <v>160.27037630350409</v>
      </c>
      <c r="AM25" s="59">
        <f t="shared" si="5"/>
        <v>453.60370963683738</v>
      </c>
      <c r="AN25" s="59">
        <f ca="1">AVERAGE(OFFSET($AM$3,0,0,'Données projet'!$E$10+1,1))-AVERAGE(OFFSET($H$3,0,0,'Données projet'!$E$10+1,1))</f>
        <v>215.7418266360167</v>
      </c>
      <c r="AO25" s="59">
        <f t="shared" si="36"/>
        <v>155.78420008229949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6.5</v>
      </c>
      <c r="N26" s="13">
        <f>IF('Données projet'!$A$36&gt;35,N25+M26-V25,IF(A26&lt;'Données projet'!$A$36,$K$205^A26,IF(A26='Données projet'!$A$36,'Données projet'!$B$36,N25+M26-V25)))</f>
        <v>111.5</v>
      </c>
      <c r="O26" s="13">
        <f>N26*VLOOKUP('Données projet'!$B$9,Paramètres!$A$1:$I$89,3,0)*VLOOKUP('Données projet'!$B$9,Paramètres!$A$1:$I$89,5,0)</f>
        <v>52.182000000000002</v>
      </c>
      <c r="P26" s="13">
        <f t="shared" si="33"/>
        <v>15.175862166895936</v>
      </c>
      <c r="Q26" s="20">
        <f t="shared" si="2"/>
        <v>117.31494327401042</v>
      </c>
      <c r="R26" s="59">
        <f t="shared" si="0"/>
        <v>410.64827660734375</v>
      </c>
      <c r="S26" s="59">
        <f ca="1">AVERAGE(OFFSET($R$3,0,0,'Données projet'!$E$9+1,1))-AVERAGE(OFFSET($H$3,0,0,'Données projet'!$E$9+1,1))</f>
        <v>107.39524504744702</v>
      </c>
      <c r="T26" s="59">
        <f t="shared" si="34"/>
        <v>102.66420075171004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4.0310279032981118</v>
      </c>
      <c r="AB26" s="21">
        <f>EXP(-LN(2)/2)*AB25+(1-EXP(-LN(2)/2))/(LN(2)/2)*V26*Y26*VLOOKUP('Données projet'!$B$9,Paramètres!$A$1:$I$89,3,0)*0.475*44/12</f>
        <v>1.8959064814986695</v>
      </c>
      <c r="AC26" s="22">
        <f t="shared" si="3"/>
        <v>5.9269343847967813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3.6111111111111112</v>
      </c>
      <c r="AI26" s="13">
        <f>IF('Données projet'!$A$62&gt;35,AI25+AH26-AQ25,IF(A26&lt;'Données projet'!$A$62,$AF$205^A26,IF(A26='Données projet'!$A$62,'Données projet'!$B$62,AI25+AH26-AQ25)))</f>
        <v>83.0555555555556</v>
      </c>
      <c r="AJ26" s="13">
        <f>AI26*VLOOKUP('Données projet'!$B$10,Paramètres!$A$1:$I$89,3,0)*VLOOKUP('Données projet'!$B$10,Paramètres!$A$1:$I$89,5,0)</f>
        <v>75.148666666666699</v>
      </c>
      <c r="AK26" s="13">
        <f t="shared" si="35"/>
        <v>20.946723857947642</v>
      </c>
      <c r="AL26" s="20">
        <f t="shared" si="4"/>
        <v>167.36613849703664</v>
      </c>
      <c r="AM26" s="59">
        <f t="shared" si="5"/>
        <v>460.69947183036993</v>
      </c>
      <c r="AN26" s="59">
        <f ca="1">AVERAGE(OFFSET($AM$3,0,0,'Données projet'!$E$10+1,1))-AVERAGE(OFFSET($H$3,0,0,'Données projet'!$E$10+1,1))</f>
        <v>215.7418266360167</v>
      </c>
      <c r="AO26" s="59">
        <f t="shared" si="36"/>
        <v>155.78420008229949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6.5</v>
      </c>
      <c r="N27" s="13">
        <f>IF('Données projet'!$A$36&gt;35,N26+M27-V26,IF(A27&lt;'Données projet'!$A$36,$K$205^A27,IF(A27='Données projet'!$A$36,'Données projet'!$B$36,N26+M27-V26)))</f>
        <v>118</v>
      </c>
      <c r="O27" s="13">
        <f>N27*VLOOKUP('Données projet'!$B$9,Paramètres!$A$1:$I$89,3,0)*VLOOKUP('Données projet'!$B$9,Paramètres!$A$1:$I$89,5,0)</f>
        <v>55.223999999999997</v>
      </c>
      <c r="P27" s="13">
        <f t="shared" si="33"/>
        <v>15.954979198073962</v>
      </c>
      <c r="Q27" s="20">
        <f t="shared" si="2"/>
        <v>123.97005543664547</v>
      </c>
      <c r="R27" s="59">
        <f t="shared" si="0"/>
        <v>417.30338876997877</v>
      </c>
      <c r="S27" s="59">
        <f ca="1">AVERAGE(OFFSET($R$3,0,0,'Données projet'!$E$9+1,1))-AVERAGE(OFFSET($H$3,0,0,'Données projet'!$E$9+1,1))</f>
        <v>107.39524504744702</v>
      </c>
      <c r="T27" s="59">
        <f t="shared" si="34"/>
        <v>102.66420075171004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3.9207992332998804</v>
      </c>
      <c r="AB27" s="21">
        <f>EXP(-LN(2)/2)*AB26+(1-EXP(-LN(2)/2))/(LN(2)/2)*V27*Y27*VLOOKUP('Données projet'!$B$9,Paramètres!$A$1:$I$89,3,0)*0.475*44/12</f>
        <v>1.3406083295632369</v>
      </c>
      <c r="AC27" s="22">
        <f t="shared" si="3"/>
        <v>5.2614075628631172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3.6111111111111112</v>
      </c>
      <c r="AI27" s="13">
        <f>IF('Données projet'!$A$62&gt;35,AI26+AH27-AQ26,IF(A27&lt;'Données projet'!$A$62,$AF$205^A27,IF(A27='Données projet'!$A$62,'Données projet'!$B$62,AI26+AH27-AQ26)))</f>
        <v>86.666666666666714</v>
      </c>
      <c r="AJ27" s="13">
        <f>AI27*VLOOKUP('Données projet'!$B$10,Paramètres!$A$1:$I$89,3,0)*VLOOKUP('Données projet'!$B$10,Paramètres!$A$1:$I$89,5,0)</f>
        <v>78.416000000000039</v>
      </c>
      <c r="AK27" s="13">
        <f t="shared" si="35"/>
        <v>21.749438265868008</v>
      </c>
      <c r="AL27" s="20">
        <f t="shared" si="4"/>
        <v>174.45480497972017</v>
      </c>
      <c r="AM27" s="59">
        <f t="shared" si="5"/>
        <v>467.78813831305348</v>
      </c>
      <c r="AN27" s="59">
        <f ca="1">AVERAGE(OFFSET($AM$3,0,0,'Données projet'!$E$10+1,1))-AVERAGE(OFFSET($H$3,0,0,'Données projet'!$E$10+1,1))</f>
        <v>215.7418266360167</v>
      </c>
      <c r="AO27" s="59">
        <f t="shared" si="36"/>
        <v>155.78420008229949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6.5</v>
      </c>
      <c r="N28" s="13">
        <f>IF('Données projet'!$A$36&gt;35,N27+M28-V27,IF(A28&lt;'Données projet'!$A$36,$K$205^A28,IF(A28='Données projet'!$A$36,'Données projet'!$B$36,N27+M28-V27)))</f>
        <v>124.5</v>
      </c>
      <c r="O28" s="13">
        <f>N28*VLOOKUP('Données projet'!$B$9,Paramètres!$A$1:$I$89,3,0)*VLOOKUP('Données projet'!$B$9,Paramètres!$A$1:$I$89,5,0)</f>
        <v>58.266000000000005</v>
      </c>
      <c r="P28" s="13">
        <f t="shared" si="33"/>
        <v>16.729113958144108</v>
      </c>
      <c r="Q28" s="20">
        <f t="shared" si="2"/>
        <v>130.61649014376766</v>
      </c>
      <c r="R28" s="59">
        <f t="shared" si="0"/>
        <v>423.94982347710095</v>
      </c>
      <c r="S28" s="59">
        <f ca="1">AVERAGE(OFFSET($R$3,0,0,'Données projet'!$E$9+1,1))-AVERAGE(OFFSET($H$3,0,0,'Données projet'!$E$9+1,1))</f>
        <v>107.39524504744702</v>
      </c>
      <c r="T28" s="59">
        <f t="shared" si="34"/>
        <v>102.66420075171004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3.8135847720794245</v>
      </c>
      <c r="AB28" s="21">
        <f>EXP(-LN(2)/2)*AB27+(1-EXP(-LN(2)/2))/(LN(2)/2)*V28*Y28*VLOOKUP('Données projet'!$B$9,Paramètres!$A$1:$I$89,3,0)*0.475*44/12</f>
        <v>0.94795324074933485</v>
      </c>
      <c r="AC28" s="22">
        <f t="shared" si="3"/>
        <v>4.7615380128287592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3.6111111111111112</v>
      </c>
      <c r="AI28" s="13">
        <f>IF('Données projet'!$A$62&gt;35,AI27+AH28-AQ27,IF(A28&lt;'Données projet'!$A$62,$AF$205^A28,IF(A28='Données projet'!$A$62,'Données projet'!$B$62,AI27+AH28-AQ27)))</f>
        <v>90.277777777777828</v>
      </c>
      <c r="AJ28" s="13">
        <f>AI28*VLOOKUP('Données projet'!$B$10,Paramètres!$A$1:$I$89,3,0)*VLOOKUP('Données projet'!$B$10,Paramètres!$A$1:$I$89,5,0)</f>
        <v>81.68333333333338</v>
      </c>
      <c r="AK28" s="13">
        <f t="shared" si="35"/>
        <v>22.548267747439127</v>
      </c>
      <c r="AL28" s="20">
        <f t="shared" si="4"/>
        <v>181.53670521567878</v>
      </c>
      <c r="AM28" s="59">
        <f t="shared" si="5"/>
        <v>474.87003854901207</v>
      </c>
      <c r="AN28" s="59">
        <f ca="1">AVERAGE(OFFSET($AM$3,0,0,'Données projet'!$E$10+1,1))-AVERAGE(OFFSET($H$3,0,0,'Données projet'!$E$10+1,1))</f>
        <v>215.7418266360167</v>
      </c>
      <c r="AO28" s="59">
        <f t="shared" si="36"/>
        <v>155.78420008229949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6.5</v>
      </c>
      <c r="N29" s="13">
        <f>IF('Données projet'!$A$36&gt;35,N28+M29-V28,IF(A29&lt;'Données projet'!$A$36,$K$205^A29,IF(A29='Données projet'!$A$36,'Données projet'!$B$36,N28+M29-V28)))</f>
        <v>131</v>
      </c>
      <c r="O29" s="13">
        <f>N29*VLOOKUP('Données projet'!$B$9,Paramètres!$A$1:$I$89,3,0)*VLOOKUP('Données projet'!$B$9,Paramètres!$A$1:$I$89,5,0)</f>
        <v>61.308</v>
      </c>
      <c r="P29" s="13">
        <f t="shared" si="33"/>
        <v>17.498556232826882</v>
      </c>
      <c r="Q29" s="20">
        <f t="shared" si="2"/>
        <v>137.25475210550681</v>
      </c>
      <c r="R29" s="59">
        <f t="shared" si="0"/>
        <v>430.58808543884015</v>
      </c>
      <c r="S29" s="59">
        <f ca="1">AVERAGE(OFFSET($R$3,0,0,'Données projet'!$E$9+1,1))-AVERAGE(OFFSET($H$3,0,0,'Données projet'!$E$9+1,1))</f>
        <v>107.39524504744702</v>
      </c>
      <c r="T29" s="59">
        <f t="shared" si="34"/>
        <v>102.66420075171004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3.7093020959392056</v>
      </c>
      <c r="AB29" s="21">
        <f>EXP(-LN(2)/2)*AB28+(1-EXP(-LN(2)/2))/(LN(2)/2)*V29*Y29*VLOOKUP('Données projet'!$B$9,Paramètres!$A$1:$I$89,3,0)*0.475*44/12</f>
        <v>0.67030416478161858</v>
      </c>
      <c r="AC29" s="22">
        <f t="shared" si="3"/>
        <v>4.3796062607208244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3.6111111111111112</v>
      </c>
      <c r="AI29" s="13">
        <f>IF('Données projet'!$A$62&gt;35,AI28+AH29-AQ28,IF(A29&lt;'Données projet'!$A$62,$AF$205^A29,IF(A29='Données projet'!$A$62,'Données projet'!$B$62,AI28+AH29-AQ28)))</f>
        <v>93.888888888888943</v>
      </c>
      <c r="AJ29" s="13">
        <f>AI29*VLOOKUP('Données projet'!$B$10,Paramètres!$A$1:$I$89,3,0)*VLOOKUP('Données projet'!$B$10,Paramètres!$A$1:$I$89,5,0)</f>
        <v>84.95066666666672</v>
      </c>
      <c r="AK29" s="13">
        <f t="shared" si="35"/>
        <v>23.343385478792882</v>
      </c>
      <c r="AL29" s="20">
        <f t="shared" si="4"/>
        <v>188.61214082000879</v>
      </c>
      <c r="AM29" s="59">
        <f t="shared" si="5"/>
        <v>481.9454741533421</v>
      </c>
      <c r="AN29" s="59">
        <f ca="1">AVERAGE(OFFSET($AM$3,0,0,'Données projet'!$E$10+1,1))-AVERAGE(OFFSET($H$3,0,0,'Données projet'!$E$10+1,1))</f>
        <v>215.7418266360167</v>
      </c>
      <c r="AO29" s="59">
        <f t="shared" si="36"/>
        <v>155.78420008229949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6.5</v>
      </c>
      <c r="N30" s="13">
        <f>IF('Données projet'!$A$36&gt;35,N29+M30-V29,IF(A30&lt;'Données projet'!$A$36,$K$205^A30,IF(A30='Données projet'!$A$36,'Données projet'!$B$36,N29+M30-V29)))</f>
        <v>137.5</v>
      </c>
      <c r="O30" s="13">
        <f>N30*VLOOKUP('Données projet'!$B$9,Paramètres!$A$1:$I$89,3,0)*VLOOKUP('Données projet'!$B$9,Paramètres!$A$1:$I$89,5,0)</f>
        <v>64.350000000000009</v>
      </c>
      <c r="P30" s="13">
        <f t="shared" si="33"/>
        <v>18.263565425931397</v>
      </c>
      <c r="Q30" s="20">
        <f t="shared" si="2"/>
        <v>143.88529311683052</v>
      </c>
      <c r="R30" s="59">
        <f t="shared" si="0"/>
        <v>437.21862645016381</v>
      </c>
      <c r="S30" s="59">
        <f ca="1">AVERAGE(OFFSET($R$3,0,0,'Données projet'!$E$9+1,1))-AVERAGE(OFFSET($H$3,0,0,'Données projet'!$E$9+1,1))</f>
        <v>107.39524504744702</v>
      </c>
      <c r="T30" s="59">
        <f t="shared" si="34"/>
        <v>102.66420075171004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3.6078710350620287</v>
      </c>
      <c r="AB30" s="21">
        <f>EXP(-LN(2)/2)*AB29+(1-EXP(-LN(2)/2))/(LN(2)/2)*V30*Y30*VLOOKUP('Données projet'!$B$9,Paramètres!$A$1:$I$89,3,0)*0.475*44/12</f>
        <v>0.47397662037466748</v>
      </c>
      <c r="AC30" s="22">
        <f t="shared" si="3"/>
        <v>4.0818476554366958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3.6111111111111112</v>
      </c>
      <c r="AI30" s="13">
        <f>IF('Données projet'!$A$62&gt;35,AI29+AH30-AQ29,IF(A30&lt;'Données projet'!$A$62,$AF$205^A30,IF(A30='Données projet'!$A$62,'Données projet'!$B$62,AI29+AH30-AQ29)))</f>
        <v>97.500000000000057</v>
      </c>
      <c r="AJ30" s="13">
        <f>AI30*VLOOKUP('Données projet'!$B$10,Paramètres!$A$1:$I$89,3,0)*VLOOKUP('Données projet'!$B$10,Paramètres!$A$1:$I$89,5,0)</f>
        <v>88.218000000000046</v>
      </c>
      <c r="AK30" s="13">
        <f t="shared" si="35"/>
        <v>24.134950560421608</v>
      </c>
      <c r="AL30" s="20">
        <f t="shared" si="4"/>
        <v>195.68138889273436</v>
      </c>
      <c r="AM30" s="59">
        <f t="shared" si="5"/>
        <v>489.01472222606765</v>
      </c>
      <c r="AN30" s="59">
        <f ca="1">AVERAGE(OFFSET($AM$3,0,0,'Données projet'!$E$10+1,1))-AVERAGE(OFFSET($H$3,0,0,'Données projet'!$E$10+1,1))</f>
        <v>215.7418266360167</v>
      </c>
      <c r="AO30" s="59">
        <f t="shared" si="36"/>
        <v>155.78420008229949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6.5</v>
      </c>
      <c r="N31" s="13">
        <f>IF('Données projet'!$A$36&gt;35,N30+M31-V30,IF(A31&lt;'Données projet'!$A$36,$K$205^A31,IF(A31='Données projet'!$A$36,'Données projet'!$B$36,N30+M31-V30)))</f>
        <v>144</v>
      </c>
      <c r="O31" s="13">
        <f>N31*VLOOKUP('Données projet'!$B$9,Paramètres!$A$1:$I$89,3,0)*VLOOKUP('Données projet'!$B$9,Paramètres!$A$1:$I$89,5,0)</f>
        <v>67.391999999999996</v>
      </c>
      <c r="P31" s="13">
        <f t="shared" si="33"/>
        <v>19.02437502991798</v>
      </c>
      <c r="Q31" s="20">
        <f t="shared" si="2"/>
        <v>150.5085198437738</v>
      </c>
      <c r="R31" s="59">
        <f t="shared" si="0"/>
        <v>443.84185317710711</v>
      </c>
      <c r="S31" s="59">
        <f ca="1">AVERAGE(OFFSET($R$3,0,0,'Données projet'!$E$9+1,1))-AVERAGE(OFFSET($H$3,0,0,'Données projet'!$E$9+1,1))</f>
        <v>107.39524504744702</v>
      </c>
      <c r="T31" s="59">
        <f t="shared" si="34"/>
        <v>102.66420075171004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3.5092136118785655</v>
      </c>
      <c r="AB31" s="21">
        <f>EXP(-LN(2)/2)*AB30+(1-EXP(-LN(2)/2))/(LN(2)/2)*V31*Y31*VLOOKUP('Données projet'!$B$9,Paramètres!$A$1:$I$89,3,0)*0.475*44/12</f>
        <v>0.33515208239080935</v>
      </c>
      <c r="AC31" s="22">
        <f t="shared" si="3"/>
        <v>3.8443656942693747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3.6111111111111112</v>
      </c>
      <c r="AI31" s="13">
        <f>IF('Données projet'!$A$62&gt;35,AI30+AH31-AQ30,IF(A31&lt;'Données projet'!$A$62,$AF$205^A31,IF(A31='Données projet'!$A$62,'Données projet'!$B$62,AI30+AH31-AQ30)))</f>
        <v>101.11111111111117</v>
      </c>
      <c r="AJ31" s="13">
        <f>AI31*VLOOKUP('Données projet'!$B$10,Paramètres!$A$1:$I$89,3,0)*VLOOKUP('Données projet'!$B$10,Paramètres!$A$1:$I$89,5,0)</f>
        <v>91.485333333333386</v>
      </c>
      <c r="AK31" s="13">
        <f t="shared" si="35"/>
        <v>24.923109639848377</v>
      </c>
      <c r="AL31" s="20">
        <f t="shared" si="4"/>
        <v>202.74470484495825</v>
      </c>
      <c r="AM31" s="59">
        <f t="shared" si="5"/>
        <v>496.07803817829154</v>
      </c>
      <c r="AN31" s="59">
        <f ca="1">AVERAGE(OFFSET($AM$3,0,0,'Données projet'!$E$10+1,1))-AVERAGE(OFFSET($H$3,0,0,'Données projet'!$E$10+1,1))</f>
        <v>215.7418266360167</v>
      </c>
      <c r="AO31" s="59">
        <f t="shared" si="36"/>
        <v>155.78420008229949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6.5</v>
      </c>
      <c r="N32" s="13">
        <f>IF('Données projet'!$A$36&gt;35,N31+M32-V31,IF(A32&lt;'Données projet'!$A$36,$K$205^A32,IF(A32='Données projet'!$A$36,'Données projet'!$B$36,N31+M32-V31)))</f>
        <v>150.5</v>
      </c>
      <c r="O32" s="13">
        <f>N32*VLOOKUP('Données projet'!$B$9,Paramètres!$A$1:$I$89,3,0)*VLOOKUP('Données projet'!$B$9,Paramètres!$A$1:$I$89,5,0)</f>
        <v>70.433999999999997</v>
      </c>
      <c r="P32" s="13">
        <f t="shared" si="33"/>
        <v>19.78119626646561</v>
      </c>
      <c r="Q32" s="20">
        <f t="shared" si="2"/>
        <v>157.12480016409424</v>
      </c>
      <c r="R32" s="59">
        <f t="shared" si="0"/>
        <v>450.45813349742753</v>
      </c>
      <c r="S32" s="59">
        <f ca="1">AVERAGE(OFFSET($R$3,0,0,'Données projet'!$E$9+1,1))-AVERAGE(OFFSET($H$3,0,0,'Données projet'!$E$9+1,1))</f>
        <v>107.39524504744702</v>
      </c>
      <c r="T32" s="59">
        <f t="shared" si="34"/>
        <v>102.66420075171004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3.4132539811202225</v>
      </c>
      <c r="AB32" s="21">
        <f>EXP(-LN(2)/2)*AB31+(1-EXP(-LN(2)/2))/(LN(2)/2)*V32*Y32*VLOOKUP('Données projet'!$B$9,Paramètres!$A$1:$I$89,3,0)*0.475*44/12</f>
        <v>0.23698831018733379</v>
      </c>
      <c r="AC32" s="22">
        <f t="shared" si="3"/>
        <v>3.6502422913075563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3.6111111111111112</v>
      </c>
      <c r="AI32" s="13">
        <f>IF('Données projet'!$A$62&gt;35,AI31+AH32-AQ31,IF(A32&lt;'Données projet'!$A$62,$AF$205^A32,IF(A32='Données projet'!$A$62,'Données projet'!$B$62,AI31+AH32-AQ31)))</f>
        <v>104.72222222222229</v>
      </c>
      <c r="AJ32" s="13">
        <f>AI32*VLOOKUP('Données projet'!$B$10,Paramètres!$A$1:$I$89,3,0)*VLOOKUP('Données projet'!$B$10,Paramètres!$A$1:$I$89,5,0)</f>
        <v>94.752666666666727</v>
      </c>
      <c r="AK32" s="13">
        <f t="shared" si="35"/>
        <v>25.707998295973415</v>
      </c>
      <c r="AL32" s="20">
        <f t="shared" si="4"/>
        <v>209.80232480993155</v>
      </c>
      <c r="AM32" s="59">
        <f t="shared" si="5"/>
        <v>503.13565814326489</v>
      </c>
      <c r="AN32" s="59">
        <f ca="1">AVERAGE(OFFSET($AM$3,0,0,'Données projet'!$E$10+1,1))-AVERAGE(OFFSET($H$3,0,0,'Données projet'!$E$10+1,1))</f>
        <v>215.7418266360167</v>
      </c>
      <c r="AO32" s="59">
        <f t="shared" si="36"/>
        <v>155.78420008229949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157</v>
      </c>
      <c r="L33" s="12">
        <f>VLOOKUP(A33,'Données projet'!$A$35:$I$55,9,0)</f>
        <v>6.5</v>
      </c>
      <c r="M33" s="12">
        <f t="array" ref="M33">INDEX(L:L,MIN(IF(ISNUMBER(L33:L229),ROW(L33:L229),"")))</f>
        <v>6.5</v>
      </c>
      <c r="N33" s="13">
        <f>IF('Données projet'!$A$36&gt;35,N32+M33-V32,IF(A33&lt;'Données projet'!$A$36,$K$205^A33,IF(A33='Données projet'!$A$36,'Données projet'!$B$36,N32+M33-V32)))</f>
        <v>157</v>
      </c>
      <c r="O33" s="13">
        <f>N33*VLOOKUP('Données projet'!$B$9,Paramètres!$A$1:$I$89,3,0)*VLOOKUP('Données projet'!$B$9,Paramètres!$A$1:$I$89,5,0)</f>
        <v>73.475999999999999</v>
      </c>
      <c r="P33" s="13">
        <f t="shared" si="33"/>
        <v>20.534221080361672</v>
      </c>
      <c r="Q33" s="20">
        <f t="shared" si="2"/>
        <v>163.73446838162991</v>
      </c>
      <c r="R33" s="59">
        <f t="shared" si="0"/>
        <v>457.06780171496325</v>
      </c>
      <c r="S33" s="59">
        <f ca="1">AVERAGE(OFFSET($R$3,0,0,'Données projet'!$E$9+1,1))-AVERAGE(OFFSET($H$3,0,0,'Données projet'!$E$9+1,1))</f>
        <v>107.39524504744702</v>
      </c>
      <c r="T33" s="59">
        <f t="shared" si="34"/>
        <v>102.66420075171004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26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9.3500000000000014E-2</v>
      </c>
      <c r="Y33" s="16">
        <f>IF(ISNA(VLOOKUP(A33,'Données projet'!$A$35:$I$55,7,0)),0%,VLOOKUP(A33,'Données projet'!$A$35:$I$55,7,0))</f>
        <v>0.13</v>
      </c>
      <c r="Z33" s="21">
        <f>EXP(-LN(2)/35)*Z32+(1-EXP(-LN(2)/35))/(LN(2)/35)*V33*W33*VLOOKUP('Données projet'!$B$9,Paramètres!$A$1:$I$89,3,0)*0.475*44/12</f>
        <v>6.2145299731085046</v>
      </c>
      <c r="AA33" s="21">
        <f>EXP(-LN(2)/25)*AA32+(1-EXP(-LN(2)/25))/(LN(2)/25)*Calculateur!V33*Calculateur!X33*VLOOKUP('Données projet'!$B$9,Paramètres!$A$1:$I$89,3,0)*0.475*44/12</f>
        <v>4.82321890024852</v>
      </c>
      <c r="AB33" s="21">
        <f>EXP(-LN(2)/2)*AB32+(1-EXP(-LN(2)/2))/(LN(2)/2)*V33*Y33*VLOOKUP('Données projet'!$B$9,Paramètres!$A$1:$I$89,3,0)*0.475*44/12</f>
        <v>1.9585863787146693</v>
      </c>
      <c r="AC33" s="22">
        <f t="shared" si="3"/>
        <v>12.996335252071693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3.6111111111111112</v>
      </c>
      <c r="AI33" s="13">
        <f>IF('Données projet'!$A$62&gt;35,AI32+AH33-AQ32,IF(A33&lt;'Données projet'!$A$62,$AF$205^A33,IF(A33='Données projet'!$A$62,'Données projet'!$B$62,AI32+AH33-AQ32)))</f>
        <v>108.3333333333334</v>
      </c>
      <c r="AJ33" s="13">
        <f>AI33*VLOOKUP('Données projet'!$B$10,Paramètres!$A$1:$I$89,3,0)*VLOOKUP('Données projet'!$B$10,Paramètres!$A$1:$I$89,5,0)</f>
        <v>98.020000000000053</v>
      </c>
      <c r="AK33" s="13">
        <f t="shared" si="35"/>
        <v>26.489742227111556</v>
      </c>
      <c r="AL33" s="20">
        <f t="shared" si="4"/>
        <v>216.85446771221939</v>
      </c>
      <c r="AM33" s="59">
        <f t="shared" si="5"/>
        <v>510.1878010455527</v>
      </c>
      <c r="AN33" s="59">
        <f ca="1">AVERAGE(OFFSET($AM$3,0,0,'Données projet'!$E$10+1,1))-AVERAGE(OFFSET($H$3,0,0,'Données projet'!$E$10+1,1))</f>
        <v>215.7418266360167</v>
      </c>
      <c r="AO33" s="59">
        <f t="shared" si="36"/>
        <v>155.78420008229949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7</v>
      </c>
      <c r="N34" s="13">
        <f>IF('Données projet'!$A$36&gt;35,N33+M34-V33,IF(A34&lt;'Données projet'!$A$36,$K$205^A34,IF(A34='Données projet'!$A$36,'Données projet'!$B$36,N33+M34-V33)))</f>
        <v>138</v>
      </c>
      <c r="O34" s="13">
        <f>N34*VLOOKUP('Données projet'!$B$9,Paramètres!$A$1:$I$89,3,0)*VLOOKUP('Données projet'!$B$9,Paramètres!$A$1:$I$89,5,0)</f>
        <v>64.584000000000003</v>
      </c>
      <c r="P34" s="13">
        <f t="shared" si="33"/>
        <v>18.322235519392734</v>
      </c>
      <c r="Q34" s="20">
        <f t="shared" si="2"/>
        <v>144.39502686294233</v>
      </c>
      <c r="R34" s="59">
        <f t="shared" si="0"/>
        <v>437.72836019627562</v>
      </c>
      <c r="S34" s="59">
        <f ca="1">AVERAGE(OFFSET($R$3,0,0,'Données projet'!$E$9+1,1))-AVERAGE(OFFSET($H$3,0,0,'Données projet'!$E$9+1,1))</f>
        <v>107.39524504744702</v>
      </c>
      <c r="T34" s="59">
        <f t="shared" si="34"/>
        <v>102.66420075171004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6.0926668308248511</v>
      </c>
      <c r="AA34" s="21">
        <f>EXP(-LN(2)/25)*AA33+(1-EXP(-LN(2)/25))/(LN(2)/25)*Calculateur!V34*Calculateur!X34*VLOOKUP('Données projet'!$B$9,Paramètres!$A$1:$I$89,3,0)*0.475*44/12</f>
        <v>4.6913277257791659</v>
      </c>
      <c r="AB34" s="21">
        <f>EXP(-LN(2)/2)*AB33+(1-EXP(-LN(2)/2))/(LN(2)/2)*V34*Y34*VLOOKUP('Données projet'!$B$9,Paramètres!$A$1:$I$89,3,0)*0.475*44/12</f>
        <v>1.3849297099287463</v>
      </c>
      <c r="AC34" s="22">
        <f t="shared" si="3"/>
        <v>12.168924266532764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3.6111111111111112</v>
      </c>
      <c r="AI34" s="13">
        <f>IF('Données projet'!$A$62&gt;35,AI33+AH34-AQ33,IF(A34&lt;'Données projet'!$A$62,$AF$205^A34,IF(A34='Données projet'!$A$62,'Données projet'!$B$62,AI33+AH34-AQ33)))</f>
        <v>111.94444444444451</v>
      </c>
      <c r="AJ34" s="13">
        <f>AI34*VLOOKUP('Données projet'!$B$10,Paramètres!$A$1:$I$89,3,0)*VLOOKUP('Données projet'!$B$10,Paramètres!$A$1:$I$89,5,0)</f>
        <v>101.28733333333341</v>
      </c>
      <c r="AK34" s="13">
        <f t="shared" si="35"/>
        <v>27.268458276174833</v>
      </c>
      <c r="AL34" s="20">
        <f t="shared" si="4"/>
        <v>223.90133705322685</v>
      </c>
      <c r="AM34" s="59">
        <f t="shared" si="5"/>
        <v>517.2346703865602</v>
      </c>
      <c r="AN34" s="59">
        <f ca="1">AVERAGE(OFFSET($AM$3,0,0,'Données projet'!$E$10+1,1))-AVERAGE(OFFSET($H$3,0,0,'Données projet'!$E$10+1,1))</f>
        <v>215.7418266360167</v>
      </c>
      <c r="AO34" s="59">
        <f t="shared" si="36"/>
        <v>155.78420008229949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7</v>
      </c>
      <c r="N35" s="13">
        <f>IF('Données projet'!$A$36&gt;35,N34+M35-V34,IF(A35&lt;'Données projet'!$A$36,$K$205^A35,IF(A35='Données projet'!$A$36,'Données projet'!$B$36,N34+M35-V34)))</f>
        <v>145</v>
      </c>
      <c r="O35" s="13">
        <f>N35*VLOOKUP('Données projet'!$B$9,Paramètres!$A$1:$I$89,3,0)*VLOOKUP('Données projet'!$B$9,Paramètres!$A$1:$I$89,5,0)</f>
        <v>67.86</v>
      </c>
      <c r="P35" s="13">
        <f t="shared" si="33"/>
        <v>19.141063649731766</v>
      </c>
      <c r="Q35" s="20">
        <f t="shared" ref="Q35:Q66" si="53">(O35+P35)*0.475*44/12</f>
        <v>151.52685252328283</v>
      </c>
      <c r="R35" s="59">
        <f t="shared" si="0"/>
        <v>444.86018585661611</v>
      </c>
      <c r="S35" s="59">
        <f ca="1">AVERAGE(OFFSET($R$3,0,0,'Données projet'!$E$9+1,1))-AVERAGE(OFFSET($H$3,0,0,'Données projet'!$E$9+1,1))</f>
        <v>107.39524504744702</v>
      </c>
      <c r="T35" s="59">
        <f t="shared" si="34"/>
        <v>102.66420075171004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5.9731933504322026</v>
      </c>
      <c r="AA35" s="21">
        <f>EXP(-LN(2)/25)*AA34+(1-EXP(-LN(2)/25))/(LN(2)/25)*Calculateur!V35*Calculateur!X35*VLOOKUP('Données projet'!$B$9,Paramètres!$A$1:$I$89,3,0)*0.475*44/12</f>
        <v>4.563043122411532</v>
      </c>
      <c r="AB35" s="21">
        <f>EXP(-LN(2)/2)*AB34+(1-EXP(-LN(2)/2))/(LN(2)/2)*V35*Y35*VLOOKUP('Données projet'!$B$9,Paramètres!$A$1:$I$89,3,0)*0.475*44/12</f>
        <v>0.97929318935733478</v>
      </c>
      <c r="AC35" s="22">
        <f t="shared" si="3"/>
        <v>11.51552966220107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3.6111111111111112</v>
      </c>
      <c r="AI35" s="13">
        <f>IF('Données projet'!$A$62&gt;35,AI34+AH35-AQ34,IF(A35&lt;'Données projet'!$A$62,$AF$205^A35,IF(A35='Données projet'!$A$62,'Données projet'!$B$62,AI34+AH35-AQ34)))</f>
        <v>115.55555555555563</v>
      </c>
      <c r="AJ35" s="13">
        <f>AI35*VLOOKUP('Données projet'!$B$10,Paramètres!$A$1:$I$89,3,0)*VLOOKUP('Données projet'!$B$10,Paramètres!$A$1:$I$89,5,0)</f>
        <v>104.55466666666672</v>
      </c>
      <c r="AK35" s="13">
        <f t="shared" si="35"/>
        <v>28.044255319857538</v>
      </c>
      <c r="AL35" s="20">
        <f t="shared" si="4"/>
        <v>230.94312245986308</v>
      </c>
      <c r="AM35" s="59">
        <f t="shared" si="5"/>
        <v>524.27645579319642</v>
      </c>
      <c r="AN35" s="59">
        <f ca="1">AVERAGE(OFFSET($AM$3,0,0,'Données projet'!$E$10+1,1))-AVERAGE(OFFSET($H$3,0,0,'Données projet'!$E$10+1,1))</f>
        <v>215.7418266360167</v>
      </c>
      <c r="AO35" s="59">
        <f t="shared" si="36"/>
        <v>155.78420008229949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7</v>
      </c>
      <c r="N36" s="13">
        <f>IF('Données projet'!$A$36&gt;35,N35+M36-V35,IF(A36&lt;'Données projet'!$A$36,$K$205^A36,IF(A36='Données projet'!$A$36,'Données projet'!$B$36,N35+M36-V35)))</f>
        <v>152</v>
      </c>
      <c r="O36" s="13">
        <f>N36*VLOOKUP('Données projet'!$B$9,Paramètres!$A$1:$I$89,3,0)*VLOOKUP('Données projet'!$B$9,Paramètres!$A$1:$I$89,5,0)</f>
        <v>71.135999999999996</v>
      </c>
      <c r="P36" s="13">
        <f t="shared" si="33"/>
        <v>19.955301551927469</v>
      </c>
      <c r="Q36" s="20">
        <f t="shared" si="53"/>
        <v>158.65068353627368</v>
      </c>
      <c r="R36" s="59">
        <f t="shared" si="0"/>
        <v>451.98401686960699</v>
      </c>
      <c r="S36" s="59">
        <f ca="1">AVERAGE(OFFSET($R$3,0,0,'Données projet'!$E$9+1,1))-AVERAGE(OFFSET($H$3,0,0,'Données projet'!$E$9+1,1))</f>
        <v>107.39524504744702</v>
      </c>
      <c r="T36" s="59">
        <f t="shared" si="34"/>
        <v>102.66420075171004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5.8560626721184263</v>
      </c>
      <c r="AA36" s="21">
        <f>EXP(-LN(2)/25)*AA35+(1-EXP(-LN(2)/25))/(LN(2)/25)*Calculateur!V36*Calculateur!X36*VLOOKUP('Données projet'!$B$9,Paramètres!$A$1:$I$89,3,0)*0.475*44/12</f>
        <v>4.4382664682691795</v>
      </c>
      <c r="AB36" s="21">
        <f>EXP(-LN(2)/2)*AB35+(1-EXP(-LN(2)/2))/(LN(2)/2)*V36*Y36*VLOOKUP('Données projet'!$B$9,Paramètres!$A$1:$I$89,3,0)*0.475*44/12</f>
        <v>0.69246485496437327</v>
      </c>
      <c r="AC36" s="22">
        <f t="shared" si="3"/>
        <v>10.986793995351981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3.6111111111111112</v>
      </c>
      <c r="AI36" s="13">
        <f>IF('Données projet'!$A$62&gt;35,AI35+AH36-AQ35,IF(A36&lt;'Données projet'!$A$62,$AF$205^A36,IF(A36='Données projet'!$A$62,'Données projet'!$B$62,AI35+AH36-AQ35)))</f>
        <v>119.16666666666674</v>
      </c>
      <c r="AJ36" s="13">
        <f>AI36*VLOOKUP('Données projet'!$B$10,Paramètres!$A$1:$I$89,3,0)*VLOOKUP('Données projet'!$B$10,Paramètres!$A$1:$I$89,5,0)</f>
        <v>107.82200000000006</v>
      </c>
      <c r="AK36" s="13">
        <f t="shared" si="35"/>
        <v>28.817235043550941</v>
      </c>
      <c r="AL36" s="20">
        <f t="shared" si="4"/>
        <v>237.98000103418462</v>
      </c>
      <c r="AM36" s="59">
        <f t="shared" si="5"/>
        <v>531.31333436751788</v>
      </c>
      <c r="AN36" s="59">
        <f ca="1">AVERAGE(OFFSET($AM$3,0,0,'Données projet'!$E$10+1,1))-AVERAGE(OFFSET($H$3,0,0,'Données projet'!$E$10+1,1))</f>
        <v>215.7418266360167</v>
      </c>
      <c r="AO36" s="59">
        <f t="shared" si="36"/>
        <v>155.78420008229949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7</v>
      </c>
      <c r="N37" s="13">
        <f>IF('Données projet'!$A$36&gt;35,N36+M37-V36,IF(A37&lt;'Données projet'!$A$36,$K$205^A37,IF(A37='Données projet'!$A$36,'Données projet'!$B$36,N36+M37-V36)))</f>
        <v>159</v>
      </c>
      <c r="O37" s="13">
        <f>N37*VLOOKUP('Données projet'!$B$9,Paramètres!$A$1:$I$89,3,0)*VLOOKUP('Données projet'!$B$9,Paramètres!$A$1:$I$89,5,0)</f>
        <v>74.411999999999992</v>
      </c>
      <c r="P37" s="13">
        <f t="shared" si="33"/>
        <v>20.765184762876824</v>
      </c>
      <c r="Q37" s="20">
        <f t="shared" si="53"/>
        <v>165.76693012867713</v>
      </c>
      <c r="R37" s="59">
        <f t="shared" si="0"/>
        <v>459.10026346201045</v>
      </c>
      <c r="S37" s="59">
        <f ca="1">AVERAGE(OFFSET($R$3,0,0,'Données projet'!$E$9+1,1))-AVERAGE(OFFSET($H$3,0,0,'Données projet'!$E$9+1,1))</f>
        <v>107.39524504744702</v>
      </c>
      <c r="T37" s="59">
        <f t="shared" si="34"/>
        <v>102.66420075171004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5.7412288549637234</v>
      </c>
      <c r="AA37" s="21">
        <f>EXP(-LN(2)/25)*AA36+(1-EXP(-LN(2)/25))/(LN(2)/25)*Calculateur!V37*Calculateur!X37*VLOOKUP('Données projet'!$B$9,Paramètres!$A$1:$I$89,3,0)*0.475*44/12</f>
        <v>4.3169018382960687</v>
      </c>
      <c r="AB37" s="21">
        <f>EXP(-LN(2)/2)*AB36+(1-EXP(-LN(2)/2))/(LN(2)/2)*V37*Y37*VLOOKUP('Données projet'!$B$9,Paramètres!$A$1:$I$89,3,0)*0.475*44/12</f>
        <v>0.4896465946786675</v>
      </c>
      <c r="AC37" s="22">
        <f t="shared" si="3"/>
        <v>10.547777287938459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3.6111111111111112</v>
      </c>
      <c r="AI37" s="13">
        <f>IF('Données projet'!$A$62&gt;35,AI36+AH37-AQ36,IF(A37&lt;'Données projet'!$A$62,$AF$205^A37,IF(A37='Données projet'!$A$62,'Données projet'!$B$62,AI36+AH37-AQ36)))</f>
        <v>122.77777777777786</v>
      </c>
      <c r="AJ37" s="13">
        <f>AI37*VLOOKUP('Données projet'!$B$10,Paramètres!$A$1:$I$89,3,0)*VLOOKUP('Données projet'!$B$10,Paramètres!$A$1:$I$89,5,0)</f>
        <v>111.0893333333334</v>
      </c>
      <c r="AK37" s="13">
        <f t="shared" si="35"/>
        <v>29.587492619689719</v>
      </c>
      <c r="AL37" s="20">
        <f t="shared" si="4"/>
        <v>245.01213853484862</v>
      </c>
      <c r="AM37" s="59">
        <f t="shared" si="5"/>
        <v>538.3454718681819</v>
      </c>
      <c r="AN37" s="59">
        <f ca="1">AVERAGE(OFFSET($AM$3,0,0,'Données projet'!$E$10+1,1))-AVERAGE(OFFSET($H$3,0,0,'Données projet'!$E$10+1,1))</f>
        <v>215.7418266360167</v>
      </c>
      <c r="AO37" s="59">
        <f t="shared" si="36"/>
        <v>155.78420008229949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7</v>
      </c>
      <c r="N38" s="13">
        <f>IF('Données projet'!$A$36&gt;35,N37+M38-V37,IF(A38&lt;'Données projet'!$A$36,$K$205^A38,IF(A38='Données projet'!$A$36,'Données projet'!$B$36,N37+M38-V37)))</f>
        <v>166</v>
      </c>
      <c r="O38" s="13">
        <f>N38*VLOOKUP('Données projet'!$B$9,Paramètres!$A$1:$I$89,3,0)*VLOOKUP('Données projet'!$B$9,Paramètres!$A$1:$I$89,5,0)</f>
        <v>77.688000000000002</v>
      </c>
      <c r="P38" s="13">
        <f t="shared" si="33"/>
        <v>21.570926907728207</v>
      </c>
      <c r="Q38" s="20">
        <f t="shared" si="53"/>
        <v>172.87596436429328</v>
      </c>
      <c r="R38" s="59">
        <f t="shared" si="0"/>
        <v>466.2092976976266</v>
      </c>
      <c r="S38" s="59">
        <f ca="1">AVERAGE(OFFSET($R$3,0,0,'Données projet'!$E$9+1,1))-AVERAGE(OFFSET($H$3,0,0,'Données projet'!$E$9+1,1))</f>
        <v>107.39524504744702</v>
      </c>
      <c r="T38" s="59">
        <f t="shared" si="34"/>
        <v>102.66420075171004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5.6286468589217122</v>
      </c>
      <c r="AA38" s="21">
        <f>EXP(-LN(2)/25)*AA37+(1-EXP(-LN(2)/25))/(LN(2)/25)*Calculateur!V38*Calculateur!X38*VLOOKUP('Données projet'!$B$9,Paramètres!$A$1:$I$89,3,0)*0.475*44/12</f>
        <v>4.1988559305118613</v>
      </c>
      <c r="AB38" s="21">
        <f>EXP(-LN(2)/2)*AB37+(1-EXP(-LN(2)/2))/(LN(2)/2)*V38*Y38*VLOOKUP('Données projet'!$B$9,Paramètres!$A$1:$I$89,3,0)*0.475*44/12</f>
        <v>0.34623242748218669</v>
      </c>
      <c r="AC38" s="22">
        <f t="shared" si="3"/>
        <v>10.173735216915761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3.6111111111111112</v>
      </c>
      <c r="AI38" s="13">
        <f>IF('Données projet'!$A$62&gt;35,AI37+AH38-AQ37,IF(A38&lt;'Données projet'!$A$62,$AF$205^A38,IF(A38='Données projet'!$A$62,'Données projet'!$B$62,AI37+AH38-AQ37)))</f>
        <v>126.38888888888897</v>
      </c>
      <c r="AJ38" s="13">
        <f>AI38*VLOOKUP('Données projet'!$B$10,Paramètres!$A$1:$I$89,3,0)*VLOOKUP('Données projet'!$B$10,Paramètres!$A$1:$I$89,5,0)</f>
        <v>114.35666666666674</v>
      </c>
      <c r="AK38" s="13">
        <f t="shared" si="35"/>
        <v>30.355117304050264</v>
      </c>
      <c r="AL38" s="20">
        <f t="shared" si="4"/>
        <v>252.03969041566543</v>
      </c>
      <c r="AM38" s="59">
        <f t="shared" si="5"/>
        <v>545.37302374899878</v>
      </c>
      <c r="AN38" s="59">
        <f ca="1">AVERAGE(OFFSET($AM$3,0,0,'Données projet'!$E$10+1,1))-AVERAGE(OFFSET($H$3,0,0,'Données projet'!$E$10+1,1))</f>
        <v>215.7418266360167</v>
      </c>
      <c r="AO38" s="59">
        <f t="shared" si="36"/>
        <v>155.78420008229949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</v>
      </c>
      <c r="N39" s="13">
        <f>IF('Données projet'!$A$36&gt;35,N38+M39-V38,IF(A39&lt;'Données projet'!$A$36,$K$205^A39,IF(A39='Données projet'!$A$36,'Données projet'!$B$36,N38+M39-V38)))</f>
        <v>173</v>
      </c>
      <c r="O39" s="13">
        <f>N39*VLOOKUP('Données projet'!$B$9,Paramètres!$A$1:$I$89,3,0)*VLOOKUP('Données projet'!$B$9,Paramètres!$A$1:$I$89,5,0)</f>
        <v>80.963999999999999</v>
      </c>
      <c r="P39" s="13">
        <f t="shared" si="33"/>
        <v>22.37272257588274</v>
      </c>
      <c r="Q39" s="20">
        <f t="shared" si="53"/>
        <v>179.97812515299574</v>
      </c>
      <c r="R39" s="59">
        <f t="shared" si="0"/>
        <v>473.31145848632906</v>
      </c>
      <c r="S39" s="59">
        <f ca="1">AVERAGE(OFFSET($R$3,0,0,'Données projet'!$E$9+1,1))-AVERAGE(OFFSET($H$3,0,0,'Données projet'!$E$9+1,1))</f>
        <v>107.39524504744702</v>
      </c>
      <c r="T39" s="59">
        <f t="shared" si="34"/>
        <v>102.66420075171004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5.5182725271538473</v>
      </c>
      <c r="AA39" s="21">
        <f>EXP(-LN(2)/25)*AA38+(1-EXP(-LN(2)/25))/(LN(2)/25)*Calculateur!V39*Calculateur!X39*VLOOKUP('Données projet'!$B$9,Paramètres!$A$1:$I$89,3,0)*0.475*44/12</f>
        <v>4.0840379942837775</v>
      </c>
      <c r="AB39" s="21">
        <f>EXP(-LN(2)/2)*AB38+(1-EXP(-LN(2)/2))/(LN(2)/2)*V39*Y39*VLOOKUP('Données projet'!$B$9,Paramètres!$A$1:$I$89,3,0)*0.475*44/12</f>
        <v>0.24482329733933378</v>
      </c>
      <c r="AC39" s="22">
        <f t="shared" si="3"/>
        <v>9.8471338187769586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130</v>
      </c>
      <c r="AG39" s="12">
        <f>VLOOKUP(A39,'Données projet'!$A$61:$I$81,9,0)</f>
        <v>3.6111111111111112</v>
      </c>
      <c r="AH39" s="12">
        <f t="array" ref="AH39">INDEX(AG:AG,MIN(IF(ISNUMBER(AG39:AG235),ROW(AG39:AG235),"")))</f>
        <v>3.6111111111111112</v>
      </c>
      <c r="AI39" s="13">
        <f>IF('Données projet'!$A$62&gt;35,AI38+AH39-AQ38,IF(A39&lt;'Données projet'!$A$62,$AF$205^A39,IF(A39='Données projet'!$A$62,'Données projet'!$B$62,AI38+AH39-AQ38)))</f>
        <v>130.00000000000009</v>
      </c>
      <c r="AJ39" s="13">
        <f>AI39*VLOOKUP('Données projet'!$B$10,Paramètres!$A$1:$I$89,3,0)*VLOOKUP('Données projet'!$B$10,Paramètres!$A$1:$I$89,5,0)</f>
        <v>117.62400000000008</v>
      </c>
      <c r="AK39" s="13">
        <f t="shared" si="35"/>
        <v>31.120192961985413</v>
      </c>
      <c r="AL39" s="20">
        <f t="shared" si="4"/>
        <v>259.0628027421248</v>
      </c>
      <c r="AM39" s="59">
        <f t="shared" si="5"/>
        <v>552.39613607545812</v>
      </c>
      <c r="AN39" s="59">
        <f ca="1">AVERAGE(OFFSET($AM$3,0,0,'Données projet'!$E$10+1,1))-AVERAGE(OFFSET($H$3,0,0,'Données projet'!$E$10+1,1))</f>
        <v>215.7418266360167</v>
      </c>
      <c r="AO39" s="59">
        <f t="shared" si="36"/>
        <v>155.78420008229949</v>
      </c>
      <c r="AP39" s="15">
        <f>IF(ISNA(VLOOKUP(A39,'Données projet'!$A$61:$I$81,3,0)),0,VLOOKUP(A39,'Données projet'!$A$61:$I$81,3,0))</f>
        <v>1</v>
      </c>
      <c r="AQ39" s="15">
        <f>IF(ISNA(VLOOKUP(A39,'Données projet'!$A$61:$I$81,4,0)),0,VLOOKUP(A39,'Données projet'!$A$61:$I$81,4,0))</f>
        <v>36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</v>
      </c>
      <c r="N40" s="13">
        <f>IF('Données projet'!$A$36&gt;35,N39+M40-V39,IF(A40&lt;'Données projet'!$A$36,$K$205^A40,IF(A40='Données projet'!$A$36,'Données projet'!$B$36,N39+M40-V39)))</f>
        <v>180</v>
      </c>
      <c r="O40" s="13">
        <f>N40*VLOOKUP('Données projet'!$B$9,Paramètres!$A$1:$I$89,3,0)*VLOOKUP('Données projet'!$B$9,Paramètres!$A$1:$I$89,5,0)</f>
        <v>84.24</v>
      </c>
      <c r="P40" s="13">
        <f t="shared" si="33"/>
        <v>23.170749718409468</v>
      </c>
      <c r="Q40" s="20">
        <f t="shared" si="53"/>
        <v>187.07372242622981</v>
      </c>
      <c r="R40" s="59">
        <f t="shared" si="0"/>
        <v>480.40705575956315</v>
      </c>
      <c r="S40" s="59">
        <f ca="1">AVERAGE(OFFSET($R$3,0,0,'Données projet'!$E$9+1,1))-AVERAGE(OFFSET($H$3,0,0,'Données projet'!$E$9+1,1))</f>
        <v>107.39524504744702</v>
      </c>
      <c r="T40" s="59">
        <f t="shared" si="34"/>
        <v>102.66420075171004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5.4100625687102557</v>
      </c>
      <c r="AA40" s="21">
        <f>EXP(-LN(2)/25)*AA39+(1-EXP(-LN(2)/25))/(LN(2)/25)*Calculateur!V40*Calculateur!X40*VLOOKUP('Données projet'!$B$9,Paramètres!$A$1:$I$89,3,0)*0.475*44/12</f>
        <v>3.9723597605598635</v>
      </c>
      <c r="AB40" s="21">
        <f>EXP(-LN(2)/2)*AB39+(1-EXP(-LN(2)/2))/(LN(2)/2)*V40*Y40*VLOOKUP('Données projet'!$B$9,Paramètres!$A$1:$I$89,3,0)*0.475*44/12</f>
        <v>0.17311621374109337</v>
      </c>
      <c r="AC40" s="22">
        <f t="shared" si="3"/>
        <v>9.5555385430112114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</v>
      </c>
      <c r="AI40" s="13">
        <f>IF('Données projet'!$A$62&gt;35,AI39+AH40-AQ39,IF(A40&lt;'Données projet'!$A$62,$AF$205^A40,IF(A40='Données projet'!$A$62,'Données projet'!$B$62,AI39+AH40-AQ39)))</f>
        <v>103.00000000000009</v>
      </c>
      <c r="AJ40" s="13">
        <f>AI40*VLOOKUP('Données projet'!$B$10,Paramètres!$A$1:$I$89,3,0)*VLOOKUP('Données projet'!$B$10,Paramètres!$A$1:$I$89,5,0)</f>
        <v>93.194400000000073</v>
      </c>
      <c r="AK40" s="13">
        <f t="shared" si="35"/>
        <v>25.334066536915302</v>
      </c>
      <c r="AL40" s="20">
        <f t="shared" si="4"/>
        <v>206.43707921846092</v>
      </c>
      <c r="AM40" s="59">
        <f t="shared" si="5"/>
        <v>499.77041255179427</v>
      </c>
      <c r="AN40" s="59">
        <f ca="1">AVERAGE(OFFSET($AM$3,0,0,'Données projet'!$E$10+1,1))-AVERAGE(OFFSET($H$3,0,0,'Données projet'!$E$10+1,1))</f>
        <v>215.7418266360167</v>
      </c>
      <c r="AO40" s="59">
        <f t="shared" si="36"/>
        <v>155.78420008229949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</v>
      </c>
      <c r="N41" s="13">
        <f>IF('Données projet'!$A$36&gt;35,N40+M41-V40,IF(A41&lt;'Données projet'!$A$36,$K$205^A41,IF(A41='Données projet'!$A$36,'Données projet'!$B$36,N40+M41-V40)))</f>
        <v>187</v>
      </c>
      <c r="O41" s="13">
        <f>N41*VLOOKUP('Données projet'!$B$9,Paramètres!$A$1:$I$89,3,0)*VLOOKUP('Données projet'!$B$9,Paramètres!$A$1:$I$89,5,0)</f>
        <v>87.515999999999991</v>
      </c>
      <c r="P41" s="13">
        <f t="shared" si="33"/>
        <v>23.965171662037644</v>
      </c>
      <c r="Q41" s="20">
        <f t="shared" si="53"/>
        <v>194.16304064471555</v>
      </c>
      <c r="R41" s="59">
        <f t="shared" si="0"/>
        <v>487.49637397804884</v>
      </c>
      <c r="S41" s="59">
        <f ca="1">AVERAGE(OFFSET($R$3,0,0,'Données projet'!$E$9+1,1))-AVERAGE(OFFSET($H$3,0,0,'Données projet'!$E$9+1,1))</f>
        <v>107.39524504744702</v>
      </c>
      <c r="T41" s="59">
        <f t="shared" si="34"/>
        <v>102.66420075171004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5.3039745415501853</v>
      </c>
      <c r="AA41" s="21">
        <f>EXP(-LN(2)/25)*AA40+(1-EXP(-LN(2)/25))/(LN(2)/25)*Calculateur!V41*Calculateur!X41*VLOOKUP('Données projet'!$B$9,Paramètres!$A$1:$I$89,3,0)*0.475*44/12</f>
        <v>3.8637353740100333</v>
      </c>
      <c r="AB41" s="21">
        <f>EXP(-LN(2)/2)*AB40+(1-EXP(-LN(2)/2))/(LN(2)/2)*V41*Y41*VLOOKUP('Données projet'!$B$9,Paramètres!$A$1:$I$89,3,0)*0.475*44/12</f>
        <v>0.12241164866966692</v>
      </c>
      <c r="AC41" s="22">
        <f t="shared" si="3"/>
        <v>9.2901215642298851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</v>
      </c>
      <c r="AI41" s="13">
        <f>IF('Données projet'!$A$62&gt;35,AI40+AH41-AQ40,IF(A41&lt;'Données projet'!$A$62,$AF$205^A41,IF(A41='Données projet'!$A$62,'Données projet'!$B$62,AI40+AH41-AQ40)))</f>
        <v>112.00000000000009</v>
      </c>
      <c r="AJ41" s="13">
        <f>AI41*VLOOKUP('Données projet'!$B$10,Paramètres!$A$1:$I$89,3,0)*VLOOKUP('Données projet'!$B$10,Paramètres!$A$1:$I$89,5,0)</f>
        <v>101.33760000000008</v>
      </c>
      <c r="AK41" s="13">
        <f t="shared" si="35"/>
        <v>27.28041545430559</v>
      </c>
      <c r="AL41" s="20">
        <f t="shared" si="4"/>
        <v>224.00971024958235</v>
      </c>
      <c r="AM41" s="59">
        <f t="shared" si="5"/>
        <v>517.3430435829157</v>
      </c>
      <c r="AN41" s="59">
        <f ca="1">AVERAGE(OFFSET($AM$3,0,0,'Données projet'!$E$10+1,1))-AVERAGE(OFFSET($H$3,0,0,'Données projet'!$E$10+1,1))</f>
        <v>215.7418266360167</v>
      </c>
      <c r="AO41" s="59">
        <f t="shared" si="36"/>
        <v>155.78420008229949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</v>
      </c>
      <c r="N42" s="13">
        <f>IF('Données projet'!$A$36&gt;35,N41+M42-V41,IF(A42&lt;'Données projet'!$A$36,$K$205^A42,IF(A42='Données projet'!$A$36,'Données projet'!$B$36,N41+M42-V41)))</f>
        <v>194</v>
      </c>
      <c r="O42" s="13">
        <f>N42*VLOOKUP('Données projet'!$B$9,Paramètres!$A$1:$I$89,3,0)*VLOOKUP('Données projet'!$B$9,Paramètres!$A$1:$I$89,5,0)</f>
        <v>90.792000000000002</v>
      </c>
      <c r="P42" s="13">
        <f t="shared" si="33"/>
        <v>24.756138813110173</v>
      </c>
      <c r="Q42" s="20">
        <f t="shared" si="53"/>
        <v>201.24634176616689</v>
      </c>
      <c r="R42" s="59">
        <f t="shared" si="0"/>
        <v>494.57967509950021</v>
      </c>
      <c r="S42" s="59">
        <f ca="1">AVERAGE(OFFSET($R$3,0,0,'Données projet'!$E$9+1,1))-AVERAGE(OFFSET($H$3,0,0,'Données projet'!$E$9+1,1))</f>
        <v>107.39524504744702</v>
      </c>
      <c r="T42" s="59">
        <f t="shared" si="34"/>
        <v>102.66420075171004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5.1999668358954168</v>
      </c>
      <c r="AA42" s="21">
        <f>EXP(-LN(2)/25)*AA41+(1-EXP(-LN(2)/25))/(LN(2)/25)*Calculateur!V42*Calculateur!X42*VLOOKUP('Données projet'!$B$9,Paramètres!$A$1:$I$89,3,0)*0.475*44/12</f>
        <v>3.7580813270227162</v>
      </c>
      <c r="AB42" s="21">
        <f>EXP(-LN(2)/2)*AB41+(1-EXP(-LN(2)/2))/(LN(2)/2)*V42*Y42*VLOOKUP('Données projet'!$B$9,Paramètres!$A$1:$I$89,3,0)*0.475*44/12</f>
        <v>8.65581068705467E-2</v>
      </c>
      <c r="AC42" s="22">
        <f t="shared" si="3"/>
        <v>9.0446062697886784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</v>
      </c>
      <c r="AI42" s="13">
        <f>IF('Données projet'!$A$62&gt;35,AI41+AH42-AQ41,IF(A42&lt;'Données projet'!$A$62,$AF$205^A42,IF(A42='Données projet'!$A$62,'Données projet'!$B$62,AI41+AH42-AQ41)))</f>
        <v>121.00000000000009</v>
      </c>
      <c r="AJ42" s="13">
        <f>AI42*VLOOKUP('Données projet'!$B$10,Paramètres!$A$1:$I$89,3,0)*VLOOKUP('Données projet'!$B$10,Paramètres!$A$1:$I$89,5,0)</f>
        <v>109.48080000000009</v>
      </c>
      <c r="AK42" s="13">
        <f t="shared" si="35"/>
        <v>29.208623339903923</v>
      </c>
      <c r="AL42" s="20">
        <f t="shared" si="4"/>
        <v>241.55074565033283</v>
      </c>
      <c r="AM42" s="59">
        <f t="shared" si="5"/>
        <v>534.88407898366609</v>
      </c>
      <c r="AN42" s="59">
        <f ca="1">AVERAGE(OFFSET($AM$3,0,0,'Données projet'!$E$10+1,1))-AVERAGE(OFFSET($H$3,0,0,'Données projet'!$E$10+1,1))</f>
        <v>215.7418266360167</v>
      </c>
      <c r="AO42" s="59">
        <f t="shared" si="36"/>
        <v>155.78420008229949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201</v>
      </c>
      <c r="L43" s="12">
        <f>VLOOKUP(A43,'Données projet'!$A$35:$I$55,9,0)</f>
        <v>7</v>
      </c>
      <c r="M43" s="12">
        <f t="array" ref="M43">INDEX(L:L,MIN(IF(ISNUMBER(L43:L239),ROW(L43:L239),"")))</f>
        <v>7</v>
      </c>
      <c r="N43" s="13">
        <f>IF('Données projet'!$A$36&gt;35,N42+M43-V42,IF(A43&lt;'Données projet'!$A$36,$K$205^A43,IF(A43='Données projet'!$A$36,'Données projet'!$B$36,N42+M43-V42)))</f>
        <v>201</v>
      </c>
      <c r="O43" s="13">
        <f>N43*VLOOKUP('Données projet'!$B$9,Paramètres!$A$1:$I$89,3,0)*VLOOKUP('Données projet'!$B$9,Paramètres!$A$1:$I$89,5,0)</f>
        <v>94.067999999999998</v>
      </c>
      <c r="P43" s="13">
        <f t="shared" si="33"/>
        <v>25.543790108694029</v>
      </c>
      <c r="Q43" s="20">
        <f t="shared" si="53"/>
        <v>208.32386777264207</v>
      </c>
      <c r="R43" s="59">
        <f t="shared" si="0"/>
        <v>501.65720110597539</v>
      </c>
      <c r="S43" s="59">
        <f ca="1">AVERAGE(OFFSET($R$3,0,0,'Données projet'!$E$9+1,1))-AVERAGE(OFFSET($H$3,0,0,'Données projet'!$E$9+1,1))</f>
        <v>107.39524504744702</v>
      </c>
      <c r="T43" s="59">
        <f t="shared" si="34"/>
        <v>102.66420075171004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37</v>
      </c>
      <c r="W43" s="16">
        <f>IF(ISNA(VLOOKUP(A43,'Données projet'!$A$35:$I$55,5,0)),0%,VLOOKUP(A43,'Données projet'!$A$35:$I$55,5,0)*VLOOKUP('Données projet'!$B$9,Paramètres!$A$1:$I$89,7,0))</f>
        <v>0.38500000000000001</v>
      </c>
      <c r="X43" s="16">
        <f>IF(ISNA(VLOOKUP(A43,'Données projet'!$A$35:$I$55,6,0)),0%,VLOOKUP(A43,'Données projet'!$A$35:$I$55,6,0)*VLOOKUP('Données projet'!$B$9,Paramètres!$A$1:$I$89,7,0))</f>
        <v>9.3500000000000014E-2</v>
      </c>
      <c r="Y43" s="16">
        <f>IF(ISNA(VLOOKUP(A43,'Données projet'!$A$35:$I$55,7,0)),0%,VLOOKUP(A43,'Données projet'!$A$35:$I$55,7,0))</f>
        <v>0.13</v>
      </c>
      <c r="Z43" s="21">
        <f>EXP(-LN(2)/35)*Z42+(1-EXP(-LN(2)/35))/(LN(2)/35)*V43*W43*VLOOKUP('Données projet'!$B$9,Paramètres!$A$1:$I$89,3,0)*0.475*44/12</f>
        <v>13.941752850410666</v>
      </c>
      <c r="AA43" s="21">
        <f>EXP(-LN(2)/25)*AA42+(1-EXP(-LN(2)/25))/(LN(2)/25)*Calculateur!V43*Calculateur!X43*VLOOKUP('Données projet'!$B$9,Paramètres!$A$1:$I$89,3,0)*0.475*44/12</f>
        <v>5.7946286864016967</v>
      </c>
      <c r="AB43" s="21">
        <f>EXP(-LN(2)/2)*AB42+(1-EXP(-LN(2)/2))/(LN(2)/2)*V43*Y43*VLOOKUP('Données projet'!$B$9,Paramètres!$A$1:$I$89,3,0)*0.475*44/12</f>
        <v>2.6099513046507101</v>
      </c>
      <c r="AC43" s="22">
        <f t="shared" si="3"/>
        <v>22.346332841463074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</v>
      </c>
      <c r="AI43" s="13">
        <f>IF('Données projet'!$A$62&gt;35,AI42+AH43-AQ42,IF(A43&lt;'Données projet'!$A$62,$AF$205^A43,IF(A43='Données projet'!$A$62,'Données projet'!$B$62,AI42+AH43-AQ42)))</f>
        <v>130.00000000000009</v>
      </c>
      <c r="AJ43" s="13">
        <f>AI43*VLOOKUP('Données projet'!$B$10,Paramètres!$A$1:$I$89,3,0)*VLOOKUP('Données projet'!$B$10,Paramètres!$A$1:$I$89,5,0)</f>
        <v>117.62400000000008</v>
      </c>
      <c r="AK43" s="13">
        <f t="shared" si="35"/>
        <v>31.120192961985413</v>
      </c>
      <c r="AL43" s="20">
        <f t="shared" si="4"/>
        <v>259.0628027421248</v>
      </c>
      <c r="AM43" s="59">
        <f t="shared" si="5"/>
        <v>552.39613607545812</v>
      </c>
      <c r="AN43" s="59">
        <f ca="1">AVERAGE(OFFSET($AM$3,0,0,'Données projet'!$E$10+1,1))-AVERAGE(OFFSET($H$3,0,0,'Données projet'!$E$10+1,1))</f>
        <v>215.7418266360167</v>
      </c>
      <c r="AO43" s="59">
        <f t="shared" si="36"/>
        <v>155.78420008229949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6.9</v>
      </c>
      <c r="N44" s="13">
        <f>IF('Données projet'!$A$36&gt;35,N43+M44-V43,IF(A44&lt;'Données projet'!$A$36,$K$205^A44,IF(A44='Données projet'!$A$36,'Données projet'!$B$36,N43+M44-V43)))</f>
        <v>170.9</v>
      </c>
      <c r="O44" s="13">
        <f>N44*VLOOKUP('Données projet'!$B$9,Paramètres!$A$1:$I$89,3,0)*VLOOKUP('Données projet'!$B$9,Paramètres!$A$1:$I$89,5,0)</f>
        <v>79.981200000000001</v>
      </c>
      <c r="P44" s="13">
        <f t="shared" si="33"/>
        <v>22.13258736805123</v>
      </c>
      <c r="Q44" s="20">
        <f t="shared" si="53"/>
        <v>177.84817966602256</v>
      </c>
      <c r="R44" s="59">
        <f t="shared" si="0"/>
        <v>471.18151299935585</v>
      </c>
      <c r="S44" s="59">
        <f ca="1">AVERAGE(OFFSET($R$3,0,0,'Données projet'!$E$9+1,1))-AVERAGE(OFFSET($H$3,0,0,'Données projet'!$E$9+1,1))</f>
        <v>107.39524504744702</v>
      </c>
      <c r="T44" s="59">
        <f t="shared" si="34"/>
        <v>102.66420075171004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13.668363580643687</v>
      </c>
      <c r="AA44" s="21">
        <f>EXP(-LN(2)/25)*AA43+(1-EXP(-LN(2)/25))/(LN(2)/25)*Calculateur!V44*Calculateur!X44*VLOOKUP('Données projet'!$B$9,Paramètres!$A$1:$I$89,3,0)*0.475*44/12</f>
        <v>5.6361742602457632</v>
      </c>
      <c r="AB44" s="21">
        <f>EXP(-LN(2)/2)*AB43+(1-EXP(-LN(2)/2))/(LN(2)/2)*V44*Y44*VLOOKUP('Données projet'!$B$9,Paramètres!$A$1:$I$89,3,0)*0.475*44/12</f>
        <v>1.845514266085194</v>
      </c>
      <c r="AC44" s="22">
        <f t="shared" si="3"/>
        <v>21.150052106974645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</v>
      </c>
      <c r="AI44" s="13">
        <f>IF('Données projet'!$A$62&gt;35,AI43+AH44-AQ43,IF(A44&lt;'Données projet'!$A$62,$AF$205^A44,IF(A44='Données projet'!$A$62,'Données projet'!$B$62,AI43+AH44-AQ43)))</f>
        <v>139.00000000000009</v>
      </c>
      <c r="AJ44" s="13">
        <f>AI44*VLOOKUP('Données projet'!$B$10,Paramètres!$A$1:$I$89,3,0)*VLOOKUP('Données projet'!$B$10,Paramètres!$A$1:$I$89,5,0)</f>
        <v>125.76720000000007</v>
      </c>
      <c r="AK44" s="13">
        <f t="shared" si="35"/>
        <v>33.016407232101997</v>
      </c>
      <c r="AL44" s="20">
        <f t="shared" si="4"/>
        <v>276.54811592924443</v>
      </c>
      <c r="AM44" s="59">
        <f t="shared" si="5"/>
        <v>569.88144926257769</v>
      </c>
      <c r="AN44" s="59">
        <f ca="1">AVERAGE(OFFSET($AM$3,0,0,'Données projet'!$E$10+1,1))-AVERAGE(OFFSET($H$3,0,0,'Données projet'!$E$10+1,1))</f>
        <v>215.7418266360167</v>
      </c>
      <c r="AO44" s="59">
        <f t="shared" si="36"/>
        <v>155.78420008229949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6.9</v>
      </c>
      <c r="N45" s="13">
        <f>IF('Données projet'!$A$36&gt;35,N44+M45-V44,IF(A45&lt;'Données projet'!$A$36,$K$205^A45,IF(A45='Données projet'!$A$36,'Données projet'!$B$36,N44+M45-V44)))</f>
        <v>177.8</v>
      </c>
      <c r="O45" s="13">
        <f>N45*VLOOKUP('Données projet'!$B$9,Paramètres!$A$1:$I$89,3,0)*VLOOKUP('Données projet'!$B$9,Paramètres!$A$1:$I$89,5,0)</f>
        <v>83.210399999999993</v>
      </c>
      <c r="P45" s="13">
        <f t="shared" si="33"/>
        <v>22.920337105048574</v>
      </c>
      <c r="Q45" s="20">
        <f t="shared" si="53"/>
        <v>184.84436712462625</v>
      </c>
      <c r="R45" s="59">
        <f t="shared" si="0"/>
        <v>478.17770045795953</v>
      </c>
      <c r="S45" s="59">
        <f ca="1">AVERAGE(OFFSET($R$3,0,0,'Données projet'!$E$9+1,1))-AVERAGE(OFFSET($H$3,0,0,'Données projet'!$E$9+1,1))</f>
        <v>107.39524504744702</v>
      </c>
      <c r="T45" s="59">
        <f t="shared" si="34"/>
        <v>102.66420075171004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13.40033530770585</v>
      </c>
      <c r="AA45" s="21">
        <f>EXP(-LN(2)/25)*AA44+(1-EXP(-LN(2)/25))/(LN(2)/25)*Calculateur!V45*Calculateur!X45*VLOOKUP('Données projet'!$B$9,Paramètres!$A$1:$I$89,3,0)*0.475*44/12</f>
        <v>5.4820527787058202</v>
      </c>
      <c r="AB45" s="21">
        <f>EXP(-LN(2)/2)*AB44+(1-EXP(-LN(2)/2))/(LN(2)/2)*V45*Y45*VLOOKUP('Données projet'!$B$9,Paramètres!$A$1:$I$89,3,0)*0.475*44/12</f>
        <v>1.3049756523253553</v>
      </c>
      <c r="AC45" s="22">
        <f t="shared" si="3"/>
        <v>20.187363738737027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148</v>
      </c>
      <c r="AG45" s="12">
        <f>VLOOKUP(A45,'Données projet'!$A$61:$I$81,9,0)</f>
        <v>9</v>
      </c>
      <c r="AH45" s="12">
        <f t="array" ref="AH45">INDEX(AG:AG,MIN(IF(ISNUMBER(AG45:AG241),ROW(AG45:AG241),"")))</f>
        <v>9</v>
      </c>
      <c r="AI45" s="13">
        <f>IF('Données projet'!$A$62&gt;35,AI44+AH45-AQ44,IF(A45&lt;'Données projet'!$A$62,$AF$205^A45,IF(A45='Données projet'!$A$62,'Données projet'!$B$62,AI44+AH45-AQ44)))</f>
        <v>148.00000000000009</v>
      </c>
      <c r="AJ45" s="13">
        <f>AI45*VLOOKUP('Données projet'!$B$10,Paramètres!$A$1:$I$89,3,0)*VLOOKUP('Données projet'!$B$10,Paramètres!$A$1:$I$89,5,0)</f>
        <v>133.91040000000007</v>
      </c>
      <c r="AK45" s="13">
        <f t="shared" si="35"/>
        <v>34.898373535125124</v>
      </c>
      <c r="AL45" s="20">
        <f t="shared" si="4"/>
        <v>294.0086139070097</v>
      </c>
      <c r="AM45" s="59">
        <f t="shared" si="5"/>
        <v>587.34194724034296</v>
      </c>
      <c r="AN45" s="59">
        <f ca="1">AVERAGE(OFFSET($AM$3,0,0,'Données projet'!$E$10+1,1))-AVERAGE(OFFSET($H$3,0,0,'Données projet'!$E$10+1,1))</f>
        <v>215.7418266360167</v>
      </c>
      <c r="AO45" s="59">
        <f t="shared" si="36"/>
        <v>155.78420008229949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41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6.9</v>
      </c>
      <c r="N46" s="13">
        <f>IF('Données projet'!$A$36&gt;35,N45+M46-V45,IF(A46&lt;'Données projet'!$A$36,$K$205^A46,IF(A46='Données projet'!$A$36,'Données projet'!$B$36,N45+M46-V45)))</f>
        <v>184.70000000000002</v>
      </c>
      <c r="O46" s="13">
        <f>N46*VLOOKUP('Données projet'!$B$9,Paramètres!$A$1:$I$89,3,0)*VLOOKUP('Données projet'!$B$9,Paramètres!$A$1:$I$89,5,0)</f>
        <v>86.439600000000013</v>
      </c>
      <c r="P46" s="13">
        <f t="shared" si="33"/>
        <v>23.704535494281913</v>
      </c>
      <c r="Q46" s="20">
        <f t="shared" si="53"/>
        <v>191.83436931920767</v>
      </c>
      <c r="R46" s="59">
        <f t="shared" si="0"/>
        <v>485.16770265254098</v>
      </c>
      <c r="S46" s="59">
        <f ca="1">AVERAGE(OFFSET($R$3,0,0,'Données projet'!$E$9+1,1))-AVERAGE(OFFSET($H$3,0,0,'Données projet'!$E$9+1,1))</f>
        <v>107.39524504744702</v>
      </c>
      <c r="T46" s="59">
        <f t="shared" si="34"/>
        <v>102.66420075171004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13.13756290571922</v>
      </c>
      <c r="AA46" s="21">
        <f>EXP(-LN(2)/25)*AA45+(1-EXP(-LN(2)/25))/(LN(2)/25)*Calculateur!V46*Calculateur!X46*VLOOKUP('Données projet'!$B$9,Paramètres!$A$1:$I$89,3,0)*0.475*44/12</f>
        <v>5.3321457571834836</v>
      </c>
      <c r="AB46" s="21">
        <f>EXP(-LN(2)/2)*AB45+(1-EXP(-LN(2)/2))/(LN(2)/2)*V46*Y46*VLOOKUP('Données projet'!$B$9,Paramètres!$A$1:$I$89,3,0)*0.475*44/12</f>
        <v>0.92275713304259721</v>
      </c>
      <c r="AC46" s="22">
        <f t="shared" si="3"/>
        <v>19.392465795945302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8.3333333333333339</v>
      </c>
      <c r="AI46" s="13">
        <f>IF('Données projet'!$A$62&gt;35,AI45+AH46-AQ45,IF(A46&lt;'Données projet'!$A$62,$AF$205^A46,IF(A46='Données projet'!$A$62,'Données projet'!$B$62,AI45+AH46-AQ45)))</f>
        <v>115.33333333333343</v>
      </c>
      <c r="AJ46" s="13">
        <f>AI46*VLOOKUP('Données projet'!$B$10,Paramètres!$A$1:$I$89,3,0)*VLOOKUP('Données projet'!$B$10,Paramètres!$A$1:$I$89,5,0)</f>
        <v>104.35360000000009</v>
      </c>
      <c r="AK46" s="13">
        <f t="shared" si="35"/>
        <v>27.996596320952669</v>
      </c>
      <c r="AL46" s="20">
        <f t="shared" si="4"/>
        <v>230.50992525899269</v>
      </c>
      <c r="AM46" s="59">
        <f t="shared" si="5"/>
        <v>523.84325859232604</v>
      </c>
      <c r="AN46" s="59">
        <f ca="1">AVERAGE(OFFSET($AM$3,0,0,'Données projet'!$E$10+1,1))-AVERAGE(OFFSET($H$3,0,0,'Données projet'!$E$10+1,1))</f>
        <v>215.7418266360167</v>
      </c>
      <c r="AO46" s="59">
        <f t="shared" si="36"/>
        <v>155.78420008229949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6.9</v>
      </c>
      <c r="N47" s="13">
        <f>IF('Données projet'!$A$36&gt;35,N46+M47-V46,IF(A47&lt;'Données projet'!$A$36,$K$205^A47,IF(A47='Données projet'!$A$36,'Données projet'!$B$36,N46+M47-V46)))</f>
        <v>191.60000000000002</v>
      </c>
      <c r="O47" s="13">
        <f>N47*VLOOKUP('Données projet'!$B$9,Paramètres!$A$1:$I$89,3,0)*VLOOKUP('Données projet'!$B$9,Paramètres!$A$1:$I$89,5,0)</f>
        <v>89.668800000000005</v>
      </c>
      <c r="P47" s="13">
        <f t="shared" si="33"/>
        <v>24.485330397878503</v>
      </c>
      <c r="Q47" s="20">
        <f t="shared" si="53"/>
        <v>198.81844377630503</v>
      </c>
      <c r="R47" s="59">
        <f t="shared" si="0"/>
        <v>492.15177710963837</v>
      </c>
      <c r="S47" s="59">
        <f ca="1">AVERAGE(OFFSET($R$3,0,0,'Données projet'!$E$9+1,1))-AVERAGE(OFFSET($H$3,0,0,'Données projet'!$E$9+1,1))</f>
        <v>107.39524504744702</v>
      </c>
      <c r="T47" s="59">
        <f t="shared" si="34"/>
        <v>102.66420075171004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12.879943310260208</v>
      </c>
      <c r="AA47" s="21">
        <f>EXP(-LN(2)/25)*AA46+(1-EXP(-LN(2)/25))/(LN(2)/25)*Calculateur!V47*Calculateur!X47*VLOOKUP('Données projet'!$B$9,Paramètres!$A$1:$I$89,3,0)*0.475*44/12</f>
        <v>5.1863379510479426</v>
      </c>
      <c r="AB47" s="21">
        <f>EXP(-LN(2)/2)*AB46+(1-EXP(-LN(2)/2))/(LN(2)/2)*V47*Y47*VLOOKUP('Données projet'!$B$9,Paramètres!$A$1:$I$89,3,0)*0.475*44/12</f>
        <v>0.65248782616267775</v>
      </c>
      <c r="AC47" s="22">
        <f t="shared" si="3"/>
        <v>18.718769087470825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8.3333333333333339</v>
      </c>
      <c r="AI47" s="13">
        <f>IF('Données projet'!$A$62&gt;35,AI46+AH47-AQ46,IF(A47&lt;'Données projet'!$A$62,$AF$205^A47,IF(A47='Données projet'!$A$62,'Données projet'!$B$62,AI46+AH47-AQ46)))</f>
        <v>123.66666666666676</v>
      </c>
      <c r="AJ47" s="13">
        <f>AI47*VLOOKUP('Données projet'!$B$10,Paramètres!$A$1:$I$89,3,0)*VLOOKUP('Données projet'!$B$10,Paramètres!$A$1:$I$89,5,0)</f>
        <v>111.89360000000008</v>
      </c>
      <c r="AK47" s="13">
        <f t="shared" si="35"/>
        <v>29.776687351139657</v>
      </c>
      <c r="AL47" s="20">
        <f t="shared" si="4"/>
        <v>246.74241713656832</v>
      </c>
      <c r="AM47" s="59">
        <f t="shared" si="5"/>
        <v>540.07575046990166</v>
      </c>
      <c r="AN47" s="59">
        <f ca="1">AVERAGE(OFFSET($AM$3,0,0,'Données projet'!$E$10+1,1))-AVERAGE(OFFSET($H$3,0,0,'Données projet'!$E$10+1,1))</f>
        <v>215.7418266360167</v>
      </c>
      <c r="AO47" s="59">
        <f t="shared" si="36"/>
        <v>155.78420008229949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6.9</v>
      </c>
      <c r="N48" s="13">
        <f>IF('Données projet'!$A$36&gt;35,N47+M48-V47,IF(A48&lt;'Données projet'!$A$36,$K$205^A48,IF(A48='Données projet'!$A$36,'Données projet'!$B$36,N47+M48-V47)))</f>
        <v>198.50000000000003</v>
      </c>
      <c r="O48" s="13">
        <f>N48*VLOOKUP('Données projet'!$B$9,Paramètres!$A$1:$I$89,3,0)*VLOOKUP('Données projet'!$B$9,Paramètres!$A$1:$I$89,5,0)</f>
        <v>92.89800000000001</v>
      </c>
      <c r="P48" s="13">
        <f t="shared" si="33"/>
        <v>25.262858424540966</v>
      </c>
      <c r="Q48" s="20">
        <f t="shared" si="53"/>
        <v>205.79682842274221</v>
      </c>
      <c r="R48" s="59">
        <f t="shared" si="0"/>
        <v>499.13016175607549</v>
      </c>
      <c r="S48" s="59">
        <f ca="1">AVERAGE(OFFSET($R$3,0,0,'Données projet'!$E$9+1,1))-AVERAGE(OFFSET($H$3,0,0,'Données projet'!$E$9+1,1))</f>
        <v>107.39524504744702</v>
      </c>
      <c r="T48" s="59">
        <f t="shared" si="34"/>
        <v>102.66420075171004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12.627375477935709</v>
      </c>
      <c r="AA48" s="21">
        <f>EXP(-LN(2)/25)*AA47+(1-EXP(-LN(2)/25))/(LN(2)/25)*Calculateur!V48*Calculateur!X48*VLOOKUP('Données projet'!$B$9,Paramètres!$A$1:$I$89,3,0)*0.475*44/12</f>
        <v>5.0445172670388772</v>
      </c>
      <c r="AB48" s="21">
        <f>EXP(-LN(2)/2)*AB47+(1-EXP(-LN(2)/2))/(LN(2)/2)*V48*Y48*VLOOKUP('Données projet'!$B$9,Paramètres!$A$1:$I$89,3,0)*0.475*44/12</f>
        <v>0.46137856652129866</v>
      </c>
      <c r="AC48" s="22">
        <f t="shared" si="3"/>
        <v>18.133271311495882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8.3333333333333339</v>
      </c>
      <c r="AI48" s="13">
        <f>IF('Données projet'!$A$62&gt;35,AI47+AH48-AQ47,IF(A48&lt;'Données projet'!$A$62,$AF$205^A48,IF(A48='Données projet'!$A$62,'Données projet'!$B$62,AI47+AH48-AQ47)))</f>
        <v>132.00000000000009</v>
      </c>
      <c r="AJ48" s="13">
        <f>AI48*VLOOKUP('Données projet'!$B$10,Paramètres!$A$1:$I$89,3,0)*VLOOKUP('Données projet'!$B$10,Paramètres!$A$1:$I$89,5,0)</f>
        <v>119.43360000000007</v>
      </c>
      <c r="AK48" s="13">
        <f t="shared" si="35"/>
        <v>31.54285944220668</v>
      </c>
      <c r="AL48" s="20">
        <f t="shared" si="4"/>
        <v>262.95066686184344</v>
      </c>
      <c r="AM48" s="59">
        <f t="shared" si="5"/>
        <v>556.28400019517676</v>
      </c>
      <c r="AN48" s="59">
        <f ca="1">AVERAGE(OFFSET($AM$3,0,0,'Données projet'!$E$10+1,1))-AVERAGE(OFFSET($H$3,0,0,'Données projet'!$E$10+1,1))</f>
        <v>215.7418266360167</v>
      </c>
      <c r="AO48" s="59">
        <f t="shared" si="36"/>
        <v>155.78420008229949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6.9</v>
      </c>
      <c r="N49" s="13">
        <f>IF('Données projet'!$A$36&gt;35,N48+M49-V48,IF(A49&lt;'Données projet'!$A$36,$K$205^A49,IF(A49='Données projet'!$A$36,'Données projet'!$B$36,N48+M49-V48)))</f>
        <v>205.40000000000003</v>
      </c>
      <c r="O49" s="13">
        <f>N49*VLOOKUP('Données projet'!$B$9,Paramètres!$A$1:$I$89,3,0)*VLOOKUP('Données projet'!$B$9,Paramètres!$A$1:$I$89,5,0)</f>
        <v>96.127200000000002</v>
      </c>
      <c r="P49" s="13">
        <f t="shared" si="33"/>
        <v>26.037246147153059</v>
      </c>
      <c r="Q49" s="20">
        <f t="shared" si="53"/>
        <v>212.76974370629156</v>
      </c>
      <c r="R49" s="59">
        <f t="shared" si="0"/>
        <v>506.10307703962485</v>
      </c>
      <c r="S49" s="59">
        <f ca="1">AVERAGE(OFFSET($R$3,0,0,'Données projet'!$E$9+1,1))-AVERAGE(OFFSET($H$3,0,0,'Données projet'!$E$9+1,1))</f>
        <v>107.39524504744702</v>
      </c>
      <c r="T49" s="59">
        <f t="shared" si="34"/>
        <v>102.66420075171004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12.379760346751928</v>
      </c>
      <c r="AA49" s="21">
        <f>EXP(-LN(2)/25)*AA48+(1-EXP(-LN(2)/25))/(LN(2)/25)*Calculateur!V49*Calculateur!X49*VLOOKUP('Données projet'!$B$9,Paramètres!$A$1:$I$89,3,0)*0.475*44/12</f>
        <v>4.9065746770920651</v>
      </c>
      <c r="AB49" s="21">
        <f>EXP(-LN(2)/2)*AB48+(1-EXP(-LN(2)/2))/(LN(2)/2)*V49*Y49*VLOOKUP('Données projet'!$B$9,Paramètres!$A$1:$I$89,3,0)*0.475*44/12</f>
        <v>0.32624391308133893</v>
      </c>
      <c r="AC49" s="22">
        <f t="shared" si="3"/>
        <v>17.612578936925331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8.3333333333333339</v>
      </c>
      <c r="AI49" s="13">
        <f>IF('Données projet'!$A$62&gt;35,AI48+AH49-AQ48,IF(A49&lt;'Données projet'!$A$62,$AF$205^A49,IF(A49='Données projet'!$A$62,'Données projet'!$B$62,AI48+AH49-AQ48)))</f>
        <v>140.33333333333343</v>
      </c>
      <c r="AJ49" s="13">
        <f>AI49*VLOOKUP('Données projet'!$B$10,Paramètres!$A$1:$I$89,3,0)*VLOOKUP('Données projet'!$B$10,Paramètres!$A$1:$I$89,5,0)</f>
        <v>126.97360000000009</v>
      </c>
      <c r="AK49" s="13">
        <f t="shared" si="35"/>
        <v>33.296091343362306</v>
      </c>
      <c r="AL49" s="20">
        <f t="shared" si="4"/>
        <v>279.13637908968957</v>
      </c>
      <c r="AM49" s="59">
        <f t="shared" si="5"/>
        <v>572.46971242302288</v>
      </c>
      <c r="AN49" s="59">
        <f ca="1">AVERAGE(OFFSET($AM$3,0,0,'Données projet'!$E$10+1,1))-AVERAGE(OFFSET($H$3,0,0,'Données projet'!$E$10+1,1))</f>
        <v>215.7418266360167</v>
      </c>
      <c r="AO49" s="59">
        <f t="shared" si="36"/>
        <v>155.78420008229949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6.9</v>
      </c>
      <c r="N50" s="13">
        <f>IF('Données projet'!$A$36&gt;35,N49+M50-V49,IF(A50&lt;'Données projet'!$A$36,$K$205^A50,IF(A50='Données projet'!$A$36,'Données projet'!$B$36,N49+M50-V49)))</f>
        <v>212.30000000000004</v>
      </c>
      <c r="O50" s="13">
        <f>N50*VLOOKUP('Données projet'!$B$9,Paramètres!$A$1:$I$89,3,0)*VLOOKUP('Données projet'!$B$9,Paramètres!$A$1:$I$89,5,0)</f>
        <v>99.356400000000022</v>
      </c>
      <c r="P50" s="13">
        <f t="shared" si="33"/>
        <v>26.808611152177043</v>
      </c>
      <c r="Q50" s="20">
        <f t="shared" si="53"/>
        <v>219.73739442337504</v>
      </c>
      <c r="R50" s="59">
        <f t="shared" si="0"/>
        <v>513.07072775670838</v>
      </c>
      <c r="S50" s="59">
        <f ca="1">AVERAGE(OFFSET($R$3,0,0,'Données projet'!$E$9+1,1))-AVERAGE(OFFSET($H$3,0,0,'Données projet'!$E$9+1,1))</f>
        <v>107.39524504744702</v>
      </c>
      <c r="T50" s="59">
        <f t="shared" si="34"/>
        <v>102.66420075171004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12.137000797260344</v>
      </c>
      <c r="AA50" s="21">
        <f>EXP(-LN(2)/25)*AA49+(1-EXP(-LN(2)/25))/(LN(2)/25)*Calculateur!V50*Calculateur!X50*VLOOKUP('Données projet'!$B$9,Paramètres!$A$1:$I$89,3,0)*0.475*44/12</f>
        <v>4.7724041345214347</v>
      </c>
      <c r="AB50" s="21">
        <f>EXP(-LN(2)/2)*AB49+(1-EXP(-LN(2)/2))/(LN(2)/2)*V50*Y50*VLOOKUP('Données projet'!$B$9,Paramètres!$A$1:$I$89,3,0)*0.475*44/12</f>
        <v>0.23068928326064939</v>
      </c>
      <c r="AC50" s="22">
        <f t="shared" si="3"/>
        <v>17.140094215042428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8.3333333333333339</v>
      </c>
      <c r="AI50" s="13">
        <f>IF('Données projet'!$A$62&gt;35,AI49+AH50-AQ49,IF(A50&lt;'Données projet'!$A$62,$AF$205^A50,IF(A50='Données projet'!$A$62,'Données projet'!$B$62,AI49+AH50-AQ49)))</f>
        <v>148.66666666666677</v>
      </c>
      <c r="AJ50" s="13">
        <f>AI50*VLOOKUP('Données projet'!$B$10,Paramètres!$A$1:$I$89,3,0)*VLOOKUP('Données projet'!$B$10,Paramètres!$A$1:$I$89,5,0)</f>
        <v>134.51360000000008</v>
      </c>
      <c r="AK50" s="13">
        <f t="shared" si="35"/>
        <v>35.037238995886284</v>
      </c>
      <c r="AL50" s="20">
        <f t="shared" si="4"/>
        <v>295.30104458450205</v>
      </c>
      <c r="AM50" s="59">
        <f t="shared" si="5"/>
        <v>588.63437791783531</v>
      </c>
      <c r="AN50" s="59">
        <f ca="1">AVERAGE(OFFSET($AM$3,0,0,'Données projet'!$E$10+1,1))-AVERAGE(OFFSET($H$3,0,0,'Données projet'!$E$10+1,1))</f>
        <v>215.7418266360167</v>
      </c>
      <c r="AO50" s="59">
        <f t="shared" si="36"/>
        <v>155.78420008229949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6.9</v>
      </c>
      <c r="N51" s="13">
        <f>IF('Données projet'!$A$36&gt;35,N50+M51-V50,IF(A51&lt;'Données projet'!$A$36,$K$205^A51,IF(A51='Données projet'!$A$36,'Données projet'!$B$36,N50+M51-V50)))</f>
        <v>219.20000000000005</v>
      </c>
      <c r="O51" s="13">
        <f>N51*VLOOKUP('Données projet'!$B$9,Paramètres!$A$1:$I$89,3,0)*VLOOKUP('Données projet'!$B$9,Paramètres!$A$1:$I$89,5,0)</f>
        <v>102.58560000000003</v>
      </c>
      <c r="P51" s="13">
        <f t="shared" si="33"/>
        <v>27.577062948792328</v>
      </c>
      <c r="Q51" s="20">
        <f t="shared" si="53"/>
        <v>226.69997130248001</v>
      </c>
      <c r="R51" s="59">
        <f t="shared" si="0"/>
        <v>520.03330463581335</v>
      </c>
      <c r="S51" s="59">
        <f ca="1">AVERAGE(OFFSET($R$3,0,0,'Données projet'!$E$9+1,1))-AVERAGE(OFFSET($H$3,0,0,'Données projet'!$E$9+1,1))</f>
        <v>107.39524504744702</v>
      </c>
      <c r="T51" s="59">
        <f t="shared" si="34"/>
        <v>102.66420075171004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11.899001614465584</v>
      </c>
      <c r="AA51" s="21">
        <f>EXP(-LN(2)/25)*AA50+(1-EXP(-LN(2)/25))/(LN(2)/25)*Calculateur!V51*Calculateur!X51*VLOOKUP('Données projet'!$B$9,Paramètres!$A$1:$I$89,3,0)*0.475*44/12</f>
        <v>4.64190249249312</v>
      </c>
      <c r="AB51" s="21">
        <f>EXP(-LN(2)/2)*AB50+(1-EXP(-LN(2)/2))/(LN(2)/2)*V51*Y51*VLOOKUP('Données projet'!$B$9,Paramètres!$A$1:$I$89,3,0)*0.475*44/12</f>
        <v>0.16312195654066949</v>
      </c>
      <c r="AC51" s="22">
        <f t="shared" si="3"/>
        <v>16.704026063499377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157</v>
      </c>
      <c r="AG51" s="12">
        <f>VLOOKUP(A51,'Données projet'!$A$61:$I$81,9,0)</f>
        <v>8.3333333333333339</v>
      </c>
      <c r="AH51" s="12">
        <f t="array" ref="AH51">INDEX(AG:AG,MIN(IF(ISNUMBER(AG51:AG247),ROW(AG51:AG247),"")))</f>
        <v>8.3333333333333339</v>
      </c>
      <c r="AI51" s="13">
        <f>IF('Données projet'!$A$62&gt;35,AI50+AH51-AQ50,IF(A51&lt;'Données projet'!$A$62,$AF$205^A51,IF(A51='Données projet'!$A$62,'Données projet'!$B$62,AI50+AH51-AQ50)))</f>
        <v>157.00000000000011</v>
      </c>
      <c r="AJ51" s="13">
        <f>AI51*VLOOKUP('Données projet'!$B$10,Paramètres!$A$1:$I$89,3,0)*VLOOKUP('Données projet'!$B$10,Paramètres!$A$1:$I$89,5,0)</f>
        <v>142.0536000000001</v>
      </c>
      <c r="AK51" s="13">
        <f t="shared" si="35"/>
        <v>36.767056963845924</v>
      </c>
      <c r="AL51" s="20">
        <f t="shared" si="4"/>
        <v>311.44597754536511</v>
      </c>
      <c r="AM51" s="59">
        <f t="shared" si="5"/>
        <v>604.77931087869842</v>
      </c>
      <c r="AN51" s="59">
        <f ca="1">AVERAGE(OFFSET($AM$3,0,0,'Données projet'!$E$10+1,1))-AVERAGE(OFFSET($H$3,0,0,'Données projet'!$E$10+1,1))</f>
        <v>215.7418266360167</v>
      </c>
      <c r="AO51" s="59">
        <f t="shared" si="36"/>
        <v>155.78420008229949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41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6.9</v>
      </c>
      <c r="N52" s="13">
        <f>IF('Données projet'!$A$36&gt;35,N51+M52-V51,IF(A52&lt;'Données projet'!$A$36,$K$205^A52,IF(A52='Données projet'!$A$36,'Données projet'!$B$36,N51+M52-V51)))</f>
        <v>226.10000000000005</v>
      </c>
      <c r="O52" s="13">
        <f>N52*VLOOKUP('Données projet'!$B$9,Paramètres!$A$1:$I$89,3,0)*VLOOKUP('Données projet'!$B$9,Paramètres!$A$1:$I$89,5,0)</f>
        <v>105.81480000000002</v>
      </c>
      <c r="P52" s="13">
        <f t="shared" si="33"/>
        <v>28.342703760346488</v>
      </c>
      <c r="Q52" s="20">
        <f t="shared" si="53"/>
        <v>233.65765238260352</v>
      </c>
      <c r="R52" s="59">
        <f t="shared" si="0"/>
        <v>526.99098571593686</v>
      </c>
      <c r="S52" s="59">
        <f ca="1">AVERAGE(OFFSET($R$3,0,0,'Données projet'!$E$9+1,1))-AVERAGE(OFFSET($H$3,0,0,'Données projet'!$E$9+1,1))</f>
        <v>107.39524504744702</v>
      </c>
      <c r="T52" s="59">
        <f t="shared" si="34"/>
        <v>102.66420075171004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11.665669450480264</v>
      </c>
      <c r="AA52" s="21">
        <f>EXP(-LN(2)/25)*AA51+(1-EXP(-LN(2)/25))/(LN(2)/25)*Calculateur!V52*Calculateur!X52*VLOOKUP('Données projet'!$B$9,Paramètres!$A$1:$I$89,3,0)*0.475*44/12</f>
        <v>4.5149694247288528</v>
      </c>
      <c r="AB52" s="21">
        <f>EXP(-LN(2)/2)*AB51+(1-EXP(-LN(2)/2))/(LN(2)/2)*V52*Y52*VLOOKUP('Données projet'!$B$9,Paramètres!$A$1:$I$89,3,0)*0.475*44/12</f>
        <v>0.11534464163032471</v>
      </c>
      <c r="AC52" s="22">
        <f t="shared" si="3"/>
        <v>16.295983516839442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7.833333333333333</v>
      </c>
      <c r="AI52" s="13">
        <f>IF('Données projet'!$A$62&gt;35,AI51+AH52-AQ51,IF(A52&lt;'Données projet'!$A$62,$AF$205^A52,IF(A52='Données projet'!$A$62,'Données projet'!$B$62,AI51+AH52-AQ51)))</f>
        <v>123.83333333333346</v>
      </c>
      <c r="AJ52" s="13">
        <f>AI52*VLOOKUP('Données projet'!$B$10,Paramètres!$A$1:$I$89,3,0)*VLOOKUP('Données projet'!$B$10,Paramètres!$A$1:$I$89,5,0)</f>
        <v>112.0444000000001</v>
      </c>
      <c r="AK52" s="13">
        <f t="shared" si="35"/>
        <v>29.812143709975075</v>
      </c>
      <c r="AL52" s="20">
        <f t="shared" si="4"/>
        <v>247.06681362820675</v>
      </c>
      <c r="AM52" s="59">
        <f t="shared" si="5"/>
        <v>540.40014696154003</v>
      </c>
      <c r="AN52" s="59">
        <f ca="1">AVERAGE(OFFSET($AM$3,0,0,'Données projet'!$E$10+1,1))-AVERAGE(OFFSET($H$3,0,0,'Données projet'!$E$10+1,1))</f>
        <v>215.7418266360167</v>
      </c>
      <c r="AO52" s="59">
        <f t="shared" si="36"/>
        <v>155.78420008229949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233</v>
      </c>
      <c r="L53" s="12">
        <f>VLOOKUP(A53,'Données projet'!$A$35:$I$55,9,0)</f>
        <v>6.9</v>
      </c>
      <c r="M53" s="12">
        <f t="array" ref="M53">INDEX(L:L,MIN(IF(ISNUMBER(L53:L249),ROW(L53:L249),"")))</f>
        <v>6.9</v>
      </c>
      <c r="N53" s="13">
        <f>IF('Données projet'!$A$36&gt;35,N52+M53-V52,IF(A53&lt;'Données projet'!$A$36,$K$205^A53,IF(A53='Données projet'!$A$36,'Données projet'!$B$36,N52+M53-V52)))</f>
        <v>233.00000000000006</v>
      </c>
      <c r="O53" s="13">
        <f>N53*VLOOKUP('Données projet'!$B$9,Paramètres!$A$1:$I$89,3,0)*VLOOKUP('Données projet'!$B$9,Paramètres!$A$1:$I$89,5,0)</f>
        <v>109.04400000000004</v>
      </c>
      <c r="P53" s="13">
        <f t="shared" si="33"/>
        <v>29.105629216479489</v>
      </c>
      <c r="Q53" s="20">
        <f t="shared" si="53"/>
        <v>240.61060421870184</v>
      </c>
      <c r="R53" s="59">
        <f t="shared" si="0"/>
        <v>533.94393755203509</v>
      </c>
      <c r="S53" s="59">
        <f ca="1">AVERAGE(OFFSET($R$3,0,0,'Données projet'!$E$9+1,1))-AVERAGE(OFFSET($H$3,0,0,'Données projet'!$E$9+1,1))</f>
        <v>107.39524504744702</v>
      </c>
      <c r="T53" s="59">
        <f t="shared" si="34"/>
        <v>102.66420075171004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47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9.3500000000000014E-2</v>
      </c>
      <c r="Y53" s="16">
        <f>IF(ISNA(VLOOKUP(A53,'Données projet'!$A$35:$I$55,7,0)),0%,VLOOKUP(A53,'Données projet'!$A$35:$I$55,7,0))</f>
        <v>0.13</v>
      </c>
      <c r="Z53" s="21">
        <f>EXP(-LN(2)/35)*Z52+(1-EXP(-LN(2)/35))/(LN(2)/35)*V53*W53*VLOOKUP('Données projet'!$B$9,Paramètres!$A$1:$I$89,3,0)*0.475*44/12</f>
        <v>22.670870816223655</v>
      </c>
      <c r="AA53" s="21">
        <f>EXP(-LN(2)/25)*AA52+(1-EXP(-LN(2)/25))/(LN(2)/25)*Calculateur!V53*Calculateur!X53*VLOOKUP('Données projet'!$B$9,Paramètres!$A$1:$I$89,3,0)*0.475*44/12</f>
        <v>7.1090121503258343</v>
      </c>
      <c r="AB53" s="21">
        <f>EXP(-LN(2)/2)*AB52+(1-EXP(-LN(2)/2))/(LN(2)/2)*V53*Y53*VLOOKUP('Données projet'!$B$9,Paramètres!$A$1:$I$89,3,0)*0.475*44/12</f>
        <v>3.3191565884013134</v>
      </c>
      <c r="AC53" s="22">
        <f t="shared" si="3"/>
        <v>33.099039554950807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7.833333333333333</v>
      </c>
      <c r="AI53" s="13">
        <f>IF('Données projet'!$A$62&gt;35,AI52+AH53-AQ52,IF(A53&lt;'Données projet'!$A$62,$AF$205^A53,IF(A53='Données projet'!$A$62,'Données projet'!$B$62,AI52+AH53-AQ52)))</f>
        <v>131.6666666666668</v>
      </c>
      <c r="AJ53" s="13">
        <f>AI53*VLOOKUP('Données projet'!$B$10,Paramètres!$A$1:$I$89,3,0)*VLOOKUP('Données projet'!$B$10,Paramètres!$A$1:$I$89,5,0)</f>
        <v>119.13200000000013</v>
      </c>
      <c r="AK53" s="13">
        <f t="shared" si="35"/>
        <v>31.472467091979855</v>
      </c>
      <c r="AL53" s="20">
        <f t="shared" si="4"/>
        <v>262.30278018519846</v>
      </c>
      <c r="AM53" s="59">
        <f t="shared" si="5"/>
        <v>555.63611351853183</v>
      </c>
      <c r="AN53" s="59">
        <f ca="1">AVERAGE(OFFSET($AM$3,0,0,'Données projet'!$E$10+1,1))-AVERAGE(OFFSET($H$3,0,0,'Données projet'!$E$10+1,1))</f>
        <v>215.7418266360167</v>
      </c>
      <c r="AO53" s="59">
        <f t="shared" si="36"/>
        <v>155.78420008229949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</v>
      </c>
      <c r="N54" s="13">
        <f>IF('Données projet'!$A$36&gt;35,N53+M54-V53,IF(A54&lt;'Données projet'!$A$36,$K$205^A54,IF(A54='Données projet'!$A$36,'Données projet'!$B$36,N53+M54-V53)))</f>
        <v>194.00000000000006</v>
      </c>
      <c r="O54" s="13">
        <f>N54*VLOOKUP('Données projet'!$B$9,Paramètres!$A$1:$I$89,3,0)*VLOOKUP('Données projet'!$B$9,Paramètres!$A$1:$I$89,5,0)</f>
        <v>90.79200000000003</v>
      </c>
      <c r="P54" s="13">
        <f t="shared" si="33"/>
        <v>24.756138813110194</v>
      </c>
      <c r="Q54" s="20">
        <f t="shared" si="53"/>
        <v>201.24634176616698</v>
      </c>
      <c r="R54" s="59">
        <f t="shared" si="0"/>
        <v>494.57967509950026</v>
      </c>
      <c r="S54" s="59">
        <f ca="1">AVERAGE(OFFSET($R$3,0,0,'Données projet'!$E$9+1,1))-AVERAGE(OFFSET($H$3,0,0,'Données projet'!$E$9+1,1))</f>
        <v>107.39524504744702</v>
      </c>
      <c r="T54" s="59">
        <f t="shared" si="34"/>
        <v>102.66420075171004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22.226308867383317</v>
      </c>
      <c r="AA54" s="21">
        <f>EXP(-LN(2)/25)*AA53+(1-EXP(-LN(2)/25))/(LN(2)/25)*Calculateur!V54*Calculateur!X54*VLOOKUP('Données projet'!$B$9,Paramètres!$A$1:$I$89,3,0)*0.475*44/12</f>
        <v>6.9146158392284729</v>
      </c>
      <c r="AB54" s="21">
        <f>EXP(-LN(2)/2)*AB53+(1-EXP(-LN(2)/2))/(LN(2)/2)*V54*Y54*VLOOKUP('Données projet'!$B$9,Paramètres!$A$1:$I$89,3,0)*0.475*44/12</f>
        <v>2.3469981314785753</v>
      </c>
      <c r="AC54" s="22">
        <f t="shared" si="3"/>
        <v>31.487922838090366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7.833333333333333</v>
      </c>
      <c r="AI54" s="13">
        <f>IF('Données projet'!$A$62&gt;35,AI53+AH54-AQ53,IF(A54&lt;'Données projet'!$A$62,$AF$205^A54,IF(A54='Données projet'!$A$62,'Données projet'!$B$62,AI53+AH54-AQ53)))</f>
        <v>139.50000000000014</v>
      </c>
      <c r="AJ54" s="13">
        <f>AI54*VLOOKUP('Données projet'!$B$10,Paramètres!$A$1:$I$89,3,0)*VLOOKUP('Données projet'!$B$10,Paramètres!$A$1:$I$89,5,0)</f>
        <v>126.21960000000013</v>
      </c>
      <c r="AK54" s="13">
        <f t="shared" si="35"/>
        <v>33.121325210832396</v>
      </c>
      <c r="AL54" s="20">
        <f t="shared" si="4"/>
        <v>277.51877807553331</v>
      </c>
      <c r="AM54" s="59">
        <f t="shared" si="5"/>
        <v>570.85211140886668</v>
      </c>
      <c r="AN54" s="59">
        <f ca="1">AVERAGE(OFFSET($AM$3,0,0,'Données projet'!$E$10+1,1))-AVERAGE(OFFSET($H$3,0,0,'Données projet'!$E$10+1,1))</f>
        <v>215.7418266360167</v>
      </c>
      <c r="AO54" s="59">
        <f t="shared" si="36"/>
        <v>155.78420008229949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</v>
      </c>
      <c r="N55" s="13">
        <f>IF('Données projet'!$A$36&gt;35,N54+M55-V54,IF(A55&lt;'Données projet'!$A$36,$K$205^A55,IF(A55='Données projet'!$A$36,'Données projet'!$B$36,N54+M55-V54)))</f>
        <v>202.00000000000006</v>
      </c>
      <c r="O55" s="13">
        <f>N55*VLOOKUP('Données projet'!$B$9,Paramètres!$A$1:$I$89,3,0)*VLOOKUP('Données projet'!$B$9,Paramètres!$A$1:$I$89,5,0)</f>
        <v>94.536000000000016</v>
      </c>
      <c r="P55" s="13">
        <f t="shared" si="33"/>
        <v>25.656048664271697</v>
      </c>
      <c r="Q55" s="20">
        <f t="shared" si="53"/>
        <v>209.3344847569399</v>
      </c>
      <c r="R55" s="59">
        <f t="shared" si="0"/>
        <v>502.66781809027322</v>
      </c>
      <c r="S55" s="59">
        <f ca="1">AVERAGE(OFFSET($R$3,0,0,'Données projet'!$E$9+1,1))-AVERAGE(OFFSET($H$3,0,0,'Données projet'!$E$9+1,1))</f>
        <v>107.39524504744702</v>
      </c>
      <c r="T55" s="59">
        <f t="shared" si="34"/>
        <v>102.66420075171004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21.790464507203726</v>
      </c>
      <c r="AA55" s="21">
        <f>EXP(-LN(2)/25)*AA54+(1-EXP(-LN(2)/25))/(LN(2)/25)*Calculateur!V55*Calculateur!X55*VLOOKUP('Données projet'!$B$9,Paramètres!$A$1:$I$89,3,0)*0.475*44/12</f>
        <v>6.7255353054809266</v>
      </c>
      <c r="AB55" s="21">
        <f>EXP(-LN(2)/2)*AB54+(1-EXP(-LN(2)/2))/(LN(2)/2)*V55*Y55*VLOOKUP('Données projet'!$B$9,Paramètres!$A$1:$I$89,3,0)*0.475*44/12</f>
        <v>1.6595782942006569</v>
      </c>
      <c r="AC55" s="22">
        <f t="shared" si="3"/>
        <v>30.175578106885311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7.833333333333333</v>
      </c>
      <c r="AI55" s="13">
        <f>IF('Données projet'!$A$62&gt;35,AI54+AH55-AQ54,IF(A55&lt;'Données projet'!$A$62,$AF$205^A55,IF(A55='Données projet'!$A$62,'Données projet'!$B$62,AI54+AH55-AQ54)))</f>
        <v>147.33333333333348</v>
      </c>
      <c r="AJ55" s="13">
        <f>AI55*VLOOKUP('Données projet'!$B$10,Paramètres!$A$1:$I$89,3,0)*VLOOKUP('Données projet'!$B$10,Paramètres!$A$1:$I$89,5,0)</f>
        <v>133.30720000000014</v>
      </c>
      <c r="AK55" s="13">
        <f t="shared" si="35"/>
        <v>34.759435244472897</v>
      </c>
      <c r="AL55" s="20">
        <f t="shared" si="4"/>
        <v>292.71605638412387</v>
      </c>
      <c r="AM55" s="59">
        <f t="shared" si="5"/>
        <v>586.04938971745719</v>
      </c>
      <c r="AN55" s="59">
        <f ca="1">AVERAGE(OFFSET($AM$3,0,0,'Données projet'!$E$10+1,1))-AVERAGE(OFFSET($H$3,0,0,'Données projet'!$E$10+1,1))</f>
        <v>215.7418266360167</v>
      </c>
      <c r="AO55" s="59">
        <f t="shared" si="36"/>
        <v>155.78420008229949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</v>
      </c>
      <c r="N56" s="13">
        <f>IF('Données projet'!$A$36&gt;35,N55+M56-V55,IF(A56&lt;'Données projet'!$A$36,$K$205^A56,IF(A56='Données projet'!$A$36,'Données projet'!$B$36,N55+M56-V55)))</f>
        <v>210.00000000000006</v>
      </c>
      <c r="O56" s="13">
        <f>N56*VLOOKUP('Données projet'!$B$9,Paramètres!$A$1:$I$89,3,0)*VLOOKUP('Données projet'!$B$9,Paramètres!$A$1:$I$89,5,0)</f>
        <v>98.28000000000003</v>
      </c>
      <c r="P56" s="13">
        <f t="shared" si="33"/>
        <v>26.551818424463473</v>
      </c>
      <c r="Q56" s="20">
        <f t="shared" si="53"/>
        <v>217.41541708927392</v>
      </c>
      <c r="R56" s="59">
        <f t="shared" si="0"/>
        <v>510.74875042260726</v>
      </c>
      <c r="S56" s="59">
        <f ca="1">AVERAGE(OFFSET($R$3,0,0,'Données projet'!$E$9+1,1))-AVERAGE(OFFSET($H$3,0,0,'Données projet'!$E$9+1,1))</f>
        <v>107.39524504744702</v>
      </c>
      <c r="T56" s="59">
        <f t="shared" si="34"/>
        <v>102.66420075171004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21.363166789088446</v>
      </c>
      <c r="AA56" s="21">
        <f>EXP(-LN(2)/25)*AA55+(1-EXP(-LN(2)/25))/(LN(2)/25)*Calculateur!V56*Calculateur!X56*VLOOKUP('Données projet'!$B$9,Paramètres!$A$1:$I$89,3,0)*0.475*44/12</f>
        <v>6.54162518887202</v>
      </c>
      <c r="AB56" s="21">
        <f>EXP(-LN(2)/2)*AB55+(1-EXP(-LN(2)/2))/(LN(2)/2)*V56*Y56*VLOOKUP('Données projet'!$B$9,Paramètres!$A$1:$I$89,3,0)*0.475*44/12</f>
        <v>1.1734990657392879</v>
      </c>
      <c r="AC56" s="22">
        <f t="shared" si="3"/>
        <v>29.078291043699753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7.833333333333333</v>
      </c>
      <c r="AI56" s="13">
        <f>IF('Données projet'!$A$62&gt;35,AI55+AH56-AQ55,IF(A56&lt;'Données projet'!$A$62,$AF$205^A56,IF(A56='Données projet'!$A$62,'Données projet'!$B$62,AI55+AH56-AQ55)))</f>
        <v>155.16666666666683</v>
      </c>
      <c r="AJ56" s="13">
        <f>AI56*VLOOKUP('Données projet'!$B$10,Paramètres!$A$1:$I$89,3,0)*VLOOKUP('Données projet'!$B$10,Paramètres!$A$1:$I$89,5,0)</f>
        <v>140.39480000000015</v>
      </c>
      <c r="AK56" s="13">
        <f t="shared" si="35"/>
        <v>36.387433802709175</v>
      </c>
      <c r="AL56" s="20">
        <f t="shared" si="4"/>
        <v>307.89572387305208</v>
      </c>
      <c r="AM56" s="59">
        <f t="shared" si="5"/>
        <v>601.22905720638539</v>
      </c>
      <c r="AN56" s="59">
        <f ca="1">AVERAGE(OFFSET($AM$3,0,0,'Données projet'!$E$10+1,1))-AVERAGE(OFFSET($H$3,0,0,'Données projet'!$E$10+1,1))</f>
        <v>215.7418266360167</v>
      </c>
      <c r="AO56" s="59">
        <f t="shared" si="36"/>
        <v>155.78420008229949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</v>
      </c>
      <c r="N57" s="13">
        <f>IF('Données projet'!$A$36&gt;35,N56+M57-V56,IF(A57&lt;'Données projet'!$A$36,$K$205^A57,IF(A57='Données projet'!$A$36,'Données projet'!$B$36,N56+M57-V56)))</f>
        <v>218.00000000000006</v>
      </c>
      <c r="O57" s="13">
        <f>N57*VLOOKUP('Données projet'!$B$9,Paramètres!$A$1:$I$89,3,0)*VLOOKUP('Données projet'!$B$9,Paramètres!$A$1:$I$89,5,0)</f>
        <v>102.02400000000003</v>
      </c>
      <c r="P57" s="13">
        <f t="shared" si="33"/>
        <v>27.443623866530594</v>
      </c>
      <c r="Q57" s="20">
        <f t="shared" si="53"/>
        <v>225.48944490087419</v>
      </c>
      <c r="R57" s="59">
        <f t="shared" si="0"/>
        <v>518.82277823420748</v>
      </c>
      <c r="S57" s="59">
        <f ca="1">AVERAGE(OFFSET($R$3,0,0,'Données projet'!$E$9+1,1))-AVERAGE(OFFSET($H$3,0,0,'Données projet'!$E$9+1,1))</f>
        <v>107.39524504744702</v>
      </c>
      <c r="T57" s="59">
        <f t="shared" si="34"/>
        <v>102.66420075171004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20.944248118599532</v>
      </c>
      <c r="AA57" s="21">
        <f>EXP(-LN(2)/25)*AA56+(1-EXP(-LN(2)/25))/(LN(2)/25)*Calculateur!V57*Calculateur!X57*VLOOKUP('Données projet'!$B$9,Paramètres!$A$1:$I$89,3,0)*0.475*44/12</f>
        <v>6.3627441040731973</v>
      </c>
      <c r="AB57" s="21">
        <f>EXP(-LN(2)/2)*AB56+(1-EXP(-LN(2)/2))/(LN(2)/2)*V57*Y57*VLOOKUP('Données projet'!$B$9,Paramètres!$A$1:$I$89,3,0)*0.475*44/12</f>
        <v>0.82978914710032858</v>
      </c>
      <c r="AC57" s="22">
        <f t="shared" si="3"/>
        <v>28.136781369773058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163</v>
      </c>
      <c r="AG57" s="12">
        <f>VLOOKUP(A57,'Données projet'!$A$61:$I$81,9,0)</f>
        <v>7.833333333333333</v>
      </c>
      <c r="AH57" s="12">
        <f t="array" ref="AH57">INDEX(AG:AG,MIN(IF(ISNUMBER(AG57:AG253),ROW(AG57:AG253),"")))</f>
        <v>7.833333333333333</v>
      </c>
      <c r="AI57" s="13">
        <f>IF('Données projet'!$A$62&gt;35,AI56+AH57-AQ56,IF(A57&lt;'Données projet'!$A$62,$AF$205^A57,IF(A57='Données projet'!$A$62,'Données projet'!$B$62,AI56+AH57-AQ56)))</f>
        <v>163.00000000000017</v>
      </c>
      <c r="AJ57" s="13">
        <f>AI57*VLOOKUP('Données projet'!$B$10,Paramètres!$A$1:$I$89,3,0)*VLOOKUP('Données projet'!$B$10,Paramètres!$A$1:$I$89,5,0)</f>
        <v>147.48240000000015</v>
      </c>
      <c r="AK57" s="13">
        <f t="shared" si="35"/>
        <v>38.005889588171243</v>
      </c>
      <c r="AL57" s="20">
        <f t="shared" si="4"/>
        <v>323.05877103273184</v>
      </c>
      <c r="AM57" s="59">
        <f t="shared" si="5"/>
        <v>616.39210436606515</v>
      </c>
      <c r="AN57" s="59">
        <f ca="1">AVERAGE(OFFSET($AM$3,0,0,'Données projet'!$E$10+1,1))-AVERAGE(OFFSET($H$3,0,0,'Données projet'!$E$10+1,1))</f>
        <v>215.7418266360167</v>
      </c>
      <c r="AO57" s="59">
        <f t="shared" si="36"/>
        <v>155.78420008229949</v>
      </c>
      <c r="AP57" s="15">
        <f>IF(ISNA(VLOOKUP(A57,'Données projet'!$A$61:$I$81,3,0)),0,VLOOKUP(A57,'Données projet'!$A$61:$I$81,3,0))</f>
        <v>4</v>
      </c>
      <c r="AQ57" s="15">
        <f>IF(ISNA(VLOOKUP(A57,'Données projet'!$A$61:$I$81,4,0)),0,VLOOKUP(A57,'Données projet'!$A$61:$I$81,4,0))</f>
        <v>31</v>
      </c>
      <c r="AR57" s="16">
        <f>IF(ISNA(VLOOKUP(A57,'Données projet'!$A$61:$I$81,5,0)),0%,VLOOKUP(A57,'Données projet'!$A$61:$I$81,5,0)*VLOOKUP('Données projet'!$B$10,Paramètres!$A$1:$I$89,7,0))</f>
        <v>0.30099999999999999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9.3331423920145884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9.3331423920145884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</v>
      </c>
      <c r="N58" s="13">
        <f>IF('Données projet'!$A$36&gt;35,N57+M58-V57,IF(A58&lt;'Données projet'!$A$36,$K$205^A58,IF(A58='Données projet'!$A$36,'Données projet'!$B$36,N57+M58-V57)))</f>
        <v>226.00000000000006</v>
      </c>
      <c r="O58" s="13">
        <f>N58*VLOOKUP('Données projet'!$B$9,Paramètres!$A$1:$I$89,3,0)*VLOOKUP('Données projet'!$B$9,Paramètres!$A$1:$I$89,5,0)</f>
        <v>105.76800000000001</v>
      </c>
      <c r="P58" s="13">
        <f t="shared" si="33"/>
        <v>28.33162713151323</v>
      </c>
      <c r="Q58" s="20">
        <f t="shared" si="53"/>
        <v>233.55685058738553</v>
      </c>
      <c r="R58" s="59">
        <f t="shared" si="0"/>
        <v>526.89018392071887</v>
      </c>
      <c r="S58" s="59">
        <f ca="1">AVERAGE(OFFSET($R$3,0,0,'Données projet'!$E$9+1,1))-AVERAGE(OFFSET($H$3,0,0,'Données projet'!$E$9+1,1))</f>
        <v>107.39524504744702</v>
      </c>
      <c r="T58" s="59">
        <f t="shared" si="34"/>
        <v>102.66420075171004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20.533544187723749</v>
      </c>
      <c r="AA58" s="21">
        <f>EXP(-LN(2)/25)*AA57+(1-EXP(-LN(2)/25))/(LN(2)/25)*Calculateur!V58*Calculateur!X58*VLOOKUP('Données projet'!$B$9,Paramètres!$A$1:$I$89,3,0)*0.475*44/12</f>
        <v>6.188754531945146</v>
      </c>
      <c r="AB58" s="21">
        <f>EXP(-LN(2)/2)*AB57+(1-EXP(-LN(2)/2))/(LN(2)/2)*V58*Y58*VLOOKUP('Données projet'!$B$9,Paramètres!$A$1:$I$89,3,0)*0.475*44/12</f>
        <v>0.58674953286964393</v>
      </c>
      <c r="AC58" s="22">
        <f t="shared" si="3"/>
        <v>27.309048252538538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7.75</v>
      </c>
      <c r="AI58" s="13">
        <f>IF('Données projet'!$A$62&gt;35,AI57+AH58-AQ57,IF(A58&lt;'Données projet'!$A$62,$AF$205^A58,IF(A58='Données projet'!$A$62,'Données projet'!$B$62,AI57+AH58-AQ57)))</f>
        <v>139.75000000000017</v>
      </c>
      <c r="AJ58" s="13">
        <f>AI58*VLOOKUP('Données projet'!$B$10,Paramètres!$A$1:$I$89,3,0)*VLOOKUP('Données projet'!$B$10,Paramètres!$A$1:$I$89,5,0)</f>
        <v>126.44580000000015</v>
      </c>
      <c r="AK58" s="13">
        <f t="shared" si="35"/>
        <v>33.173767778062711</v>
      </c>
      <c r="AL58" s="20">
        <f t="shared" si="4"/>
        <v>278.00408054679281</v>
      </c>
      <c r="AM58" s="59">
        <f t="shared" si="5"/>
        <v>571.33741388012618</v>
      </c>
      <c r="AN58" s="59">
        <f ca="1">AVERAGE(OFFSET($AM$3,0,0,'Données projet'!$E$10+1,1))-AVERAGE(OFFSET($H$3,0,0,'Données projet'!$E$10+1,1))</f>
        <v>215.7418266360167</v>
      </c>
      <c r="AO58" s="59">
        <f t="shared" si="36"/>
        <v>155.78420008229949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9.1501251623619382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9.1501251623619382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</v>
      </c>
      <c r="N59" s="13">
        <f>IF('Données projet'!$A$36&gt;35,N58+M59-V58,IF(A59&lt;'Données projet'!$A$36,$K$205^A59,IF(A59='Données projet'!$A$36,'Données projet'!$B$36,N58+M59-V58)))</f>
        <v>234.00000000000006</v>
      </c>
      <c r="O59" s="13">
        <f>N59*VLOOKUP('Données projet'!$B$9,Paramètres!$A$1:$I$89,3,0)*VLOOKUP('Données projet'!$B$9,Paramètres!$A$1:$I$89,5,0)</f>
        <v>109.51200000000003</v>
      </c>
      <c r="P59" s="13">
        <f t="shared" si="33"/>
        <v>29.215978230632555</v>
      </c>
      <c r="Q59" s="20">
        <f t="shared" si="53"/>
        <v>241.61789541835174</v>
      </c>
      <c r="R59" s="59">
        <f t="shared" si="0"/>
        <v>534.95122875168499</v>
      </c>
      <c r="S59" s="59">
        <f ca="1">AVERAGE(OFFSET($R$3,0,0,'Données projet'!$E$9+1,1))-AVERAGE(OFFSET($H$3,0,0,'Données projet'!$E$9+1,1))</f>
        <v>107.39524504744702</v>
      </c>
      <c r="T59" s="59">
        <f t="shared" si="34"/>
        <v>102.66420075171004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20.130893910427776</v>
      </c>
      <c r="AA59" s="21">
        <f>EXP(-LN(2)/25)*AA58+(1-EXP(-LN(2)/25))/(LN(2)/25)*Calculateur!V59*Calculateur!X59*VLOOKUP('Données projet'!$B$9,Paramètres!$A$1:$I$89,3,0)*0.475*44/12</f>
        <v>6.0195227138166496</v>
      </c>
      <c r="AB59" s="21">
        <f>EXP(-LN(2)/2)*AB58+(1-EXP(-LN(2)/2))/(LN(2)/2)*V59*Y59*VLOOKUP('Données projet'!$B$9,Paramètres!$A$1:$I$89,3,0)*0.475*44/12</f>
        <v>0.41489457355016429</v>
      </c>
      <c r="AC59" s="22">
        <f t="shared" si="3"/>
        <v>26.565311197794589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7.75</v>
      </c>
      <c r="AI59" s="13">
        <f>IF('Données projet'!$A$62&gt;35,AI58+AH59-AQ58,IF(A59&lt;'Données projet'!$A$62,$AF$205^A59,IF(A59='Données projet'!$A$62,'Données projet'!$B$62,AI58+AH59-AQ58)))</f>
        <v>147.50000000000017</v>
      </c>
      <c r="AJ59" s="13">
        <f>AI59*VLOOKUP('Données projet'!$B$10,Paramètres!$A$1:$I$89,3,0)*VLOOKUP('Données projet'!$B$10,Paramètres!$A$1:$I$89,5,0)</f>
        <v>133.45800000000017</v>
      </c>
      <c r="AK59" s="13">
        <f t="shared" si="35"/>
        <v>34.794176665003441</v>
      </c>
      <c r="AL59" s="20">
        <f t="shared" si="4"/>
        <v>293.03920769154797</v>
      </c>
      <c r="AM59" s="59">
        <f t="shared" si="5"/>
        <v>586.37254102488123</v>
      </c>
      <c r="AN59" s="59">
        <f ca="1">AVERAGE(OFFSET($AM$3,0,0,'Données projet'!$E$10+1,1))-AVERAGE(OFFSET($H$3,0,0,'Données projet'!$E$10+1,1))</f>
        <v>215.7418266360167</v>
      </c>
      <c r="AO59" s="59">
        <f t="shared" si="36"/>
        <v>155.78420008229949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8.9706967889532887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8.9706967889532887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</v>
      </c>
      <c r="N60" s="13">
        <f>IF('Données projet'!$A$36&gt;35,N59+M60-V59,IF(A60&lt;'Données projet'!$A$36,$K$205^A60,IF(A60='Données projet'!$A$36,'Données projet'!$B$36,N59+M60-V59)))</f>
        <v>242.00000000000006</v>
      </c>
      <c r="O60" s="13">
        <f>N60*VLOOKUP('Données projet'!$B$9,Paramètres!$A$1:$I$89,3,0)*VLOOKUP('Données projet'!$B$9,Paramètres!$A$1:$I$89,5,0)</f>
        <v>113.25600000000003</v>
      </c>
      <c r="P60" s="13">
        <f t="shared" si="33"/>
        <v>30.096816336106439</v>
      </c>
      <c r="Q60" s="20">
        <f t="shared" si="53"/>
        <v>249.67282178538542</v>
      </c>
      <c r="R60" s="59">
        <f t="shared" si="0"/>
        <v>543.00615511871877</v>
      </c>
      <c r="S60" s="59">
        <f ca="1">AVERAGE(OFFSET($R$3,0,0,'Données projet'!$E$9+1,1))-AVERAGE(OFFSET($H$3,0,0,'Données projet'!$E$9+1,1))</f>
        <v>107.39524504744702</v>
      </c>
      <c r="T60" s="59">
        <f t="shared" si="34"/>
        <v>102.66420075171004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19.736139359477157</v>
      </c>
      <c r="AA60" s="21">
        <f>EXP(-LN(2)/25)*AA59+(1-EXP(-LN(2)/25))/(LN(2)/25)*Calculateur!V60*Calculateur!X60*VLOOKUP('Données projet'!$B$9,Paramètres!$A$1:$I$89,3,0)*0.475*44/12</f>
        <v>5.8549185486543918</v>
      </c>
      <c r="AB60" s="21">
        <f>EXP(-LN(2)/2)*AB59+(1-EXP(-LN(2)/2))/(LN(2)/2)*V60*Y60*VLOOKUP('Données projet'!$B$9,Paramètres!$A$1:$I$89,3,0)*0.475*44/12</f>
        <v>0.29337476643482197</v>
      </c>
      <c r="AC60" s="22">
        <f t="shared" si="3"/>
        <v>25.884432674566373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7.75</v>
      </c>
      <c r="AI60" s="13">
        <f>IF('Données projet'!$A$62&gt;35,AI59+AH60-AQ59,IF(A60&lt;'Données projet'!$A$62,$AF$205^A60,IF(A60='Données projet'!$A$62,'Données projet'!$B$62,AI59+AH60-AQ59)))</f>
        <v>155.25000000000017</v>
      </c>
      <c r="AJ60" s="13">
        <f>AI60*VLOOKUP('Données projet'!$B$10,Paramètres!$A$1:$I$89,3,0)*VLOOKUP('Données projet'!$B$10,Paramètres!$A$1:$I$89,5,0)</f>
        <v>140.47020000000015</v>
      </c>
      <c r="AK60" s="13">
        <f t="shared" si="35"/>
        <v>36.404700683345617</v>
      </c>
      <c r="AL60" s="20">
        <f t="shared" si="4"/>
        <v>308.05711869016056</v>
      </c>
      <c r="AM60" s="59">
        <f t="shared" si="5"/>
        <v>601.39045202349394</v>
      </c>
      <c r="AN60" s="59">
        <f ca="1">AVERAGE(OFFSET($AM$3,0,0,'Données projet'!$E$10+1,1))-AVERAGE(OFFSET($H$3,0,0,'Données projet'!$E$10+1,1))</f>
        <v>215.7418266360167</v>
      </c>
      <c r="AO60" s="59">
        <f t="shared" si="36"/>
        <v>155.78420008229949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8.7947868965066824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8.7947868965066824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</v>
      </c>
      <c r="N61" s="13">
        <f>IF('Données projet'!$A$36&gt;35,N60+M61-V60,IF(A61&lt;'Données projet'!$A$36,$K$205^A61,IF(A61='Données projet'!$A$36,'Données projet'!$B$36,N60+M61-V60)))</f>
        <v>250.00000000000006</v>
      </c>
      <c r="O61" s="13">
        <f>N61*VLOOKUP('Données projet'!$B$9,Paramètres!$A$1:$I$89,3,0)*VLOOKUP('Données projet'!$B$9,Paramètres!$A$1:$I$89,5,0)</f>
        <v>117.00000000000003</v>
      </c>
      <c r="P61" s="13">
        <f t="shared" si="33"/>
        <v>30.974270896484146</v>
      </c>
      <c r="Q61" s="20">
        <f t="shared" si="53"/>
        <v>257.72185514470993</v>
      </c>
      <c r="R61" s="59">
        <f t="shared" si="0"/>
        <v>551.05518847804319</v>
      </c>
      <c r="S61" s="59">
        <f ca="1">AVERAGE(OFFSET($R$3,0,0,'Données projet'!$E$9+1,1))-AVERAGE(OFFSET($H$3,0,0,'Données projet'!$E$9+1,1))</f>
        <v>107.39524504744702</v>
      </c>
      <c r="T61" s="59">
        <f t="shared" si="34"/>
        <v>102.66420075171004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19.349125704494181</v>
      </c>
      <c r="AA61" s="21">
        <f>EXP(-LN(2)/25)*AA60+(1-EXP(-LN(2)/25))/(LN(2)/25)*Calculateur!V61*Calculateur!X61*VLOOKUP('Données projet'!$B$9,Paramètres!$A$1:$I$89,3,0)*0.475*44/12</f>
        <v>5.6948154930446524</v>
      </c>
      <c r="AB61" s="21">
        <f>EXP(-LN(2)/2)*AB60+(1-EXP(-LN(2)/2))/(LN(2)/2)*V61*Y61*VLOOKUP('Données projet'!$B$9,Paramètres!$A$1:$I$89,3,0)*0.475*44/12</f>
        <v>0.20744728677508215</v>
      </c>
      <c r="AC61" s="22">
        <f t="shared" si="3"/>
        <v>25.251388484313917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7.75</v>
      </c>
      <c r="AI61" s="13">
        <f>IF('Données projet'!$A$62&gt;35,AI60+AH61-AQ60,IF(A61&lt;'Données projet'!$A$62,$AF$205^A61,IF(A61='Données projet'!$A$62,'Données projet'!$B$62,AI60+AH61-AQ60)))</f>
        <v>163.00000000000017</v>
      </c>
      <c r="AJ61" s="13">
        <f>AI61*VLOOKUP('Données projet'!$B$10,Paramètres!$A$1:$I$89,3,0)*VLOOKUP('Données projet'!$B$10,Paramètres!$A$1:$I$89,5,0)</f>
        <v>147.48240000000015</v>
      </c>
      <c r="AK61" s="13">
        <f t="shared" si="35"/>
        <v>38.005889588171243</v>
      </c>
      <c r="AL61" s="20">
        <f t="shared" si="4"/>
        <v>323.05877103273184</v>
      </c>
      <c r="AM61" s="59">
        <f t="shared" si="5"/>
        <v>616.39210436606515</v>
      </c>
      <c r="AN61" s="59">
        <f ca="1">AVERAGE(OFFSET($AM$3,0,0,'Données projet'!$E$10+1,1))-AVERAGE(OFFSET($H$3,0,0,'Données projet'!$E$10+1,1))</f>
        <v>215.7418266360167</v>
      </c>
      <c r="AO61" s="59">
        <f t="shared" si="36"/>
        <v>155.78420008229949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8.6223264897565137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8.6223264897565137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</v>
      </c>
      <c r="N62" s="13">
        <f>IF('Données projet'!$A$36&gt;35,N61+M62-V61,IF(A62&lt;'Données projet'!$A$36,$K$205^A62,IF(A62='Données projet'!$A$36,'Données projet'!$B$36,N61+M62-V61)))</f>
        <v>258.00000000000006</v>
      </c>
      <c r="O62" s="13">
        <f>N62*VLOOKUP('Données projet'!$B$9,Paramètres!$A$1:$I$89,3,0)*VLOOKUP('Données projet'!$B$9,Paramètres!$A$1:$I$89,5,0)</f>
        <v>120.74400000000003</v>
      </c>
      <c r="P62" s="13">
        <f t="shared" si="33"/>
        <v>31.848462605207835</v>
      </c>
      <c r="Q62" s="20">
        <f t="shared" si="53"/>
        <v>265.76520570407035</v>
      </c>
      <c r="R62" s="59">
        <f t="shared" si="0"/>
        <v>559.09853903740373</v>
      </c>
      <c r="S62" s="59">
        <f ca="1">AVERAGE(OFFSET($R$3,0,0,'Données projet'!$E$9+1,1))-AVERAGE(OFFSET($H$3,0,0,'Données projet'!$E$9+1,1))</f>
        <v>107.39524504744702</v>
      </c>
      <c r="T62" s="59">
        <f t="shared" si="34"/>
        <v>102.66420075171004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18.969701151230399</v>
      </c>
      <c r="AA62" s="21">
        <f>EXP(-LN(2)/25)*AA61+(1-EXP(-LN(2)/25))/(LN(2)/25)*Calculateur!V62*Calculateur!X62*VLOOKUP('Données projet'!$B$9,Paramètres!$A$1:$I$89,3,0)*0.475*44/12</f>
        <v>5.5390904639100151</v>
      </c>
      <c r="AB62" s="21">
        <f>EXP(-LN(2)/2)*AB61+(1-EXP(-LN(2)/2))/(LN(2)/2)*V62*Y62*VLOOKUP('Données projet'!$B$9,Paramètres!$A$1:$I$89,3,0)*0.475*44/12</f>
        <v>0.14668738321741098</v>
      </c>
      <c r="AC62" s="22">
        <f t="shared" si="3"/>
        <v>24.655478998357825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7.75</v>
      </c>
      <c r="AI62" s="13">
        <f>IF('Données projet'!$A$62&gt;35,AI61+AH62-AQ61,IF(A62&lt;'Données projet'!$A$62,$AF$205^A62,IF(A62='Données projet'!$A$62,'Données projet'!$B$62,AI61+AH62-AQ61)))</f>
        <v>170.75000000000017</v>
      </c>
      <c r="AJ62" s="13">
        <f>AI62*VLOOKUP('Données projet'!$B$10,Paramètres!$A$1:$I$89,3,0)*VLOOKUP('Données projet'!$B$10,Paramètres!$A$1:$I$89,5,0)</f>
        <v>154.49460000000016</v>
      </c>
      <c r="AK62" s="13">
        <f t="shared" si="35"/>
        <v>39.598237903243998</v>
      </c>
      <c r="AL62" s="20">
        <f t="shared" si="4"/>
        <v>338.04502601481693</v>
      </c>
      <c r="AM62" s="59">
        <f t="shared" si="5"/>
        <v>631.3783593481503</v>
      </c>
      <c r="AN62" s="59">
        <f ca="1">AVERAGE(OFFSET($AM$3,0,0,'Données projet'!$E$10+1,1))-AVERAGE(OFFSET($H$3,0,0,'Données projet'!$E$10+1,1))</f>
        <v>215.7418266360167</v>
      </c>
      <c r="AO62" s="59">
        <f t="shared" si="36"/>
        <v>155.78420008229949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8.4532479263922546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8.4532479263922546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266</v>
      </c>
      <c r="L63" s="12">
        <f>VLOOKUP(A63,'Données projet'!$A$35:$I$55,9,0)</f>
        <v>8</v>
      </c>
      <c r="M63" s="12">
        <f t="array" ref="M63">INDEX(L:L,MIN(IF(ISNUMBER(L63:L259),ROW(L63:L259),"")))</f>
        <v>8</v>
      </c>
      <c r="N63" s="13">
        <f>IF('Données projet'!$A$36&gt;35,N62+M63-V62,IF(A63&lt;'Données projet'!$A$36,$K$205^A63,IF(A63='Données projet'!$A$36,'Données projet'!$B$36,N62+M63-V62)))</f>
        <v>266.00000000000006</v>
      </c>
      <c r="O63" s="13">
        <f>N63*VLOOKUP('Données projet'!$B$9,Paramètres!$A$1:$I$89,3,0)*VLOOKUP('Données projet'!$B$9,Paramètres!$A$1:$I$89,5,0)</f>
        <v>124.48800000000003</v>
      </c>
      <c r="P63" s="13">
        <f t="shared" si="33"/>
        <v>32.719504245667295</v>
      </c>
      <c r="Q63" s="20">
        <f t="shared" si="53"/>
        <v>273.80306989453726</v>
      </c>
      <c r="R63" s="59">
        <f t="shared" si="0"/>
        <v>567.13640322787057</v>
      </c>
      <c r="S63" s="59">
        <f ca="1">AVERAGE(OFFSET($R$3,0,0,'Données projet'!$E$9+1,1))-AVERAGE(OFFSET($H$3,0,0,'Données projet'!$E$9+1,1))</f>
        <v>107.39524504744702</v>
      </c>
      <c r="T63" s="59">
        <f t="shared" si="34"/>
        <v>102.66420075171004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45</v>
      </c>
      <c r="W63" s="16">
        <f>IF(ISNA(VLOOKUP(A63,'Données projet'!$A$35:$I$55,5,0)),0%,VLOOKUP(A63,'Données projet'!$A$35:$I$55,5,0)*VLOOKUP('Données projet'!$B$9,Paramètres!$A$1:$I$89,7,0))</f>
        <v>0.38500000000000001</v>
      </c>
      <c r="X63" s="16">
        <f>IF(ISNA(VLOOKUP(A63,'Données projet'!$A$35:$I$55,6,0)),0%,VLOOKUP(A63,'Données projet'!$A$35:$I$55,6,0)*VLOOKUP('Données projet'!$B$9,Paramètres!$A$1:$I$89,7,0))</f>
        <v>9.3500000000000014E-2</v>
      </c>
      <c r="Y63" s="16">
        <f>IF(ISNA(VLOOKUP(A63,'Données projet'!$A$35:$I$55,7,0)),0%,VLOOKUP(A63,'Données projet'!$A$35:$I$55,7,0))</f>
        <v>0.13</v>
      </c>
      <c r="Z63" s="21">
        <f>EXP(-LN(2)/35)*Z62+(1-EXP(-LN(2)/35))/(LN(2)/35)*V63*W63*VLOOKUP('Données projet'!$B$9,Paramètres!$A$1:$I$89,3,0)*0.475*44/12</f>
        <v>29.353634143179328</v>
      </c>
      <c r="AA63" s="21">
        <f>EXP(-LN(2)/25)*AA62+(1-EXP(-LN(2)/25))/(LN(2)/25)*Calculateur!V63*Calculateur!X63*VLOOKUP('Données projet'!$B$9,Paramètres!$A$1:$I$89,3,0)*0.475*44/12</f>
        <v>7.9894900436238458</v>
      </c>
      <c r="AB63" s="21">
        <f>EXP(-LN(2)/2)*AB62+(1-EXP(-LN(2)/2))/(LN(2)/2)*V63*Y63*VLOOKUP('Données projet'!$B$9,Paramètres!$A$1:$I$89,3,0)*0.475*44/12</f>
        <v>3.2035492275554991</v>
      </c>
      <c r="AC63" s="22">
        <f t="shared" si="3"/>
        <v>40.546673414358672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7.75</v>
      </c>
      <c r="AI63" s="13">
        <f>IF('Données projet'!$A$62&gt;35,AI62+AH63-AQ62,IF(A63&lt;'Données projet'!$A$62,$AF$205^A63,IF(A63='Données projet'!$A$62,'Données projet'!$B$62,AI62+AH63-AQ62)))</f>
        <v>178.50000000000017</v>
      </c>
      <c r="AJ63" s="13">
        <f>AI63*VLOOKUP('Données projet'!$B$10,Paramètres!$A$1:$I$89,3,0)*VLOOKUP('Données projet'!$B$10,Paramètres!$A$1:$I$89,5,0)</f>
        <v>161.50680000000014</v>
      </c>
      <c r="AK63" s="13">
        <f t="shared" si="35"/>
        <v>41.182192723897138</v>
      </c>
      <c r="AL63" s="20">
        <f t="shared" si="4"/>
        <v>353.01666232745441</v>
      </c>
      <c r="AM63" s="59">
        <f t="shared" si="5"/>
        <v>646.34999566078773</v>
      </c>
      <c r="AN63" s="59">
        <f ca="1">AVERAGE(OFFSET($AM$3,0,0,'Données projet'!$E$10+1,1))-AVERAGE(OFFSET($H$3,0,0,'Données projet'!$E$10+1,1))</f>
        <v>215.7418266360167</v>
      </c>
      <c r="AO63" s="59">
        <f t="shared" si="36"/>
        <v>155.78420008229949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8.2874848905278284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8.2874848905278284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7.5</v>
      </c>
      <c r="N64" s="13">
        <f>IF('Données projet'!$A$36&gt;35,N63+M64-V63,IF(A64&lt;'Données projet'!$A$36,$K$205^A64,IF(A64='Données projet'!$A$36,'Données projet'!$B$36,N63+M64-V63)))</f>
        <v>228.50000000000006</v>
      </c>
      <c r="O64" s="13">
        <f>N64*VLOOKUP('Données projet'!$B$9,Paramètres!$A$1:$I$89,3,0)*VLOOKUP('Données projet'!$B$9,Paramètres!$A$1:$I$89,5,0)</f>
        <v>106.93800000000003</v>
      </c>
      <c r="P64" s="13">
        <f t="shared" si="33"/>
        <v>28.608372427789636</v>
      </c>
      <c r="Q64" s="20">
        <f t="shared" si="53"/>
        <v>236.07659864506695</v>
      </c>
      <c r="R64" s="59">
        <f t="shared" si="0"/>
        <v>529.40993197840021</v>
      </c>
      <c r="S64" s="59">
        <f ca="1">AVERAGE(OFFSET($R$3,0,0,'Données projet'!$E$9+1,1))-AVERAGE(OFFSET($H$3,0,0,'Données projet'!$E$9+1,1))</f>
        <v>107.39524504744702</v>
      </c>
      <c r="T64" s="59">
        <f t="shared" si="34"/>
        <v>102.66420075171004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28.778027281580542</v>
      </c>
      <c r="AA64" s="21">
        <f>EXP(-LN(2)/25)*AA63+(1-EXP(-LN(2)/25))/(LN(2)/25)*Calculateur!V64*Calculateur!X64*VLOOKUP('Données projet'!$B$9,Paramètres!$A$1:$I$89,3,0)*0.475*44/12</f>
        <v>7.7710170182319303</v>
      </c>
      <c r="AB64" s="21">
        <f>EXP(-LN(2)/2)*AB63+(1-EXP(-LN(2)/2))/(LN(2)/2)*V64*Y64*VLOOKUP('Données projet'!$B$9,Paramètres!$A$1:$I$89,3,0)*0.475*44/12</f>
        <v>2.2652513826694198</v>
      </c>
      <c r="AC64" s="22">
        <f t="shared" si="3"/>
        <v>38.814295682481891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7.75</v>
      </c>
      <c r="AI64" s="13">
        <f>IF('Données projet'!$A$62&gt;35,AI63+AH64-AQ63,IF(A64&lt;'Données projet'!$A$62,$AF$205^A64,IF(A64='Données projet'!$A$62,'Données projet'!$B$62,AI63+AH64-AQ63)))</f>
        <v>186.25000000000017</v>
      </c>
      <c r="AJ64" s="13">
        <f>AI64*VLOOKUP('Données projet'!$B$10,Paramètres!$A$1:$I$89,3,0)*VLOOKUP('Données projet'!$B$10,Paramètres!$A$1:$I$89,5,0)</f>
        <v>168.51900000000015</v>
      </c>
      <c r="AK64" s="13">
        <f t="shared" si="35"/>
        <v>42.758160126563205</v>
      </c>
      <c r="AL64" s="20">
        <f t="shared" si="4"/>
        <v>367.9743872204312</v>
      </c>
      <c r="AM64" s="59">
        <f t="shared" si="5"/>
        <v>661.30772055376451</v>
      </c>
      <c r="AN64" s="59">
        <f ca="1">AVERAGE(OFFSET($AM$3,0,0,'Données projet'!$E$10+1,1))-AVERAGE(OFFSET($H$3,0,0,'Données projet'!$E$10+1,1))</f>
        <v>215.7418266360167</v>
      </c>
      <c r="AO64" s="59">
        <f t="shared" si="36"/>
        <v>155.78420008229949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8.1249723666912335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8.1249723666912335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7.5</v>
      </c>
      <c r="N65" s="13">
        <f>IF('Données projet'!$A$36&gt;35,N64+M65-V64,IF(A65&lt;'Données projet'!$A$36,$K$205^A65,IF(A65='Données projet'!$A$36,'Données projet'!$B$36,N64+M65-V64)))</f>
        <v>236.00000000000006</v>
      </c>
      <c r="O65" s="13">
        <f>N65*VLOOKUP('Données projet'!$B$9,Paramètres!$A$1:$I$89,3,0)*VLOOKUP('Données projet'!$B$9,Paramètres!$A$1:$I$89,5,0)</f>
        <v>110.44800000000004</v>
      </c>
      <c r="P65" s="13">
        <f t="shared" si="33"/>
        <v>29.436511885319565</v>
      </c>
      <c r="Q65" s="20">
        <f t="shared" si="53"/>
        <v>243.63219153359827</v>
      </c>
      <c r="R65" s="59">
        <f t="shared" si="0"/>
        <v>536.96552486693156</v>
      </c>
      <c r="S65" s="59">
        <f ca="1">AVERAGE(OFFSET($R$3,0,0,'Données projet'!$E$9+1,1))-AVERAGE(OFFSET($H$3,0,0,'Données projet'!$E$9+1,1))</f>
        <v>107.39524504744702</v>
      </c>
      <c r="T65" s="59">
        <f t="shared" si="34"/>
        <v>102.66420075171004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28.213707719452188</v>
      </c>
      <c r="AA65" s="21">
        <f>EXP(-LN(2)/25)*AA64+(1-EXP(-LN(2)/25))/(LN(2)/25)*Calculateur!V65*Calculateur!X65*VLOOKUP('Données projet'!$B$9,Paramètres!$A$1:$I$89,3,0)*0.475*44/12</f>
        <v>7.5585181492083544</v>
      </c>
      <c r="AB65" s="21">
        <f>EXP(-LN(2)/2)*AB64+(1-EXP(-LN(2)/2))/(LN(2)/2)*V65*Y65*VLOOKUP('Données projet'!$B$9,Paramètres!$A$1:$I$89,3,0)*0.475*44/12</f>
        <v>1.6017746137777498</v>
      </c>
      <c r="AC65" s="22">
        <f t="shared" si="3"/>
        <v>37.374000482438291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194</v>
      </c>
      <c r="AG65" s="12">
        <f>VLOOKUP(A65,'Données projet'!$A$61:$I$81,9,0)</f>
        <v>7.75</v>
      </c>
      <c r="AH65" s="12">
        <f t="array" ref="AH65">INDEX(AG:AG,MIN(IF(ISNUMBER(AG65:AG261),ROW(AG65:AG261),"")))</f>
        <v>7.75</v>
      </c>
      <c r="AI65" s="13">
        <f>IF('Données projet'!$A$62&gt;35,AI64+AH65-AQ64,IF(A65&lt;'Données projet'!$A$62,$AF$205^A65,IF(A65='Données projet'!$A$62,'Données projet'!$B$62,AI64+AH65-AQ64)))</f>
        <v>194.00000000000017</v>
      </c>
      <c r="AJ65" s="13">
        <f>AI65*VLOOKUP('Données projet'!$B$10,Paramètres!$A$1:$I$89,3,0)*VLOOKUP('Données projet'!$B$10,Paramètres!$A$1:$I$89,5,0)</f>
        <v>175.53120000000015</v>
      </c>
      <c r="AK65" s="13">
        <f t="shared" si="35"/>
        <v>44.326510481422531</v>
      </c>
      <c r="AL65" s="20">
        <f t="shared" si="4"/>
        <v>382.9188457551445</v>
      </c>
      <c r="AM65" s="59">
        <f t="shared" si="5"/>
        <v>676.25217908847776</v>
      </c>
      <c r="AN65" s="59">
        <f ca="1">AVERAGE(OFFSET($AM$3,0,0,'Données projet'!$E$10+1,1))-AVERAGE(OFFSET($H$3,0,0,'Données projet'!$E$10+1,1))</f>
        <v>215.7418266360167</v>
      </c>
      <c r="AO65" s="59">
        <f t="shared" si="36"/>
        <v>155.78420008229949</v>
      </c>
      <c r="AP65" s="15">
        <f>IF(ISNA(VLOOKUP(A65,'Données projet'!$A$61:$I$81,3,0)),0,VLOOKUP(A65,'Données projet'!$A$61:$I$81,3,0))</f>
        <v>5</v>
      </c>
      <c r="AQ65" s="15">
        <f>IF(ISNA(VLOOKUP(A65,'Données projet'!$A$61:$I$81,4,0)),0,VLOOKUP(A65,'Données projet'!$A$61:$I$81,4,0))</f>
        <v>39</v>
      </c>
      <c r="AR65" s="16">
        <f>IF(ISNA(VLOOKUP(A65,'Données projet'!$A$61:$I$81,5,0)),0%,VLOOKUP(A65,'Données projet'!$A$61:$I$81,5,0)*VLOOKUP('Données projet'!$B$10,Paramètres!$A$1:$I$89,7,0))</f>
        <v>0.30099999999999999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19.70734188169741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19.70734188169741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7.5</v>
      </c>
      <c r="N66" s="13">
        <f>IF('Données projet'!$A$36&gt;35,N65+M66-V65,IF(A66&lt;'Données projet'!$A$36,$K$205^A66,IF(A66='Données projet'!$A$36,'Données projet'!$B$36,N65+M66-V65)))</f>
        <v>243.50000000000006</v>
      </c>
      <c r="O66" s="13">
        <f>N66*VLOOKUP('Données projet'!$B$9,Paramètres!$A$1:$I$89,3,0)*VLOOKUP('Données projet'!$B$9,Paramètres!$A$1:$I$89,5,0)</f>
        <v>113.95800000000001</v>
      </c>
      <c r="P66" s="13">
        <f t="shared" si="33"/>
        <v>30.261593043834473</v>
      </c>
      <c r="Q66" s="20">
        <f t="shared" si="53"/>
        <v>251.18245788467843</v>
      </c>
      <c r="R66" s="59">
        <f t="shared" si="0"/>
        <v>544.51579121801171</v>
      </c>
      <c r="S66" s="59">
        <f ca="1">AVERAGE(OFFSET($R$3,0,0,'Données projet'!$E$9+1,1))-AVERAGE(OFFSET($H$3,0,0,'Données projet'!$E$9+1,1))</f>
        <v>107.39524504744702</v>
      </c>
      <c r="T66" s="59">
        <f t="shared" si="34"/>
        <v>102.66420075171004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27.660454119736226</v>
      </c>
      <c r="AA66" s="21">
        <f>EXP(-LN(2)/25)*AA65+(1-EXP(-LN(2)/25))/(LN(2)/25)*Calculateur!V66*Calculateur!X66*VLOOKUP('Données projet'!$B$9,Paramètres!$A$1:$I$89,3,0)*0.475*44/12</f>
        <v>7.3518300729330575</v>
      </c>
      <c r="AB66" s="21">
        <f>EXP(-LN(2)/2)*AB65+(1-EXP(-LN(2)/2))/(LN(2)/2)*V66*Y66*VLOOKUP('Données projet'!$B$9,Paramètres!$A$1:$I$89,3,0)*0.475*44/12</f>
        <v>1.1326256913347101</v>
      </c>
      <c r="AC66" s="22">
        <f t="shared" si="3"/>
        <v>36.144909884003994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8.125</v>
      </c>
      <c r="AI66" s="13">
        <f>IF('Données projet'!$A$62&gt;35,AI65+AH66-AQ65,IF(A66&lt;'Données projet'!$A$62,$AF$205^A66,IF(A66='Données projet'!$A$62,'Données projet'!$B$62,AI65+AH66-AQ65)))</f>
        <v>163.12500000000017</v>
      </c>
      <c r="AJ66" s="13">
        <f>AI66*VLOOKUP('Données projet'!$B$10,Paramètres!$A$1:$I$89,3,0)*VLOOKUP('Données projet'!$B$10,Paramètres!$A$1:$I$89,5,0)</f>
        <v>147.59550000000016</v>
      </c>
      <c r="AK66" s="13">
        <f t="shared" si="35"/>
        <v>38.031641509673541</v>
      </c>
      <c r="AL66" s="20">
        <f t="shared" si="4"/>
        <v>323.30060479601497</v>
      </c>
      <c r="AM66" s="59">
        <f t="shared" si="5"/>
        <v>616.63393812934828</v>
      </c>
      <c r="AN66" s="59">
        <f ca="1">AVERAGE(OFFSET($AM$3,0,0,'Données projet'!$E$10+1,1))-AVERAGE(OFFSET($H$3,0,0,'Données projet'!$E$10+1,1))</f>
        <v>215.7418266360167</v>
      </c>
      <c r="AO66" s="59">
        <f t="shared" si="36"/>
        <v>155.78420008229949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19.320892927688966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19.320892927688966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7.5</v>
      </c>
      <c r="N67" s="13">
        <f>IF('Données projet'!$A$36&gt;35,N66+M67-V66,IF(A67&lt;'Données projet'!$A$36,$K$205^A67,IF(A67='Données projet'!$A$36,'Données projet'!$B$36,N66+M67-V66)))</f>
        <v>251.00000000000006</v>
      </c>
      <c r="O67" s="13">
        <f>N67*VLOOKUP('Données projet'!$B$9,Paramètres!$A$1:$I$89,3,0)*VLOOKUP('Données projet'!$B$9,Paramètres!$A$1:$I$89,5,0)</f>
        <v>117.46800000000002</v>
      </c>
      <c r="P67" s="13">
        <f t="shared" si="33"/>
        <v>31.083720911509399</v>
      </c>
      <c r="Q67" s="20">
        <f t="shared" ref="Q67:Q98" si="54">(O67+P67)*0.475*44/12</f>
        <v>258.72758058754556</v>
      </c>
      <c r="R67" s="59">
        <f t="shared" ref="R67:R130" si="55">Q67+(I67+J67)*44/12</f>
        <v>552.06091392087887</v>
      </c>
      <c r="S67" s="59">
        <f ca="1">AVERAGE(OFFSET($R$3,0,0,'Données projet'!$E$9+1,1))-AVERAGE(OFFSET($H$3,0,0,'Données projet'!$E$9+1,1))</f>
        <v>107.39524504744702</v>
      </c>
      <c r="T67" s="59">
        <f t="shared" si="34"/>
        <v>102.66420075171004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27.118049485659316</v>
      </c>
      <c r="AA67" s="21">
        <f>EXP(-LN(2)/25)*AA66+(1-EXP(-LN(2)/25))/(LN(2)/25)*Calculateur!V67*Calculateur!X67*VLOOKUP('Données projet'!$B$9,Paramètres!$A$1:$I$89,3,0)*0.475*44/12</f>
        <v>7.1507938929727626</v>
      </c>
      <c r="AB67" s="21">
        <f>EXP(-LN(2)/2)*AB66+(1-EXP(-LN(2)/2))/(LN(2)/2)*V67*Y67*VLOOKUP('Données projet'!$B$9,Paramètres!$A$1:$I$89,3,0)*0.475*44/12</f>
        <v>0.80088730688887511</v>
      </c>
      <c r="AC67" s="22">
        <f t="shared" si="3"/>
        <v>35.069730685520952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8.125</v>
      </c>
      <c r="AI67" s="13">
        <f>IF('Données projet'!$A$62&gt;35,AI66+AH67-AQ66,IF(A67&lt;'Données projet'!$A$62,$AF$205^A67,IF(A67='Données projet'!$A$62,'Données projet'!$B$62,AI66+AH67-AQ66)))</f>
        <v>171.25000000000017</v>
      </c>
      <c r="AJ67" s="13">
        <f>AI67*VLOOKUP('Données projet'!$B$10,Paramètres!$A$1:$I$89,3,0)*VLOOKUP('Données projet'!$B$10,Paramètres!$A$1:$I$89,5,0)</f>
        <v>154.94700000000014</v>
      </c>
      <c r="AK67" s="13">
        <f t="shared" si="35"/>
        <v>39.700677278097231</v>
      </c>
      <c r="AL67" s="20">
        <f t="shared" si="4"/>
        <v>339.01137125935287</v>
      </c>
      <c r="AM67" s="59">
        <f t="shared" si="5"/>
        <v>632.34470459268618</v>
      </c>
      <c r="AN67" s="59">
        <f ca="1">AVERAGE(OFFSET($AM$3,0,0,'Données projet'!$E$10+1,1))-AVERAGE(OFFSET($H$3,0,0,'Données projet'!$E$10+1,1))</f>
        <v>215.7418266360167</v>
      </c>
      <c r="AO67" s="59">
        <f t="shared" si="36"/>
        <v>155.78420008229949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18.942022001958041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18.942022001958041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7.5</v>
      </c>
      <c r="N68" s="13">
        <f>IF('Données projet'!$A$36&gt;35,N67+M68-V67,IF(A68&lt;'Données projet'!$A$36,$K$205^A68,IF(A68='Données projet'!$A$36,'Données projet'!$B$36,N67+M68-V67)))</f>
        <v>258.50000000000006</v>
      </c>
      <c r="O68" s="13">
        <f>N68*VLOOKUP('Données projet'!$B$9,Paramètres!$A$1:$I$89,3,0)*VLOOKUP('Données projet'!$B$9,Paramètres!$A$1:$I$89,5,0)</f>
        <v>120.97800000000002</v>
      </c>
      <c r="P68" s="13">
        <f t="shared" si="33"/>
        <v>31.902993864447531</v>
      </c>
      <c r="Q68" s="20">
        <f t="shared" si="54"/>
        <v>266.26773098057953</v>
      </c>
      <c r="R68" s="59">
        <f t="shared" si="55"/>
        <v>559.60106431391284</v>
      </c>
      <c r="S68" s="59">
        <f ca="1">AVERAGE(OFFSET($R$3,0,0,'Données projet'!$E$9+1,1))-AVERAGE(OFFSET($H$3,0,0,'Données projet'!$E$9+1,1))</f>
        <v>107.39524504744702</v>
      </c>
      <c r="T68" s="59">
        <f t="shared" si="34"/>
        <v>102.66420075171004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26.586281075622498</v>
      </c>
      <c r="AA68" s="21">
        <f>EXP(-LN(2)/25)*AA67+(1-EXP(-LN(2)/25))/(LN(2)/25)*Calculateur!V68*Calculateur!X68*VLOOKUP('Données projet'!$B$9,Paramètres!$A$1:$I$89,3,0)*0.475*44/12</f>
        <v>6.9552550579255152</v>
      </c>
      <c r="AB68" s="21">
        <f>EXP(-LN(2)/2)*AB67+(1-EXP(-LN(2)/2))/(LN(2)/2)*V68*Y68*VLOOKUP('Données projet'!$B$9,Paramètres!$A$1:$I$89,3,0)*0.475*44/12</f>
        <v>0.56631284566735518</v>
      </c>
      <c r="AC68" s="22">
        <f t="shared" ref="AC68:AC131" si="57">SUM(Z68:AB68)</f>
        <v>34.107848979215369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8.125</v>
      </c>
      <c r="AI68" s="13">
        <f>IF('Données projet'!$A$62&gt;35,AI67+AH68-AQ67,IF(A68&lt;'Données projet'!$A$62,$AF$205^A68,IF(A68='Données projet'!$A$62,'Données projet'!$B$62,AI67+AH68-AQ67)))</f>
        <v>179.37500000000017</v>
      </c>
      <c r="AJ68" s="13">
        <f>AI68*VLOOKUP('Données projet'!$B$10,Paramètres!$A$1:$I$89,3,0)*VLOOKUP('Données projet'!$B$10,Paramètres!$A$1:$I$89,5,0)</f>
        <v>162.29850000000016</v>
      </c>
      <c r="AK68" s="13">
        <f t="shared" si="35"/>
        <v>41.36051734610367</v>
      </c>
      <c r="AL68" s="20">
        <f t="shared" ref="AL68:AL131" si="58">(AJ68+AK68)*0.475*44/12</f>
        <v>354.70612187779744</v>
      </c>
      <c r="AM68" s="59">
        <f t="shared" ref="AM68:AM131" si="59">AL68+(AD68+AE68)*44/12</f>
        <v>648.03945521113076</v>
      </c>
      <c r="AN68" s="59">
        <f ca="1">AVERAGE(OFFSET($AM$3,0,0,'Données projet'!$E$10+1,1))-AVERAGE(OFFSET($H$3,0,0,'Données projet'!$E$10+1,1))</f>
        <v>215.7418266360167</v>
      </c>
      <c r="AO68" s="59">
        <f t="shared" si="36"/>
        <v>155.78420008229949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18.57058050399225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18.57058050399225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7.5</v>
      </c>
      <c r="N69" s="13">
        <f>IF('Données projet'!$A$36&gt;35,N68+M69-V68,IF(A69&lt;'Données projet'!$A$36,$K$205^A69,IF(A69='Données projet'!$A$36,'Données projet'!$B$36,N68+M69-V68)))</f>
        <v>266.00000000000006</v>
      </c>
      <c r="O69" s="13">
        <f>N69*VLOOKUP('Données projet'!$B$9,Paramètres!$A$1:$I$89,3,0)*VLOOKUP('Données projet'!$B$9,Paramètres!$A$1:$I$89,5,0)</f>
        <v>124.48800000000003</v>
      </c>
      <c r="P69" s="13">
        <f t="shared" ref="P69:P132" si="87">EXP(-1.0587+0.8836*LN(O69)+0.284)</f>
        <v>32.719504245667295</v>
      </c>
      <c r="Q69" s="20">
        <f t="shared" si="54"/>
        <v>273.80306989453726</v>
      </c>
      <c r="R69" s="59">
        <f t="shared" si="55"/>
        <v>567.13640322787057</v>
      </c>
      <c r="S69" s="59">
        <f ca="1">AVERAGE(OFFSET($R$3,0,0,'Données projet'!$E$9+1,1))-AVERAGE(OFFSET($H$3,0,0,'Données projet'!$E$9+1,1))</f>
        <v>107.39524504744702</v>
      </c>
      <c r="T69" s="59">
        <f t="shared" ref="T69:T132" si="88">$T$3</f>
        <v>102.66420075171004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26.064940319759796</v>
      </c>
      <c r="AA69" s="21">
        <f>EXP(-LN(2)/25)*AA68+(1-EXP(-LN(2)/25))/(LN(2)/25)*Calculateur!V69*Calculateur!X69*VLOOKUP('Données projet'!$B$9,Paramètres!$A$1:$I$89,3,0)*0.475*44/12</f>
        <v>6.7650632426055752</v>
      </c>
      <c r="AB69" s="21">
        <f>EXP(-LN(2)/2)*AB68+(1-EXP(-LN(2)/2))/(LN(2)/2)*V69*Y69*VLOOKUP('Données projet'!$B$9,Paramètres!$A$1:$I$89,3,0)*0.475*44/12</f>
        <v>0.40044365344443761</v>
      </c>
      <c r="AC69" s="22">
        <f t="shared" si="57"/>
        <v>33.230447215809811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8.125</v>
      </c>
      <c r="AI69" s="13">
        <f>IF('Données projet'!$A$62&gt;35,AI68+AH69-AQ68,IF(A69&lt;'Données projet'!$A$62,$AF$205^A69,IF(A69='Données projet'!$A$62,'Données projet'!$B$62,AI68+AH69-AQ68)))</f>
        <v>187.50000000000017</v>
      </c>
      <c r="AJ69" s="13">
        <f>AI69*VLOOKUP('Données projet'!$B$10,Paramètres!$A$1:$I$89,3,0)*VLOOKUP('Données projet'!$B$10,Paramètres!$A$1:$I$89,5,0)</f>
        <v>169.65000000000015</v>
      </c>
      <c r="AK69" s="13">
        <f t="shared" ref="AK69:AK132" si="89">EXP(-1.0587+0.8836*LN(AJ69)+0.284)</f>
        <v>43.01162582831487</v>
      </c>
      <c r="AL69" s="20">
        <f t="shared" si="58"/>
        <v>370.38566498431533</v>
      </c>
      <c r="AM69" s="59">
        <f t="shared" si="59"/>
        <v>663.71899831764858</v>
      </c>
      <c r="AN69" s="59">
        <f ca="1">AVERAGE(OFFSET($AM$3,0,0,'Données projet'!$E$10+1,1))-AVERAGE(OFFSET($H$3,0,0,'Données projet'!$E$10+1,1))</f>
        <v>215.7418266360167</v>
      </c>
      <c r="AO69" s="59">
        <f t="shared" ref="AO69:AO132" si="90">$AO$3</f>
        <v>155.78420008229949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18.206422747244627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18.206422747244627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7.5</v>
      </c>
      <c r="N70" s="13">
        <f>IF('Données projet'!$A$36&gt;35,N69+M70-V69,IF(A70&lt;'Données projet'!$A$36,$K$205^A70,IF(A70='Données projet'!$A$36,'Données projet'!$B$36,N69+M70-V69)))</f>
        <v>273.50000000000006</v>
      </c>
      <c r="O70" s="13">
        <f>N70*VLOOKUP('Données projet'!$B$9,Paramètres!$A$1:$I$89,3,0)*VLOOKUP('Données projet'!$B$9,Paramètres!$A$1:$I$89,5,0)</f>
        <v>127.99800000000003</v>
      </c>
      <c r="P70" s="13">
        <f t="shared" si="87"/>
        <v>33.533338894635342</v>
      </c>
      <c r="Q70" s="20">
        <f t="shared" si="54"/>
        <v>281.33374857482323</v>
      </c>
      <c r="R70" s="59">
        <f t="shared" si="55"/>
        <v>574.66708190815655</v>
      </c>
      <c r="S70" s="59">
        <f ca="1">AVERAGE(OFFSET($R$3,0,0,'Données projet'!$E$9+1,1))-AVERAGE(OFFSET($H$3,0,0,'Données projet'!$E$9+1,1))</f>
        <v>107.39524504744702</v>
      </c>
      <c r="T70" s="59">
        <f t="shared" si="88"/>
        <v>102.66420075171004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25.5538227381331</v>
      </c>
      <c r="AA70" s="21">
        <f>EXP(-LN(2)/25)*AA69+(1-EXP(-LN(2)/25))/(LN(2)/25)*Calculateur!V70*Calculateur!X70*VLOOKUP('Données projet'!$B$9,Paramètres!$A$1:$I$89,3,0)*0.475*44/12</f>
        <v>6.5800722324773115</v>
      </c>
      <c r="AB70" s="21">
        <f>EXP(-LN(2)/2)*AB69+(1-EXP(-LN(2)/2))/(LN(2)/2)*V70*Y70*VLOOKUP('Données projet'!$B$9,Paramètres!$A$1:$I$89,3,0)*0.475*44/12</f>
        <v>0.28315642283367765</v>
      </c>
      <c r="AC70" s="22">
        <f t="shared" si="57"/>
        <v>32.41705139344409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8.125</v>
      </c>
      <c r="AI70" s="13">
        <f>IF('Données projet'!$A$62&gt;35,AI69+AH70-AQ69,IF(A70&lt;'Données projet'!$A$62,$AF$205^A70,IF(A70='Données projet'!$A$62,'Données projet'!$B$62,AI69+AH70-AQ69)))</f>
        <v>195.62500000000017</v>
      </c>
      <c r="AJ70" s="13">
        <f>AI70*VLOOKUP('Données projet'!$B$10,Paramètres!$A$1:$I$89,3,0)*VLOOKUP('Données projet'!$B$10,Paramètres!$A$1:$I$89,5,0)</f>
        <v>177.00150000000014</v>
      </c>
      <c r="AK70" s="13">
        <f t="shared" si="89"/>
        <v>44.654424341380576</v>
      </c>
      <c r="AL70" s="20">
        <f t="shared" si="58"/>
        <v>386.05073489457141</v>
      </c>
      <c r="AM70" s="59">
        <f t="shared" si="59"/>
        <v>679.38406822790466</v>
      </c>
      <c r="AN70" s="59">
        <f ca="1">AVERAGE(OFFSET($AM$3,0,0,'Données projet'!$E$10+1,1))-AVERAGE(OFFSET($H$3,0,0,'Données projet'!$E$10+1,1))</f>
        <v>215.7418266360167</v>
      </c>
      <c r="AO70" s="59">
        <f t="shared" si="90"/>
        <v>155.78420008229949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17.849405901992526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17.849405901992526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7.5</v>
      </c>
      <c r="N71" s="13">
        <f>IF('Données projet'!$A$36&gt;35,N70+M71-V70,IF(A71&lt;'Données projet'!$A$36,$K$205^A71,IF(A71='Données projet'!$A$36,'Données projet'!$B$36,N70+M71-V70)))</f>
        <v>281.00000000000006</v>
      </c>
      <c r="O71" s="13">
        <f>N71*VLOOKUP('Données projet'!$B$9,Paramètres!$A$1:$I$89,3,0)*VLOOKUP('Données projet'!$B$9,Paramètres!$A$1:$I$89,5,0)</f>
        <v>131.50800000000001</v>
      </c>
      <c r="P71" s="13">
        <f t="shared" si="87"/>
        <v>34.344579617082509</v>
      </c>
      <c r="Q71" s="20">
        <f t="shared" si="54"/>
        <v>288.85990949975201</v>
      </c>
      <c r="R71" s="59">
        <f t="shared" si="55"/>
        <v>582.19324283308538</v>
      </c>
      <c r="S71" s="59">
        <f ca="1">AVERAGE(OFFSET($R$3,0,0,'Données projet'!$E$9+1,1))-AVERAGE(OFFSET($H$3,0,0,'Données projet'!$E$9+1,1))</f>
        <v>107.39524504744702</v>
      </c>
      <c r="T71" s="59">
        <f t="shared" si="88"/>
        <v>102.66420075171004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25.05272786053116</v>
      </c>
      <c r="AA71" s="21">
        <f>EXP(-LN(2)/25)*AA70+(1-EXP(-LN(2)/25))/(LN(2)/25)*Calculateur!V71*Calculateur!X71*VLOOKUP('Données projet'!$B$9,Paramètres!$A$1:$I$89,3,0)*0.475*44/12</f>
        <v>6.40013981124926</v>
      </c>
      <c r="AB71" s="21">
        <f>EXP(-LN(2)/2)*AB70+(1-EXP(-LN(2)/2))/(LN(2)/2)*V71*Y71*VLOOKUP('Données projet'!$B$9,Paramètres!$A$1:$I$89,3,0)*0.475*44/12</f>
        <v>0.20022182672221883</v>
      </c>
      <c r="AC71" s="22">
        <f t="shared" si="57"/>
        <v>31.653089498502641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8.125</v>
      </c>
      <c r="AI71" s="13">
        <f>IF('Données projet'!$A$62&gt;35,AI70+AH71-AQ70,IF(A71&lt;'Données projet'!$A$62,$AF$205^A71,IF(A71='Données projet'!$A$62,'Données projet'!$B$62,AI70+AH71-AQ70)))</f>
        <v>203.75000000000017</v>
      </c>
      <c r="AJ71" s="13">
        <f>AI71*VLOOKUP('Données projet'!$B$10,Paramètres!$A$1:$I$89,3,0)*VLOOKUP('Données projet'!$B$10,Paramètres!$A$1:$I$89,5,0)</f>
        <v>184.35300000000015</v>
      </c>
      <c r="AK71" s="13">
        <f t="shared" si="89"/>
        <v>46.289297497980243</v>
      </c>
      <c r="AL71" s="20">
        <f t="shared" si="58"/>
        <v>401.70200147564918</v>
      </c>
      <c r="AM71" s="59">
        <f t="shared" si="59"/>
        <v>695.0353348089825</v>
      </c>
      <c r="AN71" s="59">
        <f ca="1">AVERAGE(OFFSET($AM$3,0,0,'Données projet'!$E$10+1,1))-AVERAGE(OFFSET($H$3,0,0,'Données projet'!$E$10+1,1))</f>
        <v>215.7418266360167</v>
      </c>
      <c r="AO71" s="59">
        <f t="shared" si="90"/>
        <v>155.78420008229949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17.499389939317044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17.499389939317044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7.5</v>
      </c>
      <c r="N72" s="13">
        <f>IF('Données projet'!$A$36&gt;35,N71+M72-V71,IF(A72&lt;'Données projet'!$A$36,$K$205^A72,IF(A72='Données projet'!$A$36,'Données projet'!$B$36,N71+M72-V71)))</f>
        <v>288.50000000000006</v>
      </c>
      <c r="O72" s="13">
        <f>N72*VLOOKUP('Données projet'!$B$9,Paramètres!$A$1:$I$89,3,0)*VLOOKUP('Données projet'!$B$9,Paramètres!$A$1:$I$89,5,0)</f>
        <v>135.01800000000003</v>
      </c>
      <c r="P72" s="13">
        <f t="shared" si="87"/>
        <v>35.153303603250578</v>
      </c>
      <c r="Q72" s="20">
        <f t="shared" si="54"/>
        <v>296.38168710899475</v>
      </c>
      <c r="R72" s="59">
        <f t="shared" si="55"/>
        <v>589.71502044232807</v>
      </c>
      <c r="S72" s="59">
        <f ca="1">AVERAGE(OFFSET($R$3,0,0,'Données projet'!$E$9+1,1))-AVERAGE(OFFSET($H$3,0,0,'Données projet'!$E$9+1,1))</f>
        <v>107.39524504744702</v>
      </c>
      <c r="T72" s="59">
        <f t="shared" si="88"/>
        <v>102.66420075171004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24.561459147841301</v>
      </c>
      <c r="AA72" s="21">
        <f>EXP(-LN(2)/25)*AA71+(1-EXP(-LN(2)/25))/(LN(2)/25)*Calculateur!V72*Calculateur!X72*VLOOKUP('Données projet'!$B$9,Paramètres!$A$1:$I$89,3,0)*0.475*44/12</f>
        <v>6.225127651541924</v>
      </c>
      <c r="AB72" s="21">
        <f>EXP(-LN(2)/2)*AB71+(1-EXP(-LN(2)/2))/(LN(2)/2)*V72*Y72*VLOOKUP('Données projet'!$B$9,Paramètres!$A$1:$I$89,3,0)*0.475*44/12</f>
        <v>0.14157821141683882</v>
      </c>
      <c r="AC72" s="22">
        <f t="shared" si="57"/>
        <v>30.928165010800065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8.125</v>
      </c>
      <c r="AI72" s="13">
        <f>IF('Données projet'!$A$62&gt;35,AI71+AH72-AQ71,IF(A72&lt;'Données projet'!$A$62,$AF$205^A72,IF(A72='Données projet'!$A$62,'Données projet'!$B$62,AI71+AH72-AQ71)))</f>
        <v>211.87500000000017</v>
      </c>
      <c r="AJ72" s="13">
        <f>AI72*VLOOKUP('Données projet'!$B$10,Paramètres!$A$1:$I$89,3,0)*VLOOKUP('Données projet'!$B$10,Paramètres!$A$1:$I$89,5,0)</f>
        <v>191.70450000000014</v>
      </c>
      <c r="AK72" s="13">
        <f t="shared" si="89"/>
        <v>47.916597499815005</v>
      </c>
      <c r="AL72" s="20">
        <f t="shared" si="58"/>
        <v>417.34007814551131</v>
      </c>
      <c r="AM72" s="59">
        <f t="shared" si="59"/>
        <v>710.67341147884463</v>
      </c>
      <c r="AN72" s="59">
        <f ca="1">AVERAGE(OFFSET($AM$3,0,0,'Données projet'!$E$10+1,1))-AVERAGE(OFFSET($H$3,0,0,'Données projet'!$E$10+1,1))</f>
        <v>215.7418266360167</v>
      </c>
      <c r="AO72" s="59">
        <f t="shared" si="90"/>
        <v>155.78420008229949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17.156237576180974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17.156237576180974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296</v>
      </c>
      <c r="L73" s="12">
        <f>VLOOKUP(A73,'Données projet'!$A$35:$I$55,9,0)</f>
        <v>7.5</v>
      </c>
      <c r="M73" s="12">
        <f t="array" ref="M73">INDEX(L:L,MIN(IF(ISNUMBER(L73:L269),ROW(L73:L269),"")))</f>
        <v>7.5</v>
      </c>
      <c r="N73" s="13">
        <f>IF('Données projet'!$A$36&gt;35,N72+M73-V72,IF(A73&lt;'Données projet'!$A$36,$K$205^A73,IF(A73='Données projet'!$A$36,'Données projet'!$B$36,N72+M73-V72)))</f>
        <v>296.00000000000006</v>
      </c>
      <c r="O73" s="13">
        <f>N73*VLOOKUP('Données projet'!$B$9,Paramètres!$A$1:$I$89,3,0)*VLOOKUP('Données projet'!$B$9,Paramètres!$A$1:$I$89,5,0)</f>
        <v>138.52800000000002</v>
      </c>
      <c r="P73" s="13">
        <f t="shared" si="87"/>
        <v>35.959583801423804</v>
      </c>
      <c r="Q73" s="20">
        <f t="shared" si="54"/>
        <v>303.8992084541465</v>
      </c>
      <c r="R73" s="59">
        <f t="shared" si="55"/>
        <v>597.23254178747982</v>
      </c>
      <c r="S73" s="59">
        <f ca="1">AVERAGE(OFFSET($R$3,0,0,'Données projet'!$E$9+1,1))-AVERAGE(OFFSET($H$3,0,0,'Données projet'!$E$9+1,1))</f>
        <v>107.39524504744702</v>
      </c>
      <c r="T73" s="59">
        <f t="shared" si="88"/>
        <v>102.66420075171004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45</v>
      </c>
      <c r="W73" s="16">
        <f>IF(ISNA(VLOOKUP(A73,'Données projet'!$A$35:$I$55,5,0)),0%,VLOOKUP(A73,'Données projet'!$A$35:$I$55,5,0)*VLOOKUP('Données projet'!$B$9,Paramètres!$A$1:$I$89,7,0))</f>
        <v>0.38500000000000001</v>
      </c>
      <c r="X73" s="16">
        <f>IF(ISNA(VLOOKUP(A73,'Données projet'!$A$35:$I$55,6,0)),0%,VLOOKUP(A73,'Données projet'!$A$35:$I$55,6,0)*VLOOKUP('Données projet'!$B$9,Paramètres!$A$1:$I$89,7,0))</f>
        <v>9.3500000000000014E-2</v>
      </c>
      <c r="Y73" s="16">
        <f>IF(ISNA(VLOOKUP(A73,'Données projet'!$A$35:$I$55,7,0)),0%,VLOOKUP(A73,'Données projet'!$A$35:$I$55,7,0))</f>
        <v>0.13</v>
      </c>
      <c r="Z73" s="21">
        <f>EXP(-LN(2)/35)*Z72+(1-EXP(-LN(2)/35))/(LN(2)/35)*V73*W73*VLOOKUP('Données projet'!$B$9,Paramètres!$A$1:$I$89,3,0)*0.475*44/12</f>
        <v>34.8357411761123</v>
      </c>
      <c r="AA73" s="21">
        <f>EXP(-LN(2)/25)*AA72+(1-EXP(-LN(2)/25))/(LN(2)/25)*Calculateur!V73*Calculateur!X73*VLOOKUP('Données projet'!$B$9,Paramètres!$A$1:$I$89,3,0)*0.475*44/12</f>
        <v>8.6567675082828313</v>
      </c>
      <c r="AB73" s="21">
        <f>EXP(-LN(2)/2)*AB72+(1-EXP(-LN(2)/2))/(LN(2)/2)*V73*Y73*VLOOKUP('Données projet'!$B$9,Paramètres!$A$1:$I$89,3,0)*0.475*44/12</f>
        <v>3.1999364975290674</v>
      </c>
      <c r="AC73" s="22">
        <f t="shared" si="57"/>
        <v>46.692445181924199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220</v>
      </c>
      <c r="AG73" s="12">
        <f>VLOOKUP(A73,'Données projet'!$A$61:$I$81,9,0)</f>
        <v>8.125</v>
      </c>
      <c r="AH73" s="12">
        <f t="array" ref="AH73">INDEX(AG:AG,MIN(IF(ISNUMBER(AG73:AG269),ROW(AG73:AG269),"")))</f>
        <v>8.125</v>
      </c>
      <c r="AI73" s="13">
        <f>IF('Données projet'!$A$62&gt;35,AI72+AH73-AQ72,IF(A73&lt;'Données projet'!$A$62,$AF$205^A73,IF(A73='Données projet'!$A$62,'Données projet'!$B$62,AI72+AH73-AQ72)))</f>
        <v>220.00000000000017</v>
      </c>
      <c r="AJ73" s="13">
        <f>AI73*VLOOKUP('Données projet'!$B$10,Paramètres!$A$1:$I$89,3,0)*VLOOKUP('Données projet'!$B$10,Paramètres!$A$1:$I$89,5,0)</f>
        <v>199.05600000000015</v>
      </c>
      <c r="AK73" s="13">
        <f t="shared" si="89"/>
        <v>49.536648006253976</v>
      </c>
      <c r="AL73" s="20">
        <f t="shared" si="58"/>
        <v>432.96552861089259</v>
      </c>
      <c r="AM73" s="59">
        <f t="shared" si="59"/>
        <v>726.29886194422591</v>
      </c>
      <c r="AN73" s="59">
        <f ca="1">AVERAGE(OFFSET($AM$3,0,0,'Données projet'!$E$10+1,1))-AVERAGE(OFFSET($H$3,0,0,'Données projet'!$E$10+1,1))</f>
        <v>215.7418266360167</v>
      </c>
      <c r="AO73" s="59">
        <f t="shared" si="90"/>
        <v>155.78420008229949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53</v>
      </c>
      <c r="AR73" s="16">
        <f>IF(ISNA(VLOOKUP(A73,'Données projet'!$A$61:$I$81,5,0)),0%,VLOOKUP(A73,'Données projet'!$A$61:$I$81,5,0)*VLOOKUP('Données projet'!$B$10,Paramètres!$A$1:$I$89,7,0))</f>
        <v>0.30099999999999999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32.77647702083447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32.77647702083447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8.9</v>
      </c>
      <c r="N74" s="13">
        <f>IF('Données projet'!$A$36&gt;35,N73+M74-V73,IF(A74&lt;'Données projet'!$A$36,$K$205^A74,IF(A74='Données projet'!$A$36,'Données projet'!$B$36,N73+M74-V73)))</f>
        <v>259.90000000000003</v>
      </c>
      <c r="O74" s="13">
        <f>N74*VLOOKUP('Données projet'!$B$9,Paramètres!$A$1:$I$89,3,0)*VLOOKUP('Données projet'!$B$9,Paramètres!$A$1:$I$89,5,0)</f>
        <v>121.63320000000002</v>
      </c>
      <c r="P74" s="13">
        <f t="shared" si="87"/>
        <v>32.05561616599968</v>
      </c>
      <c r="Q74" s="20">
        <f t="shared" si="54"/>
        <v>267.6746881557828</v>
      </c>
      <c r="R74" s="59">
        <f t="shared" si="55"/>
        <v>561.00802148911612</v>
      </c>
      <c r="S74" s="59">
        <f ca="1">AVERAGE(OFFSET($R$3,0,0,'Données projet'!$E$9+1,1))-AVERAGE(OFFSET($H$3,0,0,'Données projet'!$E$9+1,1))</f>
        <v>107.39524504744702</v>
      </c>
      <c r="T74" s="59">
        <f t="shared" si="88"/>
        <v>102.66420075171004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34.15263353935282</v>
      </c>
      <c r="AA74" s="21">
        <f>EXP(-LN(2)/25)*AA73+(1-EXP(-LN(2)/25))/(LN(2)/25)*Calculateur!V74*Calculateur!X74*VLOOKUP('Données projet'!$B$9,Paramètres!$A$1:$I$89,3,0)*0.475*44/12</f>
        <v>8.4200477455292191</v>
      </c>
      <c r="AB74" s="21">
        <f>EXP(-LN(2)/2)*AB73+(1-EXP(-LN(2)/2))/(LN(2)/2)*V74*Y74*VLOOKUP('Données projet'!$B$9,Paramètres!$A$1:$I$89,3,0)*0.475*44/12</f>
        <v>2.2626967967691338</v>
      </c>
      <c r="AC74" s="22">
        <f t="shared" si="57"/>
        <v>44.835378081651172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7.5</v>
      </c>
      <c r="AI74" s="13">
        <f>IF('Données projet'!$A$62&gt;35,AI73+AH74-AQ73,IF(A74&lt;'Données projet'!$A$62,$AF$205^A74,IF(A74='Données projet'!$A$62,'Données projet'!$B$62,AI73+AH74-AQ73)))</f>
        <v>174.50000000000017</v>
      </c>
      <c r="AJ74" s="13">
        <f>AI74*VLOOKUP('Données projet'!$B$10,Paramètres!$A$1:$I$89,3,0)*VLOOKUP('Données projet'!$B$10,Paramètres!$A$1:$I$89,5,0)</f>
        <v>157.88760000000016</v>
      </c>
      <c r="AK74" s="13">
        <f t="shared" si="89"/>
        <v>40.365689775715261</v>
      </c>
      <c r="AL74" s="20">
        <f t="shared" si="58"/>
        <v>345.29114635937094</v>
      </c>
      <c r="AM74" s="59">
        <f t="shared" si="59"/>
        <v>638.6244796927042</v>
      </c>
      <c r="AN74" s="59">
        <f ca="1">AVERAGE(OFFSET($AM$3,0,0,'Données projet'!$E$10+1,1))-AVERAGE(OFFSET($H$3,0,0,'Données projet'!$E$10+1,1))</f>
        <v>215.7418266360167</v>
      </c>
      <c r="AO74" s="59">
        <f t="shared" si="90"/>
        <v>155.78420008229949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32.133750298132874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32.133750298132874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8.9</v>
      </c>
      <c r="N75" s="13">
        <f>IF('Données projet'!$A$36&gt;35,N74+M75-V74,IF(A75&lt;'Données projet'!$A$36,$K$205^A75,IF(A75='Données projet'!$A$36,'Données projet'!$B$36,N74+M75-V74)))</f>
        <v>268.8</v>
      </c>
      <c r="O75" s="13">
        <f>N75*VLOOKUP('Données projet'!$B$9,Paramètres!$A$1:$I$89,3,0)*VLOOKUP('Données projet'!$B$9,Paramètres!$A$1:$I$89,5,0)</f>
        <v>125.7984</v>
      </c>
      <c r="P75" s="13">
        <f t="shared" si="87"/>
        <v>33.023644363399924</v>
      </c>
      <c r="Q75" s="20">
        <f t="shared" si="54"/>
        <v>276.61506059958816</v>
      </c>
      <c r="R75" s="59">
        <f t="shared" si="55"/>
        <v>569.94839393292148</v>
      </c>
      <c r="S75" s="59">
        <f ca="1">AVERAGE(OFFSET($R$3,0,0,'Données projet'!$E$9+1,1))-AVERAGE(OFFSET($H$3,0,0,'Données projet'!$E$9+1,1))</f>
        <v>107.39524504744702</v>
      </c>
      <c r="T75" s="59">
        <f t="shared" si="88"/>
        <v>102.66420075171004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33.482921226695673</v>
      </c>
      <c r="AA75" s="21">
        <f>EXP(-LN(2)/25)*AA74+(1-EXP(-LN(2)/25))/(LN(2)/25)*Calculateur!V75*Calculateur!X75*VLOOKUP('Données projet'!$B$9,Paramètres!$A$1:$I$89,3,0)*0.475*44/12</f>
        <v>8.1898010971366553</v>
      </c>
      <c r="AB75" s="21">
        <f>EXP(-LN(2)/2)*AB74+(1-EXP(-LN(2)/2))/(LN(2)/2)*V75*Y75*VLOOKUP('Données projet'!$B$9,Paramètres!$A$1:$I$89,3,0)*0.475*44/12</f>
        <v>1.5999682487645339</v>
      </c>
      <c r="AC75" s="22">
        <f t="shared" si="57"/>
        <v>43.272690572596865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7.5</v>
      </c>
      <c r="AI75" s="13">
        <f>IF('Données projet'!$A$62&gt;35,AI74+AH75-AQ74,IF(A75&lt;'Données projet'!$A$62,$AF$205^A75,IF(A75='Données projet'!$A$62,'Données projet'!$B$62,AI74+AH75-AQ74)))</f>
        <v>182.00000000000017</v>
      </c>
      <c r="AJ75" s="13">
        <f>AI75*VLOOKUP('Données projet'!$B$10,Paramètres!$A$1:$I$89,3,0)*VLOOKUP('Données projet'!$B$10,Paramètres!$A$1:$I$89,5,0)</f>
        <v>164.67360000000014</v>
      </c>
      <c r="AK75" s="13">
        <f t="shared" si="89"/>
        <v>41.894886049197019</v>
      </c>
      <c r="AL75" s="20">
        <f t="shared" si="58"/>
        <v>359.77344653568503</v>
      </c>
      <c r="AM75" s="59">
        <f t="shared" si="59"/>
        <v>653.10677986901828</v>
      </c>
      <c r="AN75" s="59">
        <f ca="1">AVERAGE(OFFSET($AM$3,0,0,'Données projet'!$E$10+1,1))-AVERAGE(OFFSET($H$3,0,0,'Données projet'!$E$10+1,1))</f>
        <v>215.7418266360167</v>
      </c>
      <c r="AO75" s="59">
        <f t="shared" si="90"/>
        <v>155.78420008229949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31.503627054438866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31.503627054438866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8.9</v>
      </c>
      <c r="N76" s="13">
        <f>IF('Données projet'!$A$36&gt;35,N75+M76-V75,IF(A76&lt;'Données projet'!$A$36,$K$205^A76,IF(A76='Données projet'!$A$36,'Données projet'!$B$36,N75+M76-V75)))</f>
        <v>277.7</v>
      </c>
      <c r="O76" s="13">
        <f>N76*VLOOKUP('Données projet'!$B$9,Paramètres!$A$1:$I$89,3,0)*VLOOKUP('Données projet'!$B$9,Paramètres!$A$1:$I$89,5,0)</f>
        <v>129.96359999999999</v>
      </c>
      <c r="P76" s="13">
        <f t="shared" si="87"/>
        <v>33.98794822400059</v>
      </c>
      <c r="Q76" s="20">
        <f t="shared" si="54"/>
        <v>285.54894649013437</v>
      </c>
      <c r="R76" s="59">
        <f t="shared" si="55"/>
        <v>578.88227982346768</v>
      </c>
      <c r="S76" s="59">
        <f ca="1">AVERAGE(OFFSET($R$3,0,0,'Données projet'!$E$9+1,1))-AVERAGE(OFFSET($H$3,0,0,'Données projet'!$E$9+1,1))</f>
        <v>107.39524504744702</v>
      </c>
      <c r="T76" s="59">
        <f t="shared" si="88"/>
        <v>102.66420075171004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32.82634156400556</v>
      </c>
      <c r="AA76" s="21">
        <f>EXP(-LN(2)/25)*AA75+(1-EXP(-LN(2)/25))/(LN(2)/25)*Calculateur!V76*Calculateur!X76*VLOOKUP('Données projet'!$B$9,Paramètres!$A$1:$I$89,3,0)*0.475*44/12</f>
        <v>7.9658505554525316</v>
      </c>
      <c r="AB76" s="21">
        <f>EXP(-LN(2)/2)*AB75+(1-EXP(-LN(2)/2))/(LN(2)/2)*V76*Y76*VLOOKUP('Données projet'!$B$9,Paramètres!$A$1:$I$89,3,0)*0.475*44/12</f>
        <v>1.1313483983845669</v>
      </c>
      <c r="AC76" s="22">
        <f t="shared" si="57"/>
        <v>41.92354051784266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7.5</v>
      </c>
      <c r="AI76" s="13">
        <f>IF('Données projet'!$A$62&gt;35,AI75+AH76-AQ75,IF(A76&lt;'Données projet'!$A$62,$AF$205^A76,IF(A76='Données projet'!$A$62,'Données projet'!$B$62,AI75+AH76-AQ75)))</f>
        <v>189.50000000000017</v>
      </c>
      <c r="AJ76" s="13">
        <f>AI76*VLOOKUP('Données projet'!$B$10,Paramètres!$A$1:$I$89,3,0)*VLOOKUP('Données projet'!$B$10,Paramètres!$A$1:$I$89,5,0)</f>
        <v>171.45960000000017</v>
      </c>
      <c r="AK76" s="13">
        <f t="shared" si="89"/>
        <v>43.416762598027233</v>
      </c>
      <c r="AL76" s="20">
        <f t="shared" si="58"/>
        <v>374.24299819156437</v>
      </c>
      <c r="AM76" s="59">
        <f t="shared" si="59"/>
        <v>667.57633152489768</v>
      </c>
      <c r="AN76" s="59">
        <f ca="1">AVERAGE(OFFSET($AM$3,0,0,'Données projet'!$E$10+1,1))-AVERAGE(OFFSET($H$3,0,0,'Données projet'!$E$10+1,1))</f>
        <v>215.7418266360167</v>
      </c>
      <c r="AO76" s="59">
        <f t="shared" si="90"/>
        <v>155.78420008229949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30.885860143216469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30.885860143216469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8.9</v>
      </c>
      <c r="N77" s="13">
        <f>IF('Données projet'!$A$36&gt;35,N76+M77-V76,IF(A77&lt;'Données projet'!$A$36,$K$205^A77,IF(A77='Données projet'!$A$36,'Données projet'!$B$36,N76+M77-V76)))</f>
        <v>286.59999999999997</v>
      </c>
      <c r="O77" s="13">
        <f>N77*VLOOKUP('Données projet'!$B$9,Paramètres!$A$1:$I$89,3,0)*VLOOKUP('Données projet'!$B$9,Paramètres!$A$1:$I$89,5,0)</f>
        <v>134.12879999999998</v>
      </c>
      <c r="P77" s="13">
        <f t="shared" si="87"/>
        <v>34.948660800604699</v>
      </c>
      <c r="Q77" s="20">
        <f t="shared" si="54"/>
        <v>294.47657756105315</v>
      </c>
      <c r="R77" s="59">
        <f t="shared" si="55"/>
        <v>587.80991089438646</v>
      </c>
      <c r="S77" s="59">
        <f ca="1">AVERAGE(OFFSET($R$3,0,0,'Données projet'!$E$9+1,1))-AVERAGE(OFFSET($H$3,0,0,'Données projet'!$E$9+1,1))</f>
        <v>107.39524504744702</v>
      </c>
      <c r="T77" s="59">
        <f t="shared" si="88"/>
        <v>102.66420075171004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32.182637028026747</v>
      </c>
      <c r="AA77" s="21">
        <f>EXP(-LN(2)/25)*AA76+(1-EXP(-LN(2)/25))/(LN(2)/25)*Calculateur!V77*Calculateur!X77*VLOOKUP('Données projet'!$B$9,Paramètres!$A$1:$I$89,3,0)*0.475*44/12</f>
        <v>7.7480239531078077</v>
      </c>
      <c r="AB77" s="21">
        <f>EXP(-LN(2)/2)*AB76+(1-EXP(-LN(2)/2))/(LN(2)/2)*V77*Y77*VLOOKUP('Données projet'!$B$9,Paramètres!$A$1:$I$89,3,0)*0.475*44/12</f>
        <v>0.79998412438226696</v>
      </c>
      <c r="AC77" s="22">
        <f t="shared" si="57"/>
        <v>40.730645105516821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7.5</v>
      </c>
      <c r="AI77" s="13">
        <f>IF('Données projet'!$A$62&gt;35,AI76+AH77-AQ76,IF(A77&lt;'Données projet'!$A$62,$AF$205^A77,IF(A77='Données projet'!$A$62,'Données projet'!$B$62,AI76+AH77-AQ76)))</f>
        <v>197.00000000000017</v>
      </c>
      <c r="AJ77" s="13">
        <f>AI77*VLOOKUP('Données projet'!$B$10,Paramètres!$A$1:$I$89,3,0)*VLOOKUP('Données projet'!$B$10,Paramètres!$A$1:$I$89,5,0)</f>
        <v>178.24560000000014</v>
      </c>
      <c r="AK77" s="13">
        <f t="shared" si="89"/>
        <v>44.931642269910469</v>
      </c>
      <c r="AL77" s="20">
        <f t="shared" si="58"/>
        <v>388.70036362009432</v>
      </c>
      <c r="AM77" s="59">
        <f t="shared" si="59"/>
        <v>682.03369695342758</v>
      </c>
      <c r="AN77" s="59">
        <f ca="1">AVERAGE(OFFSET($AM$3,0,0,'Données projet'!$E$10+1,1))-AVERAGE(OFFSET($H$3,0,0,'Données projet'!$E$10+1,1))</f>
        <v>215.7418266360167</v>
      </c>
      <c r="AO77" s="59">
        <f t="shared" si="90"/>
        <v>155.78420008229949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30.280207264322531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30.280207264322531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8.9</v>
      </c>
      <c r="N78" s="13">
        <f>IF('Données projet'!$A$36&gt;35,N77+M78-V77,IF(A78&lt;'Données projet'!$A$36,$K$205^A78,IF(A78='Données projet'!$A$36,'Données projet'!$B$36,N77+M78-V77)))</f>
        <v>295.49999999999994</v>
      </c>
      <c r="O78" s="13">
        <f>N78*VLOOKUP('Données projet'!$B$9,Paramètres!$A$1:$I$89,3,0)*VLOOKUP('Données projet'!$B$9,Paramètres!$A$1:$I$89,5,0)</f>
        <v>138.29399999999998</v>
      </c>
      <c r="P78" s="13">
        <f t="shared" si="87"/>
        <v>35.905906413030237</v>
      </c>
      <c r="Q78" s="20">
        <f t="shared" si="54"/>
        <v>303.39817033602759</v>
      </c>
      <c r="R78" s="59">
        <f t="shared" si="55"/>
        <v>596.7315036693609</v>
      </c>
      <c r="S78" s="59">
        <f ca="1">AVERAGE(OFFSET($R$3,0,0,'Données projet'!$E$9+1,1))-AVERAGE(OFFSET($H$3,0,0,'Données projet'!$E$9+1,1))</f>
        <v>107.39524504744702</v>
      </c>
      <c r="T78" s="59">
        <f t="shared" si="88"/>
        <v>102.66420075171004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31.551555145377481</v>
      </c>
      <c r="AA78" s="21">
        <f>EXP(-LN(2)/25)*AA77+(1-EXP(-LN(2)/25))/(LN(2)/25)*Calculateur!V78*Calculateur!X78*VLOOKUP('Données projet'!$B$9,Paramètres!$A$1:$I$89,3,0)*0.475*44/12</f>
        <v>7.5361538306592033</v>
      </c>
      <c r="AB78" s="21">
        <f>EXP(-LN(2)/2)*AB77+(1-EXP(-LN(2)/2))/(LN(2)/2)*V78*Y78*VLOOKUP('Données projet'!$B$9,Paramètres!$A$1:$I$89,3,0)*0.475*44/12</f>
        <v>0.56567419919228346</v>
      </c>
      <c r="AC78" s="22">
        <f t="shared" si="57"/>
        <v>39.653383175228967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7.5</v>
      </c>
      <c r="AI78" s="13">
        <f>IF('Données projet'!$A$62&gt;35,AI77+AH78-AQ77,IF(A78&lt;'Données projet'!$A$62,$AF$205^A78,IF(A78='Données projet'!$A$62,'Données projet'!$B$62,AI77+AH78-AQ77)))</f>
        <v>204.50000000000017</v>
      </c>
      <c r="AJ78" s="13">
        <f>AI78*VLOOKUP('Données projet'!$B$10,Paramètres!$A$1:$I$89,3,0)*VLOOKUP('Données projet'!$B$10,Paramètres!$A$1:$I$89,5,0)</f>
        <v>185.03160000000014</v>
      </c>
      <c r="AK78" s="13">
        <f t="shared" si="89"/>
        <v>46.439821937925259</v>
      </c>
      <c r="AL78" s="20">
        <f t="shared" si="58"/>
        <v>403.14605987522009</v>
      </c>
      <c r="AM78" s="59">
        <f t="shared" si="59"/>
        <v>696.47939320855335</v>
      </c>
      <c r="AN78" s="59">
        <f ca="1">AVERAGE(OFFSET($AM$3,0,0,'Données projet'!$E$10+1,1))-AVERAGE(OFFSET($H$3,0,0,'Données projet'!$E$10+1,1))</f>
        <v>215.7418266360167</v>
      </c>
      <c r="AO78" s="59">
        <f t="shared" si="90"/>
        <v>155.78420008229949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29.686430868971925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29.686430868971925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8.9</v>
      </c>
      <c r="N79" s="13">
        <f>IF('Données projet'!$A$36&gt;35,N78+M79-V78,IF(A79&lt;'Données projet'!$A$36,$K$205^A79,IF(A79='Données projet'!$A$36,'Données projet'!$B$36,N78+M79-V78)))</f>
        <v>304.39999999999992</v>
      </c>
      <c r="O79" s="13">
        <f>N79*VLOOKUP('Données projet'!$B$9,Paramètres!$A$1:$I$89,3,0)*VLOOKUP('Données projet'!$B$9,Paramètres!$A$1:$I$89,5,0)</f>
        <v>142.45919999999995</v>
      </c>
      <c r="P79" s="13">
        <f t="shared" si="87"/>
        <v>36.859801466865825</v>
      </c>
      <c r="Q79" s="20">
        <f t="shared" si="54"/>
        <v>312.31392755479123</v>
      </c>
      <c r="R79" s="59">
        <f t="shared" si="55"/>
        <v>605.64726088812449</v>
      </c>
      <c r="S79" s="59">
        <f ca="1">AVERAGE(OFFSET($R$3,0,0,'Données projet'!$E$9+1,1))-AVERAGE(OFFSET($H$3,0,0,'Données projet'!$E$9+1,1))</f>
        <v>107.39524504744702</v>
      </c>
      <c r="T79" s="59">
        <f t="shared" si="88"/>
        <v>102.66420075171004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30.932848393525028</v>
      </c>
      <c r="AA79" s="21">
        <f>EXP(-LN(2)/25)*AA78+(1-EXP(-LN(2)/25))/(LN(2)/25)*Calculateur!V79*Calculateur!X79*VLOOKUP('Données projet'!$B$9,Paramètres!$A$1:$I$89,3,0)*0.475*44/12</f>
        <v>7.330077307850722</v>
      </c>
      <c r="AB79" s="21">
        <f>EXP(-LN(2)/2)*AB78+(1-EXP(-LN(2)/2))/(LN(2)/2)*V79*Y79*VLOOKUP('Données projet'!$B$9,Paramètres!$A$1:$I$89,3,0)*0.475*44/12</f>
        <v>0.39999206219113348</v>
      </c>
      <c r="AC79" s="22">
        <f t="shared" si="57"/>
        <v>38.662917763566881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7.5</v>
      </c>
      <c r="AI79" s="13">
        <f>IF('Données projet'!$A$62&gt;35,AI78+AH79-AQ78,IF(A79&lt;'Données projet'!$A$62,$AF$205^A79,IF(A79='Données projet'!$A$62,'Données projet'!$B$62,AI78+AH79-AQ78)))</f>
        <v>212.00000000000017</v>
      </c>
      <c r="AJ79" s="13">
        <f>AI79*VLOOKUP('Données projet'!$B$10,Paramètres!$A$1:$I$89,3,0)*VLOOKUP('Données projet'!$B$10,Paramètres!$A$1:$I$89,5,0)</f>
        <v>191.81760000000014</v>
      </c>
      <c r="AK79" s="13">
        <f t="shared" si="89"/>
        <v>47.941575465657138</v>
      </c>
      <c r="AL79" s="20">
        <f t="shared" si="58"/>
        <v>417.5805639360197</v>
      </c>
      <c r="AM79" s="59">
        <f t="shared" si="59"/>
        <v>710.91389726935301</v>
      </c>
      <c r="AN79" s="59">
        <f ca="1">AVERAGE(OFFSET($AM$3,0,0,'Données projet'!$E$10+1,1))-AVERAGE(OFFSET($H$3,0,0,'Données projet'!$E$10+1,1))</f>
        <v>215.7418266360167</v>
      </c>
      <c r="AO79" s="59">
        <f t="shared" si="90"/>
        <v>155.78420008229949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29.104298066566304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29.104298066566304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8.9</v>
      </c>
      <c r="N80" s="13">
        <f>IF('Données projet'!$A$36&gt;35,N79+M80-V79,IF(A80&lt;'Données projet'!$A$36,$K$205^A80,IF(A80='Données projet'!$A$36,'Données projet'!$B$36,N79+M80-V79)))</f>
        <v>313.2999999999999</v>
      </c>
      <c r="O80" s="13">
        <f>N80*VLOOKUP('Données projet'!$B$9,Paramètres!$A$1:$I$89,3,0)*VLOOKUP('Données projet'!$B$9,Paramètres!$A$1:$I$89,5,0)</f>
        <v>146.62439999999995</v>
      </c>
      <c r="P80" s="13">
        <f t="shared" si="87"/>
        <v>37.810455173781442</v>
      </c>
      <c r="Q80" s="20">
        <f t="shared" si="54"/>
        <v>321.2240394276692</v>
      </c>
      <c r="R80" s="59">
        <f t="shared" si="55"/>
        <v>614.55737276100251</v>
      </c>
      <c r="S80" s="59">
        <f ca="1">AVERAGE(OFFSET($R$3,0,0,'Données projet'!$E$9+1,1))-AVERAGE(OFFSET($H$3,0,0,'Données projet'!$E$9+1,1))</f>
        <v>107.39524504744702</v>
      </c>
      <c r="T80" s="59">
        <f t="shared" si="88"/>
        <v>102.66420075171004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30.326274103702541</v>
      </c>
      <c r="AA80" s="21">
        <f>EXP(-LN(2)/25)*AA79+(1-EXP(-LN(2)/25))/(LN(2)/25)*Calculateur!V80*Calculateur!X80*VLOOKUP('Données projet'!$B$9,Paramètres!$A$1:$I$89,3,0)*0.475*44/12</f>
        <v>7.1296359583955313</v>
      </c>
      <c r="AB80" s="21">
        <f>EXP(-LN(2)/2)*AB79+(1-EXP(-LN(2)/2))/(LN(2)/2)*V80*Y80*VLOOKUP('Données projet'!$B$9,Paramètres!$A$1:$I$89,3,0)*0.475*44/12</f>
        <v>0.28283709959614173</v>
      </c>
      <c r="AC80" s="22">
        <f t="shared" si="57"/>
        <v>37.738747161694214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7.5</v>
      </c>
      <c r="AI80" s="13">
        <f>IF('Données projet'!$A$62&gt;35,AI79+AH80-AQ79,IF(A80&lt;'Données projet'!$A$62,$AF$205^A80,IF(A80='Données projet'!$A$62,'Données projet'!$B$62,AI79+AH80-AQ79)))</f>
        <v>219.50000000000017</v>
      </c>
      <c r="AJ80" s="13">
        <f>AI80*VLOOKUP('Données projet'!$B$10,Paramètres!$A$1:$I$89,3,0)*VLOOKUP('Données projet'!$B$10,Paramètres!$A$1:$I$89,5,0)</f>
        <v>198.60360000000014</v>
      </c>
      <c r="AK80" s="13">
        <f t="shared" si="89"/>
        <v>49.437156240946805</v>
      </c>
      <c r="AL80" s="20">
        <f t="shared" si="58"/>
        <v>432.00431711964933</v>
      </c>
      <c r="AM80" s="59">
        <f t="shared" si="59"/>
        <v>725.33765045298264</v>
      </c>
      <c r="AN80" s="59">
        <f ca="1">AVERAGE(OFFSET($AM$3,0,0,'Données projet'!$E$10+1,1))-AVERAGE(OFFSET($H$3,0,0,'Données projet'!$E$10+1,1))</f>
        <v>215.7418266360167</v>
      </c>
      <c r="AO80" s="59">
        <f t="shared" si="90"/>
        <v>155.78420008229949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28.533580533349909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28.533580533349909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8.9</v>
      </c>
      <c r="N81" s="13">
        <f>IF('Données projet'!$A$36&gt;35,N80+M81-V80,IF(A81&lt;'Données projet'!$A$36,$K$205^A81,IF(A81='Données projet'!$A$36,'Données projet'!$B$36,N80+M81-V80)))</f>
        <v>322.19999999999987</v>
      </c>
      <c r="O81" s="13">
        <f>N81*VLOOKUP('Données projet'!$B$9,Paramètres!$A$1:$I$89,3,0)*VLOOKUP('Données projet'!$B$9,Paramètres!$A$1:$I$89,5,0)</f>
        <v>150.78959999999995</v>
      </c>
      <c r="P81" s="13">
        <f t="shared" si="87"/>
        <v>38.757970187689686</v>
      </c>
      <c r="Q81" s="20">
        <f t="shared" si="54"/>
        <v>330.12868474355946</v>
      </c>
      <c r="R81" s="59">
        <f t="shared" si="55"/>
        <v>623.46201807689272</v>
      </c>
      <c r="S81" s="59">
        <f ca="1">AVERAGE(OFFSET($R$3,0,0,'Données projet'!$E$9+1,1))-AVERAGE(OFFSET($H$3,0,0,'Données projet'!$E$9+1,1))</f>
        <v>107.39524504744702</v>
      </c>
      <c r="T81" s="59">
        <f t="shared" si="88"/>
        <v>102.66420075171004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29.731594365729691</v>
      </c>
      <c r="AA81" s="21">
        <f>EXP(-LN(2)/25)*AA80+(1-EXP(-LN(2)/25))/(LN(2)/25)*Calculateur!V81*Calculateur!X81*VLOOKUP('Données projet'!$B$9,Paramètres!$A$1:$I$89,3,0)*0.475*44/12</f>
        <v>6.9346756881819456</v>
      </c>
      <c r="AB81" s="21">
        <f>EXP(-LN(2)/2)*AB80+(1-EXP(-LN(2)/2))/(LN(2)/2)*V81*Y81*VLOOKUP('Données projet'!$B$9,Paramètres!$A$1:$I$89,3,0)*0.475*44/12</f>
        <v>0.19999603109556674</v>
      </c>
      <c r="AC81" s="22">
        <f t="shared" si="57"/>
        <v>36.866266085007204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227</v>
      </c>
      <c r="AG81" s="12">
        <f>VLOOKUP(A81,'Données projet'!$A$61:$I$81,9,0)</f>
        <v>7.5</v>
      </c>
      <c r="AH81" s="12">
        <f t="array" ref="AH81">INDEX(AG:AG,MIN(IF(ISNUMBER(AG81:AG277),ROW(AG81:AG277),"")))</f>
        <v>7.5</v>
      </c>
      <c r="AI81" s="13">
        <f>IF('Données projet'!$A$62&gt;35,AI80+AH81-AQ80,IF(A81&lt;'Données projet'!$A$62,$AF$205^A81,IF(A81='Données projet'!$A$62,'Données projet'!$B$62,AI80+AH81-AQ80)))</f>
        <v>227.00000000000017</v>
      </c>
      <c r="AJ81" s="13">
        <f>AI81*VLOOKUP('Données projet'!$B$10,Paramètres!$A$1:$I$89,3,0)*VLOOKUP('Données projet'!$B$10,Paramètres!$A$1:$I$89,5,0)</f>
        <v>205.38960000000014</v>
      </c>
      <c r="AK81" s="13">
        <f t="shared" si="89"/>
        <v>50.926799353611997</v>
      </c>
      <c r="AL81" s="20">
        <f t="shared" si="58"/>
        <v>446.4177288742078</v>
      </c>
      <c r="AM81" s="59">
        <f t="shared" si="59"/>
        <v>739.75106220754105</v>
      </c>
      <c r="AN81" s="59">
        <f ca="1">AVERAGE(OFFSET($AM$3,0,0,'Données projet'!$E$10+1,1))-AVERAGE(OFFSET($H$3,0,0,'Données projet'!$E$10+1,1))</f>
        <v>215.7418266360167</v>
      </c>
      <c r="AO81" s="59">
        <f t="shared" si="90"/>
        <v>155.78420008229949</v>
      </c>
      <c r="AP81" s="15">
        <f>IF(ISNA(VLOOKUP(A81,'Données projet'!$A$61:$I$81,3,0)),0,VLOOKUP(A81,'Données projet'!$A$61:$I$81,3,0))</f>
        <v>7</v>
      </c>
      <c r="AQ81" s="15">
        <f>IF(ISNA(VLOOKUP(A81,'Données projet'!$A$61:$I$81,4,0)),0,VLOOKUP(A81,'Données projet'!$A$61:$I$81,4,0))</f>
        <v>42</v>
      </c>
      <c r="AR81" s="16">
        <f>IF(ISNA(VLOOKUP(A81,'Données projet'!$A$61:$I$81,5,0)),0%,VLOOKUP(A81,'Données projet'!$A$61:$I$81,5,0)*VLOOKUP('Données projet'!$B$10,Paramètres!$A$1:$I$89,7,0))</f>
        <v>0.30099999999999999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40.618957018489233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40.618957018489233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8.9</v>
      </c>
      <c r="N82" s="13">
        <f>IF('Données projet'!$A$36&gt;35,N81+M82-V81,IF(A82&lt;'Données projet'!$A$36,$K$205^A82,IF(A82='Données projet'!$A$36,'Données projet'!$B$36,N81+M82-V81)))</f>
        <v>331.09999999999985</v>
      </c>
      <c r="O82" s="13">
        <f>N82*VLOOKUP('Données projet'!$B$9,Paramètres!$A$1:$I$89,3,0)*VLOOKUP('Données projet'!$B$9,Paramètres!$A$1:$I$89,5,0)</f>
        <v>154.95479999999992</v>
      </c>
      <c r="P82" s="13">
        <f t="shared" si="87"/>
        <v>39.702443168641857</v>
      </c>
      <c r="Q82" s="20">
        <f t="shared" si="54"/>
        <v>339.02803185205107</v>
      </c>
      <c r="R82" s="59">
        <f t="shared" si="55"/>
        <v>632.36136518538433</v>
      </c>
      <c r="S82" s="59">
        <f ca="1">AVERAGE(OFFSET($R$3,0,0,'Données projet'!$E$9+1,1))-AVERAGE(OFFSET($H$3,0,0,'Données projet'!$E$9+1,1))</f>
        <v>107.39524504744702</v>
      </c>
      <c r="T82" s="59">
        <f t="shared" si="88"/>
        <v>102.66420075171004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29.148575934699664</v>
      </c>
      <c r="AA82" s="21">
        <f>EXP(-LN(2)/25)*AA81+(1-EXP(-LN(2)/25))/(LN(2)/25)*Calculateur!V82*Calculateur!X82*VLOOKUP('Données projet'!$B$9,Paramètres!$A$1:$I$89,3,0)*0.475*44/12</f>
        <v>6.7450466168098648</v>
      </c>
      <c r="AB82" s="21">
        <f>EXP(-LN(2)/2)*AB81+(1-EXP(-LN(2)/2))/(LN(2)/2)*V82*Y82*VLOOKUP('Données projet'!$B$9,Paramètres!$A$1:$I$89,3,0)*0.475*44/12</f>
        <v>0.14141854979807086</v>
      </c>
      <c r="AC82" s="22">
        <f t="shared" si="57"/>
        <v>36.035041101307598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6.4444444444444446</v>
      </c>
      <c r="AI82" s="13">
        <f>IF('Données projet'!$A$62&gt;35,AI81+AH82-AQ81,IF(A82&lt;'Données projet'!$A$62,$AF$205^A82,IF(A82='Données projet'!$A$62,'Données projet'!$B$62,AI81+AH82-AQ81)))</f>
        <v>191.44444444444463</v>
      </c>
      <c r="AJ82" s="13">
        <f>AI82*VLOOKUP('Données projet'!$B$10,Paramètres!$A$1:$I$89,3,0)*VLOOKUP('Données projet'!$B$10,Paramètres!$A$1:$I$89,5,0)</f>
        <v>173.2189333333335</v>
      </c>
      <c r="AK82" s="13">
        <f t="shared" si="89"/>
        <v>43.810168637383917</v>
      </c>
      <c r="AL82" s="20">
        <f t="shared" si="58"/>
        <v>377.9923525989995</v>
      </c>
      <c r="AM82" s="59">
        <f t="shared" si="59"/>
        <v>671.32568593233282</v>
      </c>
      <c r="AN82" s="59">
        <f ca="1">AVERAGE(OFFSET($AM$3,0,0,'Données projet'!$E$10+1,1))-AVERAGE(OFFSET($H$3,0,0,'Données projet'!$E$10+1,1))</f>
        <v>215.7418266360167</v>
      </c>
      <c r="AO82" s="59">
        <f t="shared" si="90"/>
        <v>155.78420008229949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39.822444046474104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39.822444046474104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340</v>
      </c>
      <c r="L83" s="12">
        <f>VLOOKUP(A83,'Données projet'!$A$35:$I$55,9,0)</f>
        <v>8.9</v>
      </c>
      <c r="M83" s="12">
        <f t="array" ref="M83">INDEX(L:L,MIN(IF(ISNUMBER(L83:L279),ROW(L83:L279),"")))</f>
        <v>8.9</v>
      </c>
      <c r="N83" s="13">
        <f>IF('Données projet'!$A$36&gt;35,N82+M83-V82,IF(A83&lt;'Données projet'!$A$36,$K$205^A83,IF(A83='Données projet'!$A$36,'Données projet'!$B$36,N82+M83-V82)))</f>
        <v>339.99999999999983</v>
      </c>
      <c r="O83" s="13">
        <f>N83*VLOOKUP('Données projet'!$B$9,Paramètres!$A$1:$I$89,3,0)*VLOOKUP('Données projet'!$B$9,Paramètres!$A$1:$I$89,5,0)</f>
        <v>159.11999999999992</v>
      </c>
      <c r="P83" s="13">
        <f t="shared" si="87"/>
        <v>40.643965284387662</v>
      </c>
      <c r="Q83" s="20">
        <f t="shared" si="54"/>
        <v>347.92223953697498</v>
      </c>
      <c r="R83" s="59">
        <f t="shared" si="55"/>
        <v>641.25557287030824</v>
      </c>
      <c r="S83" s="59">
        <f ca="1">AVERAGE(OFFSET($R$3,0,0,'Données projet'!$E$9+1,1))-AVERAGE(OFFSET($H$3,0,0,'Données projet'!$E$9+1,1))</f>
        <v>107.39524504744702</v>
      </c>
      <c r="T83" s="59">
        <f t="shared" si="88"/>
        <v>102.66420075171004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50</v>
      </c>
      <c r="W83" s="16">
        <f>IF(ISNA(VLOOKUP(A83,'Données projet'!$A$35:$I$55,5,0)),0%,VLOOKUP(A83,'Données projet'!$A$35:$I$55,5,0)*VLOOKUP('Données projet'!$B$9,Paramètres!$A$1:$I$89,7,0))</f>
        <v>0.38500000000000001</v>
      </c>
      <c r="X83" s="16">
        <f>IF(ISNA(VLOOKUP(A83,'Données projet'!$A$35:$I$55,6,0)),0%,VLOOKUP(A83,'Données projet'!$A$35:$I$55,6,0)*VLOOKUP('Données projet'!$B$9,Paramètres!$A$1:$I$89,7,0))</f>
        <v>9.3500000000000014E-2</v>
      </c>
      <c r="Y83" s="16">
        <f>IF(ISNA(VLOOKUP(A83,'Données projet'!$A$35:$I$55,7,0)),0%,VLOOKUP(A83,'Données projet'!$A$35:$I$55,7,0))</f>
        <v>0.13</v>
      </c>
      <c r="Z83" s="21">
        <f>EXP(-LN(2)/35)*Z82+(1-EXP(-LN(2)/35))/(LN(2)/35)*V83*W83*VLOOKUP('Données projet'!$B$9,Paramètres!$A$1:$I$89,3,0)*0.475*44/12</f>
        <v>40.528009318550822</v>
      </c>
      <c r="AA83" s="21">
        <f>EXP(-LN(2)/25)*AA82+(1-EXP(-LN(2)/25))/(LN(2)/25)*Calculateur!V83*Calculateur!X83*VLOOKUP('Données projet'!$B$9,Paramètres!$A$1:$I$89,3,0)*0.475*44/12</f>
        <v>9.4515655176305664</v>
      </c>
      <c r="AB83" s="21">
        <f>EXP(-LN(2)/2)*AB82+(1-EXP(-LN(2)/2))/(LN(2)/2)*V83*Y83*VLOOKUP('Données projet'!$B$9,Paramètres!$A$1:$I$89,3,0)*0.475*44/12</f>
        <v>3.544248664623292</v>
      </c>
      <c r="AC83" s="22">
        <f t="shared" si="57"/>
        <v>53.523823500804674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6.4444444444444446</v>
      </c>
      <c r="AI83" s="13">
        <f>IF('Données projet'!$A$62&gt;35,AI82+AH83-AQ82,IF(A83&lt;'Données projet'!$A$62,$AF$205^A83,IF(A83='Données projet'!$A$62,'Données projet'!$B$62,AI82+AH83-AQ82)))</f>
        <v>197.88888888888908</v>
      </c>
      <c r="AJ83" s="13">
        <f>AI83*VLOOKUP('Données projet'!$B$10,Paramètres!$A$1:$I$89,3,0)*VLOOKUP('Données projet'!$B$10,Paramètres!$A$1:$I$89,5,0)</f>
        <v>179.04986666666682</v>
      </c>
      <c r="AK83" s="13">
        <f t="shared" si="89"/>
        <v>45.110733936942161</v>
      </c>
      <c r="AL83" s="20">
        <f t="shared" si="58"/>
        <v>390.41304605128562</v>
      </c>
      <c r="AM83" s="59">
        <f t="shared" si="59"/>
        <v>683.74637938461888</v>
      </c>
      <c r="AN83" s="59">
        <f ca="1">AVERAGE(OFFSET($AM$3,0,0,'Données projet'!$E$10+1,1))-AVERAGE(OFFSET($H$3,0,0,'Données projet'!$E$10+1,1))</f>
        <v>215.7418266360167</v>
      </c>
      <c r="AO83" s="59">
        <f t="shared" si="90"/>
        <v>155.78420008229949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39.041550208015245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39.041550208015245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</v>
      </c>
      <c r="N84" s="13">
        <f>IF('Données projet'!$A$36&gt;35,N83+M84-V83,IF(A84&lt;'Données projet'!$A$36,$K$205^A84,IF(A84='Données projet'!$A$36,'Données projet'!$B$36,N83+M84-V83)))</f>
        <v>297.99999999999983</v>
      </c>
      <c r="O84" s="13">
        <f>N84*VLOOKUP('Données projet'!$B$9,Paramètres!$A$1:$I$89,3,0)*VLOOKUP('Données projet'!$B$9,Paramètres!$A$1:$I$89,5,0)</f>
        <v>139.46399999999991</v>
      </c>
      <c r="P84" s="13">
        <f t="shared" si="87"/>
        <v>36.174188022271757</v>
      </c>
      <c r="Q84" s="20">
        <f t="shared" si="54"/>
        <v>305.90317747212316</v>
      </c>
      <c r="R84" s="59">
        <f t="shared" si="55"/>
        <v>599.23651080545642</v>
      </c>
      <c r="S84" s="59">
        <f ca="1">AVERAGE(OFFSET($R$3,0,0,'Données projet'!$E$9+1,1))-AVERAGE(OFFSET($H$3,0,0,'Données projet'!$E$9+1,1))</f>
        <v>107.39524504744702</v>
      </c>
      <c r="T84" s="59">
        <f t="shared" si="88"/>
        <v>102.66420075171004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39.733279775458861</v>
      </c>
      <c r="AA84" s="21">
        <f>EXP(-LN(2)/25)*AA83+(1-EXP(-LN(2)/25))/(LN(2)/25)*Calculateur!V84*Calculateur!X84*VLOOKUP('Données projet'!$B$9,Paramètres!$A$1:$I$89,3,0)*0.475*44/12</f>
        <v>9.1931119615147292</v>
      </c>
      <c r="AB84" s="21">
        <f>EXP(-LN(2)/2)*AB83+(1-EXP(-LN(2)/2))/(LN(2)/2)*V84*Y84*VLOOKUP('Données projet'!$B$9,Paramètres!$A$1:$I$89,3,0)*0.475*44/12</f>
        <v>2.5061622649664956</v>
      </c>
      <c r="AC84" s="22">
        <f t="shared" si="57"/>
        <v>51.43255400194009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6.4444444444444446</v>
      </c>
      <c r="AI84" s="13">
        <f>IF('Données projet'!$A$62&gt;35,AI83+AH84-AQ83,IF(A84&lt;'Données projet'!$A$62,$AF$205^A84,IF(A84='Données projet'!$A$62,'Données projet'!$B$62,AI83+AH84-AQ83)))</f>
        <v>204.33333333333354</v>
      </c>
      <c r="AJ84" s="13">
        <f>AI84*VLOOKUP('Données projet'!$B$10,Paramètres!$A$1:$I$89,3,0)*VLOOKUP('Données projet'!$B$10,Paramètres!$A$1:$I$89,5,0)</f>
        <v>184.88080000000019</v>
      </c>
      <c r="AK84" s="13">
        <f t="shared" si="89"/>
        <v>46.40637762364517</v>
      </c>
      <c r="AL84" s="20">
        <f t="shared" si="58"/>
        <v>402.82516769451564</v>
      </c>
      <c r="AM84" s="59">
        <f t="shared" si="59"/>
        <v>696.15850102784896</v>
      </c>
      <c r="AN84" s="59">
        <f ca="1">AVERAGE(OFFSET($AM$3,0,0,'Données projet'!$E$10+1,1))-AVERAGE(OFFSET($H$3,0,0,'Données projet'!$E$10+1,1))</f>
        <v>215.7418266360167</v>
      </c>
      <c r="AO84" s="59">
        <f t="shared" si="90"/>
        <v>155.78420008229949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38.275969221430358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38.275969221430358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</v>
      </c>
      <c r="N85" s="13">
        <f>IF('Données projet'!$A$36&gt;35,N84+M85-V84,IF(A85&lt;'Données projet'!$A$36,$K$205^A85,IF(A85='Données projet'!$A$36,'Données projet'!$B$36,N84+M85-V84)))</f>
        <v>305.99999999999983</v>
      </c>
      <c r="O85" s="13">
        <f>N85*VLOOKUP('Données projet'!$B$9,Paramètres!$A$1:$I$89,3,0)*VLOOKUP('Données projet'!$B$9,Paramètres!$A$1:$I$89,5,0)</f>
        <v>143.20799999999991</v>
      </c>
      <c r="P85" s="13">
        <f t="shared" si="87"/>
        <v>37.030941422835802</v>
      </c>
      <c r="Q85" s="20">
        <f t="shared" si="54"/>
        <v>313.91615631143884</v>
      </c>
      <c r="R85" s="59">
        <f t="shared" si="55"/>
        <v>607.24948964477221</v>
      </c>
      <c r="S85" s="59">
        <f ca="1">AVERAGE(OFFSET($R$3,0,0,'Données projet'!$E$9+1,1))-AVERAGE(OFFSET($H$3,0,0,'Données projet'!$E$9+1,1))</f>
        <v>107.39524504744702</v>
      </c>
      <c r="T85" s="59">
        <f t="shared" si="88"/>
        <v>102.66420075171004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38.954134393969781</v>
      </c>
      <c r="AA85" s="21">
        <f>EXP(-LN(2)/25)*AA84+(1-EXP(-LN(2)/25))/(LN(2)/25)*Calculateur!V85*Calculateur!X85*VLOOKUP('Données projet'!$B$9,Paramètres!$A$1:$I$89,3,0)*0.475*44/12</f>
        <v>8.941725831482362</v>
      </c>
      <c r="AB85" s="21">
        <f>EXP(-LN(2)/2)*AB84+(1-EXP(-LN(2)/2))/(LN(2)/2)*V85*Y85*VLOOKUP('Données projet'!$B$9,Paramètres!$A$1:$I$89,3,0)*0.475*44/12</f>
        <v>1.7721243323116462</v>
      </c>
      <c r="AC85" s="22">
        <f t="shared" si="57"/>
        <v>49.667984557763788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6.4444444444444446</v>
      </c>
      <c r="AI85" s="13">
        <f>IF('Données projet'!$A$62&gt;35,AI84+AH85-AQ84,IF(A85&lt;'Données projet'!$A$62,$AF$205^A85,IF(A85='Données projet'!$A$62,'Données projet'!$B$62,AI84+AH85-AQ84)))</f>
        <v>210.777777777778</v>
      </c>
      <c r="AJ85" s="13">
        <f>AI85*VLOOKUP('Données projet'!$B$10,Paramètres!$A$1:$I$89,3,0)*VLOOKUP('Données projet'!$B$10,Paramètres!$A$1:$I$89,5,0)</f>
        <v>190.71173333333351</v>
      </c>
      <c r="AK85" s="13">
        <f t="shared" si="89"/>
        <v>47.697272728026775</v>
      </c>
      <c r="AL85" s="20">
        <f t="shared" si="58"/>
        <v>415.2290188902025</v>
      </c>
      <c r="AM85" s="59">
        <f t="shared" si="59"/>
        <v>708.56235222353575</v>
      </c>
      <c r="AN85" s="59">
        <f ca="1">AVERAGE(OFFSET($AM$3,0,0,'Données projet'!$E$10+1,1))-AVERAGE(OFFSET($H$3,0,0,'Données projet'!$E$10+1,1))</f>
        <v>215.7418266360167</v>
      </c>
      <c r="AO85" s="59">
        <f t="shared" si="90"/>
        <v>155.78420008229949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37.525400811034103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37.525400811034103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</v>
      </c>
      <c r="N86" s="13">
        <f>IF('Données projet'!$A$36&gt;35,N85+M86-V85,IF(A86&lt;'Données projet'!$A$36,$K$205^A86,IF(A86='Données projet'!$A$36,'Données projet'!$B$36,N85+M86-V85)))</f>
        <v>313.99999999999983</v>
      </c>
      <c r="O86" s="13">
        <f>N86*VLOOKUP('Données projet'!$B$9,Paramètres!$A$1:$I$89,3,0)*VLOOKUP('Données projet'!$B$9,Paramètres!$A$1:$I$89,5,0)</f>
        <v>146.95199999999991</v>
      </c>
      <c r="P86" s="13">
        <f t="shared" si="87"/>
        <v>37.885091254823685</v>
      </c>
      <c r="Q86" s="20">
        <f t="shared" si="54"/>
        <v>321.92460060215109</v>
      </c>
      <c r="R86" s="59">
        <f t="shared" si="55"/>
        <v>615.2579339354844</v>
      </c>
      <c r="S86" s="59">
        <f ca="1">AVERAGE(OFFSET($R$3,0,0,'Données projet'!$E$9+1,1))-AVERAGE(OFFSET($H$3,0,0,'Données projet'!$E$9+1,1))</f>
        <v>107.39524504744702</v>
      </c>
      <c r="T86" s="59">
        <f t="shared" si="88"/>
        <v>102.66420075171004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38.190267578179942</v>
      </c>
      <c r="AA86" s="21">
        <f>EXP(-LN(2)/25)*AA85+(1-EXP(-LN(2)/25))/(LN(2)/25)*Calculateur!V86*Calculateur!X86*VLOOKUP('Données projet'!$B$9,Paramètres!$A$1:$I$89,3,0)*0.475*44/12</f>
        <v>8.6972138683955524</v>
      </c>
      <c r="AB86" s="21">
        <f>EXP(-LN(2)/2)*AB85+(1-EXP(-LN(2)/2))/(LN(2)/2)*V86*Y86*VLOOKUP('Données projet'!$B$9,Paramètres!$A$1:$I$89,3,0)*0.475*44/12</f>
        <v>1.253081132483248</v>
      </c>
      <c r="AC86" s="22">
        <f t="shared" si="57"/>
        <v>48.140562579058738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6.4444444444444446</v>
      </c>
      <c r="AI86" s="13">
        <f>IF('Données projet'!$A$62&gt;35,AI85+AH86-AQ85,IF(A86&lt;'Données projet'!$A$62,$AF$205^A86,IF(A86='Données projet'!$A$62,'Données projet'!$B$62,AI85+AH86-AQ85)))</f>
        <v>217.22222222222246</v>
      </c>
      <c r="AJ86" s="13">
        <f>AI86*VLOOKUP('Données projet'!$B$10,Paramètres!$A$1:$I$89,3,0)*VLOOKUP('Données projet'!$B$10,Paramètres!$A$1:$I$89,5,0)</f>
        <v>196.54266666666689</v>
      </c>
      <c r="AK86" s="13">
        <f t="shared" si="89"/>
        <v>48.983581098767104</v>
      </c>
      <c r="AL86" s="20">
        <f t="shared" si="58"/>
        <v>427.6248815247975</v>
      </c>
      <c r="AM86" s="59">
        <f t="shared" si="59"/>
        <v>720.95821485813076</v>
      </c>
      <c r="AN86" s="59">
        <f ca="1">AVERAGE(OFFSET($AM$3,0,0,'Données projet'!$E$10+1,1))-AVERAGE(OFFSET($H$3,0,0,'Données projet'!$E$10+1,1))</f>
        <v>215.7418266360167</v>
      </c>
      <c r="AO86" s="59">
        <f t="shared" si="90"/>
        <v>155.78420008229949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36.789550589364197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36.789550589364197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8</v>
      </c>
      <c r="N87" s="13">
        <f>IF('Données projet'!$A$36&gt;35,N86+M87-V86,IF(A87&lt;'Données projet'!$A$36,$K$205^A87,IF(A87='Données projet'!$A$36,'Données projet'!$B$36,N86+M87-V86)))</f>
        <v>321.99999999999983</v>
      </c>
      <c r="O87" s="13">
        <f>N87*VLOOKUP('Données projet'!$B$9,Paramètres!$A$1:$I$89,3,0)*VLOOKUP('Données projet'!$B$9,Paramètres!$A$1:$I$89,5,0)</f>
        <v>150.69599999999991</v>
      </c>
      <c r="P87" s="13">
        <f t="shared" si="87"/>
        <v>38.736711478840597</v>
      </c>
      <c r="Q87" s="20">
        <f t="shared" si="54"/>
        <v>329.92863915898056</v>
      </c>
      <c r="R87" s="59">
        <f t="shared" si="55"/>
        <v>623.26197249231382</v>
      </c>
      <c r="S87" s="59">
        <f ca="1">AVERAGE(OFFSET($R$3,0,0,'Données projet'!$E$9+1,1))-AVERAGE(OFFSET($H$3,0,0,'Données projet'!$E$9+1,1))</f>
        <v>107.39524504744702</v>
      </c>
      <c r="T87" s="59">
        <f t="shared" si="88"/>
        <v>102.66420075171004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37.441379724734986</v>
      </c>
      <c r="AA87" s="21">
        <f>EXP(-LN(2)/25)*AA86+(1-EXP(-LN(2)/25))/(LN(2)/25)*Calculateur!V87*Calculateur!X87*VLOOKUP('Données projet'!$B$9,Paramètres!$A$1:$I$89,3,0)*0.475*44/12</f>
        <v>8.4593880977976763</v>
      </c>
      <c r="AB87" s="21">
        <f>EXP(-LN(2)/2)*AB86+(1-EXP(-LN(2)/2))/(LN(2)/2)*V87*Y87*VLOOKUP('Données projet'!$B$9,Paramètres!$A$1:$I$89,3,0)*0.475*44/12</f>
        <v>0.88606216615582334</v>
      </c>
      <c r="AC87" s="22">
        <f t="shared" si="57"/>
        <v>46.786829988688488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6.4444444444444446</v>
      </c>
      <c r="AI87" s="13">
        <f>IF('Données projet'!$A$62&gt;35,AI86+AH87-AQ86,IF(A87&lt;'Données projet'!$A$62,$AF$205^A87,IF(A87='Données projet'!$A$62,'Données projet'!$B$62,AI86+AH87-AQ86)))</f>
        <v>223.66666666666691</v>
      </c>
      <c r="AJ87" s="13">
        <f>AI87*VLOOKUP('Données projet'!$B$10,Paramètres!$A$1:$I$89,3,0)*VLOOKUP('Données projet'!$B$10,Paramètres!$A$1:$I$89,5,0)</f>
        <v>202.37360000000021</v>
      </c>
      <c r="AK87" s="13">
        <f t="shared" si="89"/>
        <v>50.265454435353256</v>
      </c>
      <c r="AL87" s="20">
        <f t="shared" si="58"/>
        <v>440.01301980824064</v>
      </c>
      <c r="AM87" s="59">
        <f t="shared" si="59"/>
        <v>733.3463531415739</v>
      </c>
      <c r="AN87" s="59">
        <f ca="1">AVERAGE(OFFSET($AM$3,0,0,'Données projet'!$E$10+1,1))-AVERAGE(OFFSET($H$3,0,0,'Données projet'!$E$10+1,1))</f>
        <v>215.7418266360167</v>
      </c>
      <c r="AO87" s="59">
        <f t="shared" si="90"/>
        <v>155.78420008229949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36.068129941716919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36.068129941716919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</v>
      </c>
      <c r="N88" s="13">
        <f>IF('Données projet'!$A$36&gt;35,N87+M88-V87,IF(A88&lt;'Données projet'!$A$36,$K$205^A88,IF(A88='Données projet'!$A$36,'Données projet'!$B$36,N87+M88-V87)))</f>
        <v>329.99999999999983</v>
      </c>
      <c r="O88" s="13">
        <f>N88*VLOOKUP('Données projet'!$B$9,Paramètres!$A$1:$I$89,3,0)*VLOOKUP('Données projet'!$B$9,Paramètres!$A$1:$I$89,5,0)</f>
        <v>154.43999999999994</v>
      </c>
      <c r="P88" s="13">
        <f t="shared" si="87"/>
        <v>39.585872170955454</v>
      </c>
      <c r="Q88" s="20">
        <f t="shared" si="54"/>
        <v>337.92839403108059</v>
      </c>
      <c r="R88" s="59">
        <f t="shared" si="55"/>
        <v>631.2617273644139</v>
      </c>
      <c r="S88" s="59">
        <f ca="1">AVERAGE(OFFSET($R$3,0,0,'Données projet'!$E$9+1,1))-AVERAGE(OFFSET($H$3,0,0,'Données projet'!$E$9+1,1))</f>
        <v>107.39524504744702</v>
      </c>
      <c r="T88" s="59">
        <f t="shared" si="88"/>
        <v>102.66420075171004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36.707177105319602</v>
      </c>
      <c r="AA88" s="21">
        <f>EXP(-LN(2)/25)*AA87+(1-EXP(-LN(2)/25))/(LN(2)/25)*Calculateur!V88*Calculateur!X88*VLOOKUP('Données projet'!$B$9,Paramètres!$A$1:$I$89,3,0)*0.475*44/12</f>
        <v>8.2280656854035126</v>
      </c>
      <c r="AB88" s="21">
        <f>EXP(-LN(2)/2)*AB87+(1-EXP(-LN(2)/2))/(LN(2)/2)*V88*Y88*VLOOKUP('Données projet'!$B$9,Paramètres!$A$1:$I$89,3,0)*0.475*44/12</f>
        <v>0.62654056624162413</v>
      </c>
      <c r="AC88" s="22">
        <f t="shared" si="57"/>
        <v>45.561783356964739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6.4444444444444446</v>
      </c>
      <c r="AI88" s="13">
        <f>IF('Données projet'!$A$62&gt;35,AI87+AH88-AQ87,IF(A88&lt;'Données projet'!$A$62,$AF$205^A88,IF(A88='Données projet'!$A$62,'Données projet'!$B$62,AI87+AH88-AQ87)))</f>
        <v>230.11111111111137</v>
      </c>
      <c r="AJ88" s="13">
        <f>AI88*VLOOKUP('Données projet'!$B$10,Paramètres!$A$1:$I$89,3,0)*VLOOKUP('Données projet'!$B$10,Paramètres!$A$1:$I$89,5,0)</f>
        <v>208.20453333333356</v>
      </c>
      <c r="AK88" s="13">
        <f t="shared" si="89"/>
        <v>51.543035198379769</v>
      </c>
      <c r="AL88" s="20">
        <f t="shared" si="58"/>
        <v>452.39368185940071</v>
      </c>
      <c r="AM88" s="59">
        <f t="shared" si="59"/>
        <v>745.72701519273403</v>
      </c>
      <c r="AN88" s="59">
        <f ca="1">AVERAGE(OFFSET($AM$3,0,0,'Données projet'!$E$10+1,1))-AVERAGE(OFFSET($H$3,0,0,'Données projet'!$E$10+1,1))</f>
        <v>215.7418266360167</v>
      </c>
      <c r="AO88" s="59">
        <f t="shared" si="90"/>
        <v>155.78420008229949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35.360855912946853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35.360855912946853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</v>
      </c>
      <c r="N89" s="13">
        <f>IF('Données projet'!$A$36&gt;35,N88+M89-V88,IF(A89&lt;'Données projet'!$A$36,$K$205^A89,IF(A89='Données projet'!$A$36,'Données projet'!$B$36,N88+M89-V88)))</f>
        <v>337.99999999999983</v>
      </c>
      <c r="O89" s="13">
        <f>N89*VLOOKUP('Données projet'!$B$9,Paramètres!$A$1:$I$89,3,0)*VLOOKUP('Données projet'!$B$9,Paramètres!$A$1:$I$89,5,0)</f>
        <v>158.18399999999991</v>
      </c>
      <c r="P89" s="13">
        <f t="shared" si="87"/>
        <v>40.432639815875881</v>
      </c>
      <c r="Q89" s="20">
        <f t="shared" si="54"/>
        <v>345.92398101265036</v>
      </c>
      <c r="R89" s="59">
        <f t="shared" si="55"/>
        <v>639.25731434598367</v>
      </c>
      <c r="S89" s="59">
        <f ca="1">AVERAGE(OFFSET($R$3,0,0,'Données projet'!$E$9+1,1))-AVERAGE(OFFSET($H$3,0,0,'Données projet'!$E$9+1,1))</f>
        <v>107.39524504744702</v>
      </c>
      <c r="T89" s="59">
        <f t="shared" si="88"/>
        <v>102.66420075171004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35.987371751451569</v>
      </c>
      <c r="AA89" s="21">
        <f>EXP(-LN(2)/25)*AA88+(1-EXP(-LN(2)/25))/(LN(2)/25)*Calculateur!V89*Calculateur!X89*VLOOKUP('Données projet'!$B$9,Paramètres!$A$1:$I$89,3,0)*0.475*44/12</f>
        <v>8.003068796540985</v>
      </c>
      <c r="AB89" s="21">
        <f>EXP(-LN(2)/2)*AB88+(1-EXP(-LN(2)/2))/(LN(2)/2)*V89*Y89*VLOOKUP('Données projet'!$B$9,Paramètres!$A$1:$I$89,3,0)*0.475*44/12</f>
        <v>0.44303108307791172</v>
      </c>
      <c r="AC89" s="22">
        <f t="shared" si="57"/>
        <v>44.433471631070468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6.4444444444444446</v>
      </c>
      <c r="AI89" s="13">
        <f>IF('Données projet'!$A$62&gt;35,AI88+AH89-AQ88,IF(A89&lt;'Données projet'!$A$62,$AF$205^A89,IF(A89='Données projet'!$A$62,'Données projet'!$B$62,AI88+AH89-AQ88)))</f>
        <v>236.55555555555583</v>
      </c>
      <c r="AJ89" s="13">
        <f>AI89*VLOOKUP('Données projet'!$B$10,Paramètres!$A$1:$I$89,3,0)*VLOOKUP('Données projet'!$B$10,Paramètres!$A$1:$I$89,5,0)</f>
        <v>214.03546666666688</v>
      </c>
      <c r="AK89" s="13">
        <f t="shared" si="89"/>
        <v>52.816457415007392</v>
      </c>
      <c r="AL89" s="20">
        <f t="shared" si="58"/>
        <v>464.76710110891599</v>
      </c>
      <c r="AM89" s="59">
        <f t="shared" si="59"/>
        <v>758.10043444224925</v>
      </c>
      <c r="AN89" s="59">
        <f ca="1">AVERAGE(OFFSET($AM$3,0,0,'Données projet'!$E$10+1,1))-AVERAGE(OFFSET($H$3,0,0,'Données projet'!$E$10+1,1))</f>
        <v>215.7418266360167</v>
      </c>
      <c r="AO89" s="59">
        <f t="shared" si="90"/>
        <v>155.78420008229949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34.66745109648641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34.66745109648641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</v>
      </c>
      <c r="N90" s="13">
        <f>IF('Données projet'!$A$36&gt;35,N89+M90-V89,IF(A90&lt;'Données projet'!$A$36,$K$205^A90,IF(A90='Données projet'!$A$36,'Données projet'!$B$36,N89+M90-V89)))</f>
        <v>345.99999999999983</v>
      </c>
      <c r="O90" s="13">
        <f>N90*VLOOKUP('Données projet'!$B$9,Paramètres!$A$1:$I$89,3,0)*VLOOKUP('Données projet'!$B$9,Paramètres!$A$1:$I$89,5,0)</f>
        <v>161.92799999999991</v>
      </c>
      <c r="P90" s="13">
        <f t="shared" si="87"/>
        <v>41.277077571585316</v>
      </c>
      <c r="Q90" s="20">
        <f t="shared" si="54"/>
        <v>353.91551010384427</v>
      </c>
      <c r="R90" s="59">
        <f t="shared" si="55"/>
        <v>647.24884343717758</v>
      </c>
      <c r="S90" s="59">
        <f ca="1">AVERAGE(OFFSET($R$3,0,0,'Données projet'!$E$9+1,1))-AVERAGE(OFFSET($H$3,0,0,'Données projet'!$E$9+1,1))</f>
        <v>107.39524504744702</v>
      </c>
      <c r="T90" s="59">
        <f t="shared" si="88"/>
        <v>102.66420075171004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35.281681341534977</v>
      </c>
      <c r="AA90" s="21">
        <f>EXP(-LN(2)/25)*AA89+(1-EXP(-LN(2)/25))/(LN(2)/25)*Calculateur!V90*Calculateur!X90*VLOOKUP('Données projet'!$B$9,Paramètres!$A$1:$I$89,3,0)*0.475*44/12</f>
        <v>7.7842244594364747</v>
      </c>
      <c r="AB90" s="21">
        <f>EXP(-LN(2)/2)*AB89+(1-EXP(-LN(2)/2))/(LN(2)/2)*V90*Y90*VLOOKUP('Données projet'!$B$9,Paramètres!$A$1:$I$89,3,0)*0.475*44/12</f>
        <v>0.31327028312081212</v>
      </c>
      <c r="AC90" s="22">
        <f t="shared" si="57"/>
        <v>43.379176084092265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243</v>
      </c>
      <c r="AG90" s="12">
        <f>VLOOKUP(A90,'Données projet'!$A$61:$I$81,9,0)</f>
        <v>6.4444444444444446</v>
      </c>
      <c r="AH90" s="12">
        <f t="array" ref="AH90">INDEX(AG:AG,MIN(IF(ISNUMBER(AG90:AG286),ROW(AG90:AG286),"")))</f>
        <v>6.4444444444444446</v>
      </c>
      <c r="AI90" s="13">
        <f>IF('Données projet'!$A$62&gt;35,AI89+AH90-AQ89,IF(A90&lt;'Données projet'!$A$62,$AF$205^A90,IF(A90='Données projet'!$A$62,'Données projet'!$B$62,AI89+AH90-AQ89)))</f>
        <v>243.00000000000028</v>
      </c>
      <c r="AJ90" s="13">
        <f>AI90*VLOOKUP('Données projet'!$B$10,Paramètres!$A$1:$I$89,3,0)*VLOOKUP('Données projet'!$B$10,Paramètres!$A$1:$I$89,5,0)</f>
        <v>219.86640000000028</v>
      </c>
      <c r="AK90" s="13">
        <f t="shared" si="89"/>
        <v>54.085847394182515</v>
      </c>
      <c r="AL90" s="20">
        <f t="shared" si="58"/>
        <v>477.13349754486836</v>
      </c>
      <c r="AM90" s="59">
        <f t="shared" si="59"/>
        <v>770.46683087820168</v>
      </c>
      <c r="AN90" s="59">
        <f ca="1">AVERAGE(OFFSET($AM$3,0,0,'Données projet'!$E$10+1,1))-AVERAGE(OFFSET($H$3,0,0,'Données projet'!$E$10+1,1))</f>
        <v>215.7418266360167</v>
      </c>
      <c r="AO90" s="59">
        <f t="shared" si="90"/>
        <v>155.78420008229949</v>
      </c>
      <c r="AP90" s="15">
        <f>IF(ISNA(VLOOKUP(A90,'Données projet'!$A$61:$I$81,3,0)),0,VLOOKUP(A90,'Données projet'!$A$61:$I$81,3,0))</f>
        <v>8</v>
      </c>
      <c r="AQ90" s="15">
        <f>IF(ISNA(VLOOKUP(A90,'Données projet'!$A$61:$I$81,4,0)),0,VLOOKUP(A90,'Données projet'!$A$61:$I$81,4,0))</f>
        <v>39</v>
      </c>
      <c r="AR90" s="16">
        <f>IF(ISNA(VLOOKUP(A90,'Données projet'!$A$61:$I$81,5,0)),0%,VLOOKUP(A90,'Données projet'!$A$61:$I$81,5,0)*VLOOKUP('Données projet'!$B$10,Paramètres!$A$1:$I$89,7,0))</f>
        <v>0.38700000000000001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49.084108869307109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49.084108869307109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</v>
      </c>
      <c r="N91" s="13">
        <f>IF('Données projet'!$A$36&gt;35,N90+M91-V90,IF(A91&lt;'Données projet'!$A$36,$K$205^A91,IF(A91='Données projet'!$A$36,'Données projet'!$B$36,N90+M91-V90)))</f>
        <v>353.99999999999983</v>
      </c>
      <c r="O91" s="13">
        <f>N91*VLOOKUP('Données projet'!$B$9,Paramètres!$A$1:$I$89,3,0)*VLOOKUP('Données projet'!$B$9,Paramètres!$A$1:$I$89,5,0)</f>
        <v>165.67199999999994</v>
      </c>
      <c r="P91" s="13">
        <f t="shared" si="87"/>
        <v>42.119245508815517</v>
      </c>
      <c r="Q91" s="20">
        <f t="shared" si="54"/>
        <v>361.90308592785351</v>
      </c>
      <c r="R91" s="59">
        <f t="shared" si="55"/>
        <v>655.23641926118682</v>
      </c>
      <c r="S91" s="59">
        <f ca="1">AVERAGE(OFFSET($R$3,0,0,'Données projet'!$E$9+1,1))-AVERAGE(OFFSET($H$3,0,0,'Données projet'!$E$9+1,1))</f>
        <v>107.39524504744702</v>
      </c>
      <c r="T91" s="59">
        <f t="shared" si="88"/>
        <v>102.66420075171004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34.589829090128198</v>
      </c>
      <c r="AA91" s="21">
        <f>EXP(-LN(2)/25)*AA90+(1-EXP(-LN(2)/25))/(LN(2)/25)*Calculateur!V91*Calculateur!X91*VLOOKUP('Données projet'!$B$9,Paramètres!$A$1:$I$89,3,0)*0.475*44/12</f>
        <v>7.5713644322386111</v>
      </c>
      <c r="AB91" s="21">
        <f>EXP(-LN(2)/2)*AB90+(1-EXP(-LN(2)/2))/(LN(2)/2)*V91*Y91*VLOOKUP('Données projet'!$B$9,Paramètres!$A$1:$I$89,3,0)*0.475*44/12</f>
        <v>0.22151554153895589</v>
      </c>
      <c r="AC91" s="22">
        <f t="shared" si="57"/>
        <v>42.382709063905764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6.1</v>
      </c>
      <c r="AI91" s="13">
        <f>IF('Données projet'!$A$62&gt;35,AI90+AH91-AQ90,IF(A91&lt;'Données projet'!$A$62,$AF$205^A91,IF(A91='Données projet'!$A$62,'Données projet'!$B$62,AI90+AH91-AQ90)))</f>
        <v>210.10000000000028</v>
      </c>
      <c r="AJ91" s="13">
        <f>AI91*VLOOKUP('Données projet'!$B$10,Paramètres!$A$1:$I$89,3,0)*VLOOKUP('Données projet'!$B$10,Paramètres!$A$1:$I$89,5,0)</f>
        <v>190.09848000000022</v>
      </c>
      <c r="AK91" s="13">
        <f t="shared" si="89"/>
        <v>47.561724724324982</v>
      </c>
      <c r="AL91" s="20">
        <f t="shared" si="58"/>
        <v>413.92485656153303</v>
      </c>
      <c r="AM91" s="59">
        <f t="shared" si="59"/>
        <v>707.25818989486629</v>
      </c>
      <c r="AN91" s="59">
        <f ca="1">AVERAGE(OFFSET($AM$3,0,0,'Données projet'!$E$10+1,1))-AVERAGE(OFFSET($H$3,0,0,'Données projet'!$E$10+1,1))</f>
        <v>215.7418266360167</v>
      </c>
      <c r="AO91" s="59">
        <f t="shared" si="90"/>
        <v>155.78420008229949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48.121599432730243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48.121599432730243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</v>
      </c>
      <c r="N92" s="13">
        <f>IF('Données projet'!$A$36&gt;35,N91+M92-V91,IF(A92&lt;'Données projet'!$A$36,$K$205^A92,IF(A92='Données projet'!$A$36,'Données projet'!$B$36,N91+M92-V91)))</f>
        <v>361.99999999999983</v>
      </c>
      <c r="O92" s="13">
        <f>N92*VLOOKUP('Données projet'!$B$9,Paramètres!$A$1:$I$89,3,0)*VLOOKUP('Données projet'!$B$9,Paramètres!$A$1:$I$89,5,0)</f>
        <v>169.41599999999991</v>
      </c>
      <c r="P92" s="13">
        <f t="shared" si="87"/>
        <v>42.959200828261054</v>
      </c>
      <c r="Q92" s="20">
        <f t="shared" si="54"/>
        <v>369.88680810922119</v>
      </c>
      <c r="R92" s="59">
        <f t="shared" si="55"/>
        <v>663.22014144255445</v>
      </c>
      <c r="S92" s="59">
        <f ca="1">AVERAGE(OFFSET($R$3,0,0,'Données projet'!$E$9+1,1))-AVERAGE(OFFSET($H$3,0,0,'Données projet'!$E$9+1,1))</f>
        <v>107.39524504744702</v>
      </c>
      <c r="T92" s="59">
        <f t="shared" si="88"/>
        <v>102.66420075171004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33.911543639383304</v>
      </c>
      <c r="AA92" s="21">
        <f>EXP(-LN(2)/25)*AA91+(1-EXP(-LN(2)/25))/(LN(2)/25)*Calculateur!V92*Calculateur!X92*VLOOKUP('Données projet'!$B$9,Paramètres!$A$1:$I$89,3,0)*0.475*44/12</f>
        <v>7.3643250736782955</v>
      </c>
      <c r="AB92" s="21">
        <f>EXP(-LN(2)/2)*AB91+(1-EXP(-LN(2)/2))/(LN(2)/2)*V92*Y92*VLOOKUP('Données projet'!$B$9,Paramètres!$A$1:$I$89,3,0)*0.475*44/12</f>
        <v>0.15663514156040606</v>
      </c>
      <c r="AC92" s="22">
        <f t="shared" si="57"/>
        <v>41.432503854622006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6.1</v>
      </c>
      <c r="AI92" s="13">
        <f>IF('Données projet'!$A$62&gt;35,AI91+AH92-AQ91,IF(A92&lt;'Données projet'!$A$62,$AF$205^A92,IF(A92='Données projet'!$A$62,'Données projet'!$B$62,AI91+AH92-AQ91)))</f>
        <v>216.20000000000027</v>
      </c>
      <c r="AJ92" s="13">
        <f>AI92*VLOOKUP('Données projet'!$B$10,Paramètres!$A$1:$I$89,3,0)*VLOOKUP('Données projet'!$B$10,Paramètres!$A$1:$I$89,5,0)</f>
        <v>195.61776000000023</v>
      </c>
      <c r="AK92" s="13">
        <f t="shared" si="89"/>
        <v>48.779845723631247</v>
      </c>
      <c r="AL92" s="20">
        <f t="shared" si="58"/>
        <v>425.65916330199144</v>
      </c>
      <c r="AM92" s="59">
        <f t="shared" si="59"/>
        <v>718.99249663532476</v>
      </c>
      <c r="AN92" s="59">
        <f ca="1">AVERAGE(OFFSET($AM$3,0,0,'Données projet'!$E$10+1,1))-AVERAGE(OFFSET($H$3,0,0,'Données projet'!$E$10+1,1))</f>
        <v>215.7418266360167</v>
      </c>
      <c r="AO92" s="59">
        <f t="shared" si="90"/>
        <v>155.78420008229949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47.177964219131859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47.177964219131859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370</v>
      </c>
      <c r="L93" s="12">
        <f>VLOOKUP(A93,'Données projet'!$A$35:$I$55,9,0)</f>
        <v>8</v>
      </c>
      <c r="M93" s="12">
        <f t="array" ref="M93">INDEX(L:L,MIN(IF(ISNUMBER(L93:L289),ROW(L93:L289),"")))</f>
        <v>8</v>
      </c>
      <c r="N93" s="13">
        <f>IF('Données projet'!$A$36&gt;35,N92+M93-V92,IF(A93&lt;'Données projet'!$A$36,$K$205^A93,IF(A93='Données projet'!$A$36,'Données projet'!$B$36,N92+M93-V92)))</f>
        <v>369.99999999999983</v>
      </c>
      <c r="O93" s="13">
        <f>N93*VLOOKUP('Données projet'!$B$9,Paramètres!$A$1:$I$89,3,0)*VLOOKUP('Données projet'!$B$9,Paramètres!$A$1:$I$89,5,0)</f>
        <v>173.15999999999991</v>
      </c>
      <c r="P93" s="13">
        <f t="shared" si="87"/>
        <v>43.796998058051514</v>
      </c>
      <c r="Q93" s="20">
        <f t="shared" si="54"/>
        <v>377.86677161777288</v>
      </c>
      <c r="R93" s="59">
        <f t="shared" si="55"/>
        <v>671.20010495110614</v>
      </c>
      <c r="S93" s="59">
        <f ca="1">AVERAGE(OFFSET($R$3,0,0,'Données projet'!$E$9+1,1))-AVERAGE(OFFSET($H$3,0,0,'Données projet'!$E$9+1,1))</f>
        <v>107.39524504744702</v>
      </c>
      <c r="T93" s="59">
        <f t="shared" si="88"/>
        <v>102.66420075171004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60</v>
      </c>
      <c r="W93" s="16">
        <f>IF(ISNA(VLOOKUP(A93,'Données projet'!$A$35:$I$55,5,0)),0%,VLOOKUP(A93,'Données projet'!$A$35:$I$55,5,0)*VLOOKUP('Données projet'!$B$9,Paramètres!$A$1:$I$89,7,0))</f>
        <v>0.38500000000000001</v>
      </c>
      <c r="X93" s="16">
        <f>IF(ISNA(VLOOKUP(A93,'Données projet'!$A$35:$I$55,6,0)),0%,VLOOKUP(A93,'Données projet'!$A$35:$I$55,6,0)*VLOOKUP('Données projet'!$B$9,Paramètres!$A$1:$I$89,7,0))</f>
        <v>9.3500000000000014E-2</v>
      </c>
      <c r="Y93" s="16">
        <f>IF(ISNA(VLOOKUP(A93,'Données projet'!$A$35:$I$55,7,0)),0%,VLOOKUP(A93,'Données projet'!$A$35:$I$55,7,0))</f>
        <v>0.13</v>
      </c>
      <c r="Z93" s="21">
        <f>EXP(-LN(2)/35)*Z92+(1-EXP(-LN(2)/35))/(LN(2)/35)*V93*W93*VLOOKUP('Données projet'!$B$9,Paramètres!$A$1:$I$89,3,0)*0.475*44/12</f>
        <v>47.587781967480019</v>
      </c>
      <c r="AA93" s="21">
        <f>EXP(-LN(2)/25)*AA92+(1-EXP(-LN(2)/25))/(LN(2)/25)*Calculateur!V93*Calculateur!X93*VLOOKUP('Données projet'!$B$9,Paramètres!$A$1:$I$89,3,0)*0.475*44/12</f>
        <v>10.632102283582281</v>
      </c>
      <c r="AB93" s="21">
        <f>EXP(-LN(2)/2)*AB92+(1-EXP(-LN(2)/2))/(LN(2)/2)*V93*Y93*VLOOKUP('Données projet'!$B$9,Paramètres!$A$1:$I$89,3,0)*0.475*44/12</f>
        <v>4.2438585496600885</v>
      </c>
      <c r="AC93" s="22">
        <f t="shared" si="57"/>
        <v>62.463742800722386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6.1</v>
      </c>
      <c r="AI93" s="13">
        <f>IF('Données projet'!$A$62&gt;35,AI92+AH93-AQ92,IF(A93&lt;'Données projet'!$A$62,$AF$205^A93,IF(A93='Données projet'!$A$62,'Données projet'!$B$62,AI92+AH93-AQ92)))</f>
        <v>222.30000000000027</v>
      </c>
      <c r="AJ93" s="13">
        <f>AI93*VLOOKUP('Données projet'!$B$10,Paramètres!$A$1:$I$89,3,0)*VLOOKUP('Données projet'!$B$10,Paramètres!$A$1:$I$89,5,0)</f>
        <v>201.13704000000021</v>
      </c>
      <c r="AK93" s="13">
        <f t="shared" si="89"/>
        <v>49.993972194745183</v>
      </c>
      <c r="AL93" s="20">
        <f t="shared" si="58"/>
        <v>437.38651290584818</v>
      </c>
      <c r="AM93" s="59">
        <f t="shared" si="59"/>
        <v>730.71984623918149</v>
      </c>
      <c r="AN93" s="59">
        <f ca="1">AVERAGE(OFFSET($AM$3,0,0,'Données projet'!$E$10+1,1))-AVERAGE(OFFSET($H$3,0,0,'Données projet'!$E$10+1,1))</f>
        <v>215.7418266360167</v>
      </c>
      <c r="AO93" s="59">
        <f t="shared" si="90"/>
        <v>155.78420008229949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46.252833116511489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46.252833116511489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7.4</v>
      </c>
      <c r="N94" s="13">
        <f>IF('Données projet'!$A$36&gt;35,N93+M94-V93,IF(A94&lt;'Données projet'!$A$36,$K$205^A94,IF(A94='Données projet'!$A$36,'Données projet'!$B$36,N93+M94-V93)))</f>
        <v>317.39999999999981</v>
      </c>
      <c r="O94" s="13">
        <f>N94*VLOOKUP('Données projet'!$B$9,Paramètres!$A$1:$I$89,3,0)*VLOOKUP('Données projet'!$B$9,Paramètres!$A$1:$I$89,5,0)</f>
        <v>148.5431999999999</v>
      </c>
      <c r="P94" s="13">
        <f t="shared" si="87"/>
        <v>38.247334783976747</v>
      </c>
      <c r="Q94" s="20">
        <f t="shared" si="54"/>
        <v>325.32684808209268</v>
      </c>
      <c r="R94" s="59">
        <f t="shared" si="55"/>
        <v>618.660181415426</v>
      </c>
      <c r="S94" s="59">
        <f ca="1">AVERAGE(OFFSET($R$3,0,0,'Données projet'!$E$9+1,1))-AVERAGE(OFFSET($H$3,0,0,'Données projet'!$E$9+1,1))</f>
        <v>107.39524504744702</v>
      </c>
      <c r="T94" s="59">
        <f t="shared" si="88"/>
        <v>102.66420075171004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46.654614588778685</v>
      </c>
      <c r="AA94" s="21">
        <f>EXP(-LN(2)/25)*AA93+(1-EXP(-LN(2)/25))/(LN(2)/25)*Calculateur!V94*Calculateur!X94*VLOOKUP('Données projet'!$B$9,Paramètres!$A$1:$I$89,3,0)*0.475*44/12</f>
        <v>10.341366887519765</v>
      </c>
      <c r="AB94" s="21">
        <f>EXP(-LN(2)/2)*AB93+(1-EXP(-LN(2)/2))/(LN(2)/2)*V94*Y94*VLOOKUP('Données projet'!$B$9,Paramètres!$A$1:$I$89,3,0)*0.475*44/12</f>
        <v>3.0008611588611553</v>
      </c>
      <c r="AC94" s="22">
        <f t="shared" si="57"/>
        <v>59.996842635159609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6.1</v>
      </c>
      <c r="AI94" s="13">
        <f>IF('Données projet'!$A$62&gt;35,AI93+AH94-AQ93,IF(A94&lt;'Données projet'!$A$62,$AF$205^A94,IF(A94='Données projet'!$A$62,'Données projet'!$B$62,AI93+AH94-AQ93)))</f>
        <v>228.40000000000026</v>
      </c>
      <c r="AJ94" s="13">
        <f>AI94*VLOOKUP('Données projet'!$B$10,Paramètres!$A$1:$I$89,3,0)*VLOOKUP('Données projet'!$B$10,Paramètres!$A$1:$I$89,5,0)</f>
        <v>206.65632000000025</v>
      </c>
      <c r="AK94" s="13">
        <f t="shared" si="89"/>
        <v>51.20422634371343</v>
      </c>
      <c r="AL94" s="20">
        <f t="shared" si="58"/>
        <v>449.10711821530134</v>
      </c>
      <c r="AM94" s="59">
        <f t="shared" si="59"/>
        <v>742.44045154863466</v>
      </c>
      <c r="AN94" s="59">
        <f ca="1">AVERAGE(OFFSET($AM$3,0,0,'Données projet'!$E$10+1,1))-AVERAGE(OFFSET($H$3,0,0,'Données projet'!$E$10+1,1))</f>
        <v>215.7418266360167</v>
      </c>
      <c r="AO94" s="59">
        <f t="shared" si="90"/>
        <v>155.78420008229949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45.345843270539248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45.345843270539248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7.4</v>
      </c>
      <c r="N95" s="13">
        <f>IF('Données projet'!$A$36&gt;35,N94+M95-V94,IF(A95&lt;'Données projet'!$A$36,$K$205^A95,IF(A95='Données projet'!$A$36,'Données projet'!$B$36,N94+M95-V94)))</f>
        <v>324.79999999999978</v>
      </c>
      <c r="O95" s="13">
        <f>N95*VLOOKUP('Données projet'!$B$9,Paramètres!$A$1:$I$89,3,0)*VLOOKUP('Données projet'!$B$9,Paramètres!$A$1:$I$89,5,0)</f>
        <v>152.0063999999999</v>
      </c>
      <c r="P95" s="13">
        <f t="shared" si="87"/>
        <v>39.03419401656145</v>
      </c>
      <c r="Q95" s="20">
        <f t="shared" si="54"/>
        <v>332.72903457884433</v>
      </c>
      <c r="R95" s="59">
        <f t="shared" si="55"/>
        <v>626.06236791217771</v>
      </c>
      <c r="S95" s="59">
        <f ca="1">AVERAGE(OFFSET($R$3,0,0,'Données projet'!$E$9+1,1))-AVERAGE(OFFSET($H$3,0,0,'Données projet'!$E$9+1,1))</f>
        <v>107.39524504744702</v>
      </c>
      <c r="T95" s="59">
        <f t="shared" si="88"/>
        <v>102.66420075171004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45.739746053197784</v>
      </c>
      <c r="AA95" s="21">
        <f>EXP(-LN(2)/25)*AA94+(1-EXP(-LN(2)/25))/(LN(2)/25)*Calculateur!V95*Calculateur!X95*VLOOKUP('Données projet'!$B$9,Paramètres!$A$1:$I$89,3,0)*0.475*44/12</f>
        <v>10.058581666151689</v>
      </c>
      <c r="AB95" s="21">
        <f>EXP(-LN(2)/2)*AB94+(1-EXP(-LN(2)/2))/(LN(2)/2)*V95*Y95*VLOOKUP('Données projet'!$B$9,Paramètres!$A$1:$I$89,3,0)*0.475*44/12</f>
        <v>2.1219292748300447</v>
      </c>
      <c r="AC95" s="22">
        <f t="shared" si="57"/>
        <v>57.920256994179518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6.1</v>
      </c>
      <c r="AI95" s="13">
        <f>IF('Données projet'!$A$62&gt;35,AI94+AH95-AQ94,IF(A95&lt;'Données projet'!$A$62,$AF$205^A95,IF(A95='Données projet'!$A$62,'Données projet'!$B$62,AI94+AH95-AQ94)))</f>
        <v>234.50000000000026</v>
      </c>
      <c r="AJ95" s="13">
        <f>AI95*VLOOKUP('Données projet'!$B$10,Paramètres!$A$1:$I$89,3,0)*VLOOKUP('Données projet'!$B$10,Paramètres!$A$1:$I$89,5,0)</f>
        <v>212.1756000000002</v>
      </c>
      <c r="AK95" s="13">
        <f t="shared" si="89"/>
        <v>52.410723477279248</v>
      </c>
      <c r="AL95" s="20">
        <f t="shared" si="58"/>
        <v>460.82118005626171</v>
      </c>
      <c r="AM95" s="59">
        <f t="shared" si="59"/>
        <v>754.15451338959497</v>
      </c>
      <c r="AN95" s="59">
        <f ca="1">AVERAGE(OFFSET($AM$3,0,0,'Données projet'!$E$10+1,1))-AVERAGE(OFFSET($H$3,0,0,'Données projet'!$E$10+1,1))</f>
        <v>215.7418266360167</v>
      </c>
      <c r="AO95" s="59">
        <f t="shared" si="90"/>
        <v>155.78420008229949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44.456638942237348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44.456638942237348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7.4</v>
      </c>
      <c r="N96" s="13">
        <f>IF('Données projet'!$A$36&gt;35,N95+M96-V95,IF(A96&lt;'Données projet'!$A$36,$K$205^A96,IF(A96='Données projet'!$A$36,'Données projet'!$B$36,N95+M96-V95)))</f>
        <v>332.19999999999976</v>
      </c>
      <c r="O96" s="13">
        <f>N96*VLOOKUP('Données projet'!$B$9,Paramètres!$A$1:$I$89,3,0)*VLOOKUP('Données projet'!$B$9,Paramètres!$A$1:$I$89,5,0)</f>
        <v>155.4695999999999</v>
      </c>
      <c r="P96" s="13">
        <f t="shared" si="87"/>
        <v>39.818969095672898</v>
      </c>
      <c r="Q96" s="20">
        <f t="shared" si="54"/>
        <v>340.12759117496347</v>
      </c>
      <c r="R96" s="59">
        <f t="shared" si="55"/>
        <v>633.46092450829678</v>
      </c>
      <c r="S96" s="59">
        <f ca="1">AVERAGE(OFFSET($R$3,0,0,'Données projet'!$E$9+1,1))-AVERAGE(OFFSET($H$3,0,0,'Données projet'!$E$9+1,1))</f>
        <v>107.39524504744702</v>
      </c>
      <c r="T96" s="59">
        <f t="shared" si="88"/>
        <v>102.66420075171004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44.84281753158492</v>
      </c>
      <c r="AA96" s="21">
        <f>EXP(-LN(2)/25)*AA95+(1-EXP(-LN(2)/25))/(LN(2)/25)*Calculateur!V96*Calculateur!X96*VLOOKUP('Données projet'!$B$9,Paramètres!$A$1:$I$89,3,0)*0.475*44/12</f>
        <v>9.7835292215329499</v>
      </c>
      <c r="AB96" s="21">
        <f>EXP(-LN(2)/2)*AB95+(1-EXP(-LN(2)/2))/(LN(2)/2)*V96*Y96*VLOOKUP('Données projet'!$B$9,Paramètres!$A$1:$I$89,3,0)*0.475*44/12</f>
        <v>1.5004305794305779</v>
      </c>
      <c r="AC96" s="22">
        <f t="shared" si="57"/>
        <v>56.12677733254845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6.1</v>
      </c>
      <c r="AI96" s="13">
        <f>IF('Données projet'!$A$62&gt;35,AI95+AH96-AQ95,IF(A96&lt;'Données projet'!$A$62,$AF$205^A96,IF(A96='Données projet'!$A$62,'Données projet'!$B$62,AI95+AH96-AQ95)))</f>
        <v>240.60000000000025</v>
      </c>
      <c r="AJ96" s="13">
        <f>AI96*VLOOKUP('Données projet'!$B$10,Paramètres!$A$1:$I$89,3,0)*VLOOKUP('Données projet'!$B$10,Paramètres!$A$1:$I$89,5,0)</f>
        <v>217.69488000000024</v>
      </c>
      <c r="AK96" s="13">
        <f t="shared" si="89"/>
        <v>53.613572561591731</v>
      </c>
      <c r="AL96" s="20">
        <f t="shared" si="58"/>
        <v>472.52888821143938</v>
      </c>
      <c r="AM96" s="59">
        <f t="shared" si="59"/>
        <v>765.86222154477264</v>
      </c>
      <c r="AN96" s="59">
        <f ca="1">AVERAGE(OFFSET($AM$3,0,0,'Données projet'!$E$10+1,1))-AVERAGE(OFFSET($H$3,0,0,'Données projet'!$E$10+1,1))</f>
        <v>215.7418266360167</v>
      </c>
      <c r="AO96" s="59">
        <f t="shared" si="90"/>
        <v>155.78420008229949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43.584871368452355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43.584871368452355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7.4</v>
      </c>
      <c r="N97" s="13">
        <f>IF('Données projet'!$A$36&gt;35,N96+M97-V96,IF(A97&lt;'Données projet'!$A$36,$K$205^A97,IF(A97='Données projet'!$A$36,'Données projet'!$B$36,N96+M97-V96)))</f>
        <v>339.59999999999974</v>
      </c>
      <c r="O97" s="13">
        <f>N97*VLOOKUP('Données projet'!$B$9,Paramètres!$A$1:$I$89,3,0)*VLOOKUP('Données projet'!$B$9,Paramètres!$A$1:$I$89,5,0)</f>
        <v>158.93279999999987</v>
      </c>
      <c r="P97" s="13">
        <f t="shared" si="87"/>
        <v>40.601711792873232</v>
      </c>
      <c r="Q97" s="20">
        <f t="shared" si="54"/>
        <v>347.52260803925395</v>
      </c>
      <c r="R97" s="59">
        <f t="shared" si="55"/>
        <v>640.85594137258727</v>
      </c>
      <c r="S97" s="59">
        <f ca="1">AVERAGE(OFFSET($R$3,0,0,'Données projet'!$E$9+1,1))-AVERAGE(OFFSET($H$3,0,0,'Données projet'!$E$9+1,1))</f>
        <v>107.39524504744702</v>
      </c>
      <c r="T97" s="59">
        <f t="shared" si="88"/>
        <v>102.66420075171004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43.963477231208508</v>
      </c>
      <c r="AA97" s="21">
        <f>EXP(-LN(2)/25)*AA96+(1-EXP(-LN(2)/25))/(LN(2)/25)*Calculateur!V97*Calculateur!X97*VLOOKUP('Données projet'!$B$9,Paramètres!$A$1:$I$89,3,0)*0.475*44/12</f>
        <v>9.5159981004766898</v>
      </c>
      <c r="AB97" s="21">
        <f>EXP(-LN(2)/2)*AB96+(1-EXP(-LN(2)/2))/(LN(2)/2)*V97*Y97*VLOOKUP('Données projet'!$B$9,Paramètres!$A$1:$I$89,3,0)*0.475*44/12</f>
        <v>1.0609646374150223</v>
      </c>
      <c r="AC97" s="22">
        <f t="shared" si="57"/>
        <v>54.54043996910022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6.1</v>
      </c>
      <c r="AI97" s="13">
        <f>IF('Données projet'!$A$62&gt;35,AI96+AH97-AQ96,IF(A97&lt;'Données projet'!$A$62,$AF$205^A97,IF(A97='Données projet'!$A$62,'Données projet'!$B$62,AI96+AH97-AQ96)))</f>
        <v>246.70000000000024</v>
      </c>
      <c r="AJ97" s="13">
        <f>AI97*VLOOKUP('Données projet'!$B$10,Paramètres!$A$1:$I$89,3,0)*VLOOKUP('Données projet'!$B$10,Paramètres!$A$1:$I$89,5,0)</f>
        <v>223.21416000000019</v>
      </c>
      <c r="AK97" s="13">
        <f t="shared" si="89"/>
        <v>54.812876722660327</v>
      </c>
      <c r="AL97" s="20">
        <f t="shared" si="58"/>
        <v>484.23042229196705</v>
      </c>
      <c r="AM97" s="59">
        <f t="shared" si="59"/>
        <v>777.56375562530036</v>
      </c>
      <c r="AN97" s="59">
        <f ca="1">AVERAGE(OFFSET($AM$3,0,0,'Données projet'!$E$10+1,1))-AVERAGE(OFFSET($H$3,0,0,'Données projet'!$E$10+1,1))</f>
        <v>215.7418266360167</v>
      </c>
      <c r="AO97" s="59">
        <f t="shared" si="90"/>
        <v>155.78420008229949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42.730198625063572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42.730198625063572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7.4</v>
      </c>
      <c r="N98" s="13">
        <f>IF('Données projet'!$A$36&gt;35,N97+M98-V97,IF(A98&lt;'Données projet'!$A$36,$K$205^A98,IF(A98='Données projet'!$A$36,'Données projet'!$B$36,N97+M98-V97)))</f>
        <v>346.99999999999972</v>
      </c>
      <c r="O98" s="13">
        <f>N98*VLOOKUP('Données projet'!$B$9,Paramètres!$A$1:$I$89,3,0)*VLOOKUP('Données projet'!$B$9,Paramètres!$A$1:$I$89,5,0)</f>
        <v>162.39599999999987</v>
      </c>
      <c r="P98" s="13">
        <f t="shared" si="87"/>
        <v>41.382471494629662</v>
      </c>
      <c r="Q98" s="20">
        <f t="shared" si="54"/>
        <v>354.91417118647973</v>
      </c>
      <c r="R98" s="59">
        <f t="shared" si="55"/>
        <v>648.24750451981299</v>
      </c>
      <c r="S98" s="59">
        <f ca="1">AVERAGE(OFFSET($R$3,0,0,'Données projet'!$E$9+1,1))-AVERAGE(OFFSET($H$3,0,0,'Données projet'!$E$9+1,1))</f>
        <v>107.39524504744702</v>
      </c>
      <c r="T98" s="59">
        <f t="shared" si="88"/>
        <v>102.66420075171004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43.101380257777848</v>
      </c>
      <c r="AA98" s="21">
        <f>EXP(-LN(2)/25)*AA97+(1-EXP(-LN(2)/25))/(LN(2)/25)*Calculateur!V98*Calculateur!X98*VLOOKUP('Données projet'!$B$9,Paramètres!$A$1:$I$89,3,0)*0.475*44/12</f>
        <v>9.2557826319945633</v>
      </c>
      <c r="AB98" s="21">
        <f>EXP(-LN(2)/2)*AB97+(1-EXP(-LN(2)/2))/(LN(2)/2)*V98*Y98*VLOOKUP('Données projet'!$B$9,Paramètres!$A$1:$I$89,3,0)*0.475*44/12</f>
        <v>0.75021528971528895</v>
      </c>
      <c r="AC98" s="22">
        <f t="shared" si="57"/>
        <v>53.107378179487696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6.1</v>
      </c>
      <c r="AI98" s="13">
        <f>IF('Données projet'!$A$62&gt;35,AI97+AH98-AQ97,IF(A98&lt;'Données projet'!$A$62,$AF$205^A98,IF(A98='Données projet'!$A$62,'Données projet'!$B$62,AI97+AH98-AQ97)))</f>
        <v>252.80000000000024</v>
      </c>
      <c r="AJ98" s="13">
        <f>AI98*VLOOKUP('Données projet'!$B$10,Paramètres!$A$1:$I$89,3,0)*VLOOKUP('Données projet'!$B$10,Paramètres!$A$1:$I$89,5,0)</f>
        <v>228.73344000000023</v>
      </c>
      <c r="AK98" s="13">
        <f t="shared" si="89"/>
        <v>56.008733695918181</v>
      </c>
      <c r="AL98" s="20">
        <f t="shared" si="58"/>
        <v>495.92595252039115</v>
      </c>
      <c r="AM98" s="59">
        <f t="shared" si="59"/>
        <v>789.25928585372446</v>
      </c>
      <c r="AN98" s="59">
        <f ca="1">AVERAGE(OFFSET($AM$3,0,0,'Données projet'!$E$10+1,1))-AVERAGE(OFFSET($H$3,0,0,'Données projet'!$E$10+1,1))</f>
        <v>215.7418266360167</v>
      </c>
      <c r="AO98" s="59">
        <f t="shared" si="90"/>
        <v>155.78420008229949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41.892285492873746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41.892285492873746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7.4</v>
      </c>
      <c r="N99" s="13">
        <f>IF('Données projet'!$A$36&gt;35,N98+M99-V98,IF(A99&lt;'Données projet'!$A$36,$K$205^A99,IF(A99='Données projet'!$A$36,'Données projet'!$B$36,N98+M99-V98)))</f>
        <v>354.39999999999969</v>
      </c>
      <c r="O99" s="13">
        <f>N99*VLOOKUP('Données projet'!$B$9,Paramètres!$A$1:$I$89,3,0)*VLOOKUP('Données projet'!$B$9,Paramètres!$A$1:$I$89,5,0)</f>
        <v>165.85919999999987</v>
      </c>
      <c r="P99" s="13">
        <f t="shared" si="87"/>
        <v>42.16129536067745</v>
      </c>
      <c r="Q99" s="20">
        <f t="shared" ref="Q99:Q130" si="107">(O99+P99)*0.475*44/12</f>
        <v>362.30236275317969</v>
      </c>
      <c r="R99" s="59">
        <f t="shared" si="55"/>
        <v>655.63569608651301</v>
      </c>
      <c r="S99" s="59">
        <f ca="1">AVERAGE(OFFSET($R$3,0,0,'Données projet'!$E$9+1,1))-AVERAGE(OFFSET($H$3,0,0,'Données projet'!$E$9+1,1))</f>
        <v>107.39524504744702</v>
      </c>
      <c r="T99" s="59">
        <f t="shared" si="88"/>
        <v>102.66420075171004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42.256188480168937</v>
      </c>
      <c r="AA99" s="21">
        <f>EXP(-LN(2)/25)*AA98+(1-EXP(-LN(2)/25))/(LN(2)/25)*Calculateur!V99*Calculateur!X99*VLOOKUP('Données projet'!$B$9,Paramètres!$A$1:$I$89,3,0)*0.475*44/12</f>
        <v>9.0026827691822184</v>
      </c>
      <c r="AB99" s="21">
        <f>EXP(-LN(2)/2)*AB98+(1-EXP(-LN(2)/2))/(LN(2)/2)*V99*Y99*VLOOKUP('Données projet'!$B$9,Paramètres!$A$1:$I$89,3,0)*0.475*44/12</f>
        <v>0.53048231870751117</v>
      </c>
      <c r="AC99" s="22">
        <f t="shared" si="57"/>
        <v>51.789353568058672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6.1</v>
      </c>
      <c r="AI99" s="13">
        <f>IF('Données projet'!$A$62&gt;35,AI98+AH99-AQ98,IF(A99&lt;'Données projet'!$A$62,$AF$205^A99,IF(A99='Données projet'!$A$62,'Données projet'!$B$62,AI98+AH99-AQ98)))</f>
        <v>258.90000000000026</v>
      </c>
      <c r="AJ99" s="13">
        <f>AI99*VLOOKUP('Données projet'!$B$10,Paramètres!$A$1:$I$89,3,0)*VLOOKUP('Données projet'!$B$10,Paramètres!$A$1:$I$89,5,0)</f>
        <v>234.25272000000024</v>
      </c>
      <c r="AK99" s="13">
        <f t="shared" si="89"/>
        <v>57.20123623117135</v>
      </c>
      <c r="AL99" s="20">
        <f t="shared" si="58"/>
        <v>507.61564043595712</v>
      </c>
      <c r="AM99" s="59">
        <f t="shared" si="59"/>
        <v>800.94897376929043</v>
      </c>
      <c r="AN99" s="59">
        <f ca="1">AVERAGE(OFFSET($AM$3,0,0,'Données projet'!$E$10+1,1))-AVERAGE(OFFSET($H$3,0,0,'Données projet'!$E$10+1,1))</f>
        <v>215.7418266360167</v>
      </c>
      <c r="AO99" s="59">
        <f t="shared" si="90"/>
        <v>155.78420008229949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41.070803326129614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41.070803326129614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7.4</v>
      </c>
      <c r="N100" s="13">
        <f>IF('Données projet'!$A$36&gt;35,N99+M100-V99,IF(A100&lt;'Données projet'!$A$36,$K$205^A100,IF(A100='Données projet'!$A$36,'Données projet'!$B$36,N99+M100-V99)))</f>
        <v>361.79999999999967</v>
      </c>
      <c r="O100" s="13">
        <f>N100*VLOOKUP('Données projet'!$B$9,Paramètres!$A$1:$I$89,3,0)*VLOOKUP('Données projet'!$B$9,Paramètres!$A$1:$I$89,5,0)</f>
        <v>169.32239999999985</v>
      </c>
      <c r="P100" s="13">
        <f t="shared" si="87"/>
        <v>42.938228468783187</v>
      </c>
      <c r="Q100" s="20">
        <f t="shared" si="107"/>
        <v>369.68726124979707</v>
      </c>
      <c r="R100" s="59">
        <f t="shared" si="55"/>
        <v>663.02059458313033</v>
      </c>
      <c r="S100" s="59">
        <f ca="1">AVERAGE(OFFSET($R$3,0,0,'Données projet'!$E$9+1,1))-AVERAGE(OFFSET($H$3,0,0,'Données projet'!$E$9+1,1))</f>
        <v>107.39524504744702</v>
      </c>
      <c r="T100" s="59">
        <f t="shared" si="88"/>
        <v>102.66420075171004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41.427570397802853</v>
      </c>
      <c r="AA100" s="21">
        <f>EXP(-LN(2)/25)*AA99+(1-EXP(-LN(2)/25))/(LN(2)/25)*Calculateur!V100*Calculateur!X100*VLOOKUP('Données projet'!$B$9,Paramètres!$A$1:$I$89,3,0)*0.475*44/12</f>
        <v>8.7565039354284195</v>
      </c>
      <c r="AB100" s="21">
        <f>EXP(-LN(2)/2)*AB99+(1-EXP(-LN(2)/2))/(LN(2)/2)*V100*Y100*VLOOKUP('Données projet'!$B$9,Paramètres!$A$1:$I$89,3,0)*0.475*44/12</f>
        <v>0.37510764485764447</v>
      </c>
      <c r="AC100" s="22">
        <f t="shared" si="57"/>
        <v>50.559181978088915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265</v>
      </c>
      <c r="AG100" s="12">
        <f>VLOOKUP(A100,'Données projet'!$A$61:$I$81,9,0)</f>
        <v>6.1</v>
      </c>
      <c r="AH100" s="12">
        <f t="array" ref="AH100">INDEX(AG:AG,MIN(IF(ISNUMBER(AG100:AG296),ROW(AG100:AG296),"")))</f>
        <v>6.1</v>
      </c>
      <c r="AI100" s="13">
        <f>IF('Données projet'!$A$62&gt;35,AI99+AH100-AQ99,IF(A100&lt;'Données projet'!$A$62,$AF$205^A100,IF(A100='Données projet'!$A$62,'Données projet'!$B$62,AI99+AH100-AQ99)))</f>
        <v>265.00000000000028</v>
      </c>
      <c r="AJ100" s="13">
        <f>AI100*VLOOKUP('Données projet'!$B$10,Paramètres!$A$1:$I$89,3,0)*VLOOKUP('Données projet'!$B$10,Paramètres!$A$1:$I$89,5,0)</f>
        <v>239.77200000000025</v>
      </c>
      <c r="AK100" s="13">
        <f t="shared" si="89"/>
        <v>58.390472458309738</v>
      </c>
      <c r="AL100" s="20">
        <f t="shared" si="58"/>
        <v>519.29963953155652</v>
      </c>
      <c r="AM100" s="59">
        <f t="shared" si="59"/>
        <v>812.63297286488978</v>
      </c>
      <c r="AN100" s="59">
        <f ca="1">AVERAGE(OFFSET($AM$3,0,0,'Données projet'!$E$10+1,1))-AVERAGE(OFFSET($H$3,0,0,'Données projet'!$E$10+1,1))</f>
        <v>215.7418266360167</v>
      </c>
      <c r="AO100" s="59">
        <f t="shared" si="90"/>
        <v>155.78420008229949</v>
      </c>
      <c r="AP100" s="15">
        <f>IF(ISNA(VLOOKUP(A100,'Données projet'!$A$61:$I$81,3,0)),0,VLOOKUP(A100,'Données projet'!$A$61:$I$81,3,0))</f>
        <v>9</v>
      </c>
      <c r="AQ100" s="15">
        <f>IF(ISNA(VLOOKUP(A100,'Données projet'!$A$61:$I$81,4,0)),0,VLOOKUP(A100,'Données projet'!$A$61:$I$81,4,0))</f>
        <v>42</v>
      </c>
      <c r="AR100" s="16">
        <f>IF(ISNA(VLOOKUP(A100,'Données projet'!$A$61:$I$81,5,0)),0%,VLOOKUP(A100,'Données projet'!$A$61:$I$81,5,0)*VLOOKUP('Données projet'!$B$10,Paramètres!$A$1:$I$89,7,0))</f>
        <v>0.38700000000000001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56.523161832291258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56.523161832291258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7.4</v>
      </c>
      <c r="N101" s="13">
        <f>IF('Données projet'!$A$36&gt;35,N100+M101-V100,IF(A101&lt;'Données projet'!$A$36,$K$205^A101,IF(A101='Données projet'!$A$36,'Données projet'!$B$36,N100+M101-V100)))</f>
        <v>369.19999999999965</v>
      </c>
      <c r="O101" s="13">
        <f>N101*VLOOKUP('Données projet'!$B$9,Paramètres!$A$1:$I$89,3,0)*VLOOKUP('Données projet'!$B$9,Paramètres!$A$1:$I$89,5,0)</f>
        <v>172.78559999999982</v>
      </c>
      <c r="P101" s="13">
        <f t="shared" si="87"/>
        <v>43.713313947329709</v>
      </c>
      <c r="Q101" s="20">
        <f t="shared" si="107"/>
        <v>377.06894179159895</v>
      </c>
      <c r="R101" s="59">
        <f t="shared" si="55"/>
        <v>670.4022751249322</v>
      </c>
      <c r="S101" s="59">
        <f ca="1">AVERAGE(OFFSET($R$3,0,0,'Données projet'!$E$9+1,1))-AVERAGE(OFFSET($H$3,0,0,'Données projet'!$E$9+1,1))</f>
        <v>107.39524504744702</v>
      </c>
      <c r="T101" s="59">
        <f t="shared" si="88"/>
        <v>102.66420075171004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40.615201010624844</v>
      </c>
      <c r="AA101" s="21">
        <f>EXP(-LN(2)/25)*AA100+(1-EXP(-LN(2)/25))/(LN(2)/25)*Calculateur!V101*Calculateur!X101*VLOOKUP('Données projet'!$B$9,Paramètres!$A$1:$I$89,3,0)*0.475*44/12</f>
        <v>8.5170568748296009</v>
      </c>
      <c r="AB101" s="21">
        <f>EXP(-LN(2)/2)*AB100+(1-EXP(-LN(2)/2))/(LN(2)/2)*V101*Y101*VLOOKUP('Données projet'!$B$9,Paramètres!$A$1:$I$89,3,0)*0.475*44/12</f>
        <v>0.26524115935375558</v>
      </c>
      <c r="AC101" s="22">
        <f t="shared" si="57"/>
        <v>49.3974990448082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6.5</v>
      </c>
      <c r="AI101" s="13">
        <f>IF('Données projet'!$A$62&gt;35,AI100+AH101-AQ100,IF(A101&lt;'Données projet'!$A$62,$AF$205^A101,IF(A101='Données projet'!$A$62,'Données projet'!$B$62,AI100+AH101-AQ100)))</f>
        <v>229.50000000000028</v>
      </c>
      <c r="AJ101" s="13">
        <f>AI101*VLOOKUP('Données projet'!$B$10,Paramètres!$A$1:$I$89,3,0)*VLOOKUP('Données projet'!$B$10,Paramètres!$A$1:$I$89,5,0)</f>
        <v>207.65160000000026</v>
      </c>
      <c r="AK101" s="13">
        <f t="shared" si="89"/>
        <v>51.4220658130182</v>
      </c>
      <c r="AL101" s="20">
        <f t="shared" si="58"/>
        <v>451.21996795767382</v>
      </c>
      <c r="AM101" s="59">
        <f t="shared" si="59"/>
        <v>744.55330129100707</v>
      </c>
      <c r="AN101" s="59">
        <f ca="1">AVERAGE(OFFSET($AM$3,0,0,'Données projet'!$E$10+1,1))-AVERAGE(OFFSET($H$3,0,0,'Données projet'!$E$10+1,1))</f>
        <v>215.7418266360167</v>
      </c>
      <c r="AO101" s="59">
        <f t="shared" si="90"/>
        <v>155.78420008229949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55.41477710448455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55.41477710448455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7.4</v>
      </c>
      <c r="N102" s="13">
        <f>IF('Données projet'!$A$36&gt;35,N101+M102-V101,IF(A102&lt;'Données projet'!$A$36,$K$205^A102,IF(A102='Données projet'!$A$36,'Données projet'!$B$36,N101+M102-V101)))</f>
        <v>376.59999999999962</v>
      </c>
      <c r="O102" s="13">
        <f>N102*VLOOKUP('Données projet'!$B$9,Paramètres!$A$1:$I$89,3,0)*VLOOKUP('Données projet'!$B$9,Paramètres!$A$1:$I$89,5,0)</f>
        <v>176.24879999999982</v>
      </c>
      <c r="P102" s="13">
        <f t="shared" si="87"/>
        <v>44.486593096971596</v>
      </c>
      <c r="Q102" s="20">
        <f t="shared" si="107"/>
        <v>384.44747631055856</v>
      </c>
      <c r="R102" s="59">
        <f t="shared" si="55"/>
        <v>677.78080964389187</v>
      </c>
      <c r="S102" s="59">
        <f ca="1">AVERAGE(OFFSET($R$3,0,0,'Données projet'!$E$9+1,1))-AVERAGE(OFFSET($H$3,0,0,'Données projet'!$E$9+1,1))</f>
        <v>107.39524504744702</v>
      </c>
      <c r="T102" s="59">
        <f t="shared" si="88"/>
        <v>102.66420075171004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39.818761691632993</v>
      </c>
      <c r="AA102" s="21">
        <f>EXP(-LN(2)/25)*AA101+(1-EXP(-LN(2)/25))/(LN(2)/25)*Calculateur!V102*Calculateur!X102*VLOOKUP('Données projet'!$B$9,Paramètres!$A$1:$I$89,3,0)*0.475*44/12</f>
        <v>8.2841575066948305</v>
      </c>
      <c r="AB102" s="21">
        <f>EXP(-LN(2)/2)*AB101+(1-EXP(-LN(2)/2))/(LN(2)/2)*V102*Y102*VLOOKUP('Données projet'!$B$9,Paramètres!$A$1:$I$89,3,0)*0.475*44/12</f>
        <v>0.18755382242882224</v>
      </c>
      <c r="AC102" s="22">
        <f t="shared" si="57"/>
        <v>48.29047302075665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6.5</v>
      </c>
      <c r="AI102" s="13">
        <f>IF('Données projet'!$A$62&gt;35,AI101+AH102-AQ101,IF(A102&lt;'Données projet'!$A$62,$AF$205^A102,IF(A102='Données projet'!$A$62,'Données projet'!$B$62,AI101+AH102-AQ101)))</f>
        <v>236.00000000000028</v>
      </c>
      <c r="AJ102" s="13">
        <f>AI102*VLOOKUP('Données projet'!$B$10,Paramètres!$A$1:$I$89,3,0)*VLOOKUP('Données projet'!$B$10,Paramètres!$A$1:$I$89,5,0)</f>
        <v>213.53280000000026</v>
      </c>
      <c r="AK102" s="13">
        <f t="shared" si="89"/>
        <v>52.706840209271277</v>
      </c>
      <c r="AL102" s="20">
        <f t="shared" si="58"/>
        <v>463.70070669781461</v>
      </c>
      <c r="AM102" s="59">
        <f t="shared" si="59"/>
        <v>757.03404003114792</v>
      </c>
      <c r="AN102" s="59">
        <f ca="1">AVERAGE(OFFSET($AM$3,0,0,'Données projet'!$E$10+1,1))-AVERAGE(OFFSET($H$3,0,0,'Données projet'!$E$10+1,1))</f>
        <v>215.7418266360167</v>
      </c>
      <c r="AO102" s="59">
        <f t="shared" si="90"/>
        <v>155.78420008229949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54.328127125142203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54.328127125142203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384</v>
      </c>
      <c r="L103" s="12">
        <f>VLOOKUP(A103,'Données projet'!$A$35:$I$55,9,0)</f>
        <v>7.4</v>
      </c>
      <c r="M103" s="12">
        <f t="array" ref="M103">INDEX(L:L,MIN(IF(ISNUMBER(L103:L299),ROW(L103:L299),"")))</f>
        <v>7.4</v>
      </c>
      <c r="N103" s="13">
        <f>IF('Données projet'!$A$36&gt;35,N102+M103-V102,IF(A103&lt;'Données projet'!$A$36,$K$205^A103,IF(A103='Données projet'!$A$36,'Données projet'!$B$36,N102+M103-V102)))</f>
        <v>383.9999999999996</v>
      </c>
      <c r="O103" s="13">
        <f>N103*VLOOKUP('Données projet'!$B$9,Paramètres!$A$1:$I$89,3,0)*VLOOKUP('Données projet'!$B$9,Paramètres!$A$1:$I$89,5,0)</f>
        <v>179.71199999999979</v>
      </c>
      <c r="P103" s="13">
        <f t="shared" si="87"/>
        <v>45.258105502458015</v>
      </c>
      <c r="Q103" s="20">
        <f t="shared" si="107"/>
        <v>391.82293375011403</v>
      </c>
      <c r="R103" s="59">
        <f t="shared" si="55"/>
        <v>685.15626708344735</v>
      </c>
      <c r="S103" s="59">
        <f ca="1">AVERAGE(OFFSET($R$3,0,0,'Données projet'!$E$9+1,1))-AVERAGE(OFFSET($H$3,0,0,'Données projet'!$E$9+1,1))</f>
        <v>107.39524504744702</v>
      </c>
      <c r="T103" s="59">
        <f t="shared" si="88"/>
        <v>102.66420075171004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384</v>
      </c>
      <c r="W103" s="16">
        <f>IF(ISNA(VLOOKUP(A103,'Données projet'!$A$35:$I$55,5,0)),0%,VLOOKUP(A103,'Données projet'!$A$35:$I$55,5,0)*VLOOKUP('Données projet'!$B$9,Paramètres!$A$1:$I$89,7,0))</f>
        <v>0.38500000000000001</v>
      </c>
      <c r="X103" s="16">
        <f>IF(ISNA(VLOOKUP(A103,'Données projet'!$A$35:$I$55,6,0)),0%,VLOOKUP(A103,'Données projet'!$A$35:$I$55,6,0)*VLOOKUP('Données projet'!$B$9,Paramètres!$A$1:$I$89,7,0))</f>
        <v>9.3500000000000014E-2</v>
      </c>
      <c r="Y103" s="16">
        <f>IF(ISNA(VLOOKUP(A103,'Données projet'!$A$35:$I$55,7,0)),0%,VLOOKUP(A103,'Données projet'!$A$35:$I$55,7,0))</f>
        <v>0.13</v>
      </c>
      <c r="Z103" s="21">
        <f>EXP(-LN(2)/35)*Z102+(1-EXP(-LN(2)/35))/(LN(2)/35)*V103*W103*VLOOKUP('Données projet'!$B$9,Paramètres!$A$1:$I$89,3,0)*0.475*44/12</f>
        <v>130.82176735704758</v>
      </c>
      <c r="AA103" s="21">
        <f>EXP(-LN(2)/25)*AA102+(1-EXP(-LN(2)/25))/(LN(2)/25)*Calculateur!V103*Calculateur!X103*VLOOKUP('Données projet'!$B$9,Paramètres!$A$1:$I$89,3,0)*0.475*44/12</f>
        <v>30.260219208456512</v>
      </c>
      <c r="AB103" s="21">
        <f>EXP(-LN(2)/2)*AB102+(1-EXP(-LN(2)/2))/(LN(2)/2)*V103*Y103*VLOOKUP('Données projet'!$B$9,Paramètres!$A$1:$I$89,3,0)*0.475*44/12</f>
        <v>26.584465564576785</v>
      </c>
      <c r="AC103" s="22">
        <f t="shared" si="57"/>
        <v>187.66645213008087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6.5</v>
      </c>
      <c r="AI103" s="13">
        <f>IF('Données projet'!$A$62&gt;35,AI102+AH103-AQ102,IF(A103&lt;'Données projet'!$A$62,$AF$205^A103,IF(A103='Données projet'!$A$62,'Données projet'!$B$62,AI102+AH103-AQ102)))</f>
        <v>242.50000000000028</v>
      </c>
      <c r="AJ103" s="13">
        <f>AI103*VLOOKUP('Données projet'!$B$10,Paramètres!$A$1:$I$89,3,0)*VLOOKUP('Données projet'!$B$10,Paramètres!$A$1:$I$89,5,0)</f>
        <v>219.41400000000024</v>
      </c>
      <c r="AK103" s="13">
        <f t="shared" si="89"/>
        <v>53.987501751847219</v>
      </c>
      <c r="AL103" s="20">
        <f t="shared" si="58"/>
        <v>476.17428221780096</v>
      </c>
      <c r="AM103" s="59">
        <f t="shared" si="59"/>
        <v>769.50761555113422</v>
      </c>
      <c r="AN103" s="59">
        <f ca="1">AVERAGE(OFFSET($AM$3,0,0,'Données projet'!$E$10+1,1))-AVERAGE(OFFSET($H$3,0,0,'Données projet'!$E$10+1,1))</f>
        <v>215.7418266360167</v>
      </c>
      <c r="AO103" s="59">
        <f t="shared" si="90"/>
        <v>155.78420008229949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53.262785689103715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53.262785689103715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-3.979039320256561E-13</v>
      </c>
      <c r="O104" s="13">
        <f>N104*VLOOKUP('Données projet'!$B$9,Paramètres!$A$1:$I$89,3,0)*VLOOKUP('Données projet'!$B$9,Paramètres!$A$1:$I$89,5,0)</f>
        <v>-1.8621904018800707E-13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107.39524504744702</v>
      </c>
      <c r="T104" s="59">
        <f t="shared" si="88"/>
        <v>102.66420075171004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128.25643229257503</v>
      </c>
      <c r="AA104" s="21">
        <f>EXP(-LN(2)/25)*AA103+(1-EXP(-LN(2)/25))/(LN(2)/25)*Calculateur!V104*Calculateur!X104*VLOOKUP('Données projet'!$B$9,Paramètres!$A$1:$I$89,3,0)*0.475*44/12</f>
        <v>29.432751922885501</v>
      </c>
      <c r="AB104" s="21">
        <f>EXP(-LN(2)/2)*AB103+(1-EXP(-LN(2)/2))/(LN(2)/2)*V104*Y104*VLOOKUP('Données projet'!$B$9,Paramètres!$A$1:$I$89,3,0)*0.475*44/12</f>
        <v>18.798055874932505</v>
      </c>
      <c r="AC104" s="22">
        <f t="shared" si="57"/>
        <v>176.48724009039304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</v>
      </c>
      <c r="AI104" s="13">
        <f>IF('Données projet'!$A$62&gt;35,AI103+AH104-AQ103,IF(A104&lt;'Données projet'!$A$62,$AF$205^A104,IF(A104='Données projet'!$A$62,'Données projet'!$B$62,AI103+AH104-AQ103)))</f>
        <v>249.00000000000028</v>
      </c>
      <c r="AJ104" s="13">
        <f>AI104*VLOOKUP('Données projet'!$B$10,Paramètres!$A$1:$I$89,3,0)*VLOOKUP('Données projet'!$B$10,Paramètres!$A$1:$I$89,5,0)</f>
        <v>225.29520000000025</v>
      </c>
      <c r="AK104" s="13">
        <f t="shared" si="89"/>
        <v>55.26417335229317</v>
      </c>
      <c r="AL104" s="20">
        <f t="shared" si="58"/>
        <v>488.64090858857759</v>
      </c>
      <c r="AM104" s="59">
        <f t="shared" si="59"/>
        <v>781.9742419219109</v>
      </c>
      <c r="AN104" s="59">
        <f ca="1">AVERAGE(OFFSET($AM$3,0,0,'Données projet'!$E$10+1,1))-AVERAGE(OFFSET($H$3,0,0,'Données projet'!$E$10+1,1))</f>
        <v>215.7418266360167</v>
      </c>
      <c r="AO104" s="59">
        <f t="shared" si="90"/>
        <v>155.78420008229949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52.218334948831831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52.218334948831831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-3.979039320256561E-13</v>
      </c>
      <c r="O105" s="13">
        <f>N105*VLOOKUP('Données projet'!$B$9,Paramètres!$A$1:$I$89,3,0)*VLOOKUP('Données projet'!$B$9,Paramètres!$A$1:$I$89,5,0)</f>
        <v>-1.8621904018800707E-13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107.39524504744702</v>
      </c>
      <c r="T105" s="59">
        <f t="shared" si="88"/>
        <v>102.66420075171004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125.74140188401688</v>
      </c>
      <c r="AA105" s="21">
        <f>EXP(-LN(2)/25)*AA104+(1-EXP(-LN(2)/25))/(LN(2)/25)*Calculateur!V105*Calculateur!X105*VLOOKUP('Données projet'!$B$9,Paramètres!$A$1:$I$89,3,0)*0.475*44/12</f>
        <v>28.627911773753041</v>
      </c>
      <c r="AB105" s="21">
        <f>EXP(-LN(2)/2)*AB104+(1-EXP(-LN(2)/2))/(LN(2)/2)*V105*Y105*VLOOKUP('Données projet'!$B$9,Paramètres!$A$1:$I$89,3,0)*0.475*44/12</f>
        <v>13.292232782288394</v>
      </c>
      <c r="AC105" s="22">
        <f t="shared" si="57"/>
        <v>167.66154644005832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</v>
      </c>
      <c r="AI105" s="13">
        <f>IF('Données projet'!$A$62&gt;35,AI104+AH105-AQ104,IF(A105&lt;'Données projet'!$A$62,$AF$205^A105,IF(A105='Données projet'!$A$62,'Données projet'!$B$62,AI104+AH105-AQ104)))</f>
        <v>255.50000000000028</v>
      </c>
      <c r="AJ105" s="13">
        <f>AI105*VLOOKUP('Données projet'!$B$10,Paramètres!$A$1:$I$89,3,0)*VLOOKUP('Données projet'!$B$10,Paramètres!$A$1:$I$89,5,0)</f>
        <v>231.17640000000026</v>
      </c>
      <c r="AK105" s="13">
        <f t="shared" si="89"/>
        <v>56.536971139595558</v>
      </c>
      <c r="AL105" s="20">
        <f t="shared" si="58"/>
        <v>501.10078806812936</v>
      </c>
      <c r="AM105" s="59">
        <f t="shared" si="59"/>
        <v>794.43412140146268</v>
      </c>
      <c r="AN105" s="59">
        <f ca="1">AVERAGE(OFFSET($AM$3,0,0,'Données projet'!$E$10+1,1))-AVERAGE(OFFSET($H$3,0,0,'Données projet'!$E$10+1,1))</f>
        <v>215.7418266360167</v>
      </c>
      <c r="AO105" s="59">
        <f t="shared" si="90"/>
        <v>155.78420008229949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51.194365250524626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51.194365250524626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-3.979039320256561E-13</v>
      </c>
      <c r="O106" s="13">
        <f>N106*VLOOKUP('Données projet'!$B$9,Paramètres!$A$1:$I$89,3,0)*VLOOKUP('Données projet'!$B$9,Paramètres!$A$1:$I$89,5,0)</f>
        <v>-1.8621904018800707E-13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107.39524504744702</v>
      </c>
      <c r="T106" s="59">
        <f t="shared" si="88"/>
        <v>102.66420075171004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123.27568968775348</v>
      </c>
      <c r="AA106" s="21">
        <f>EXP(-LN(2)/25)*AA105+(1-EXP(-LN(2)/25))/(LN(2)/25)*Calculateur!V106*Calculateur!X106*VLOOKUP('Données projet'!$B$9,Paramètres!$A$1:$I$89,3,0)*0.475*44/12</f>
        <v>27.845080020823314</v>
      </c>
      <c r="AB106" s="21">
        <f>EXP(-LN(2)/2)*AB105+(1-EXP(-LN(2)/2))/(LN(2)/2)*V106*Y106*VLOOKUP('Données projet'!$B$9,Paramètres!$A$1:$I$89,3,0)*0.475*44/12</f>
        <v>9.3990279374662542</v>
      </c>
      <c r="AC106" s="22">
        <f t="shared" si="57"/>
        <v>160.51979764604306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</v>
      </c>
      <c r="AI106" s="13">
        <f>IF('Données projet'!$A$62&gt;35,AI105+AH106-AQ105,IF(A106&lt;'Données projet'!$A$62,$AF$205^A106,IF(A106='Données projet'!$A$62,'Données projet'!$B$62,AI105+AH106-AQ105)))</f>
        <v>262.00000000000028</v>
      </c>
      <c r="AJ106" s="13">
        <f>AI106*VLOOKUP('Données projet'!$B$10,Paramètres!$A$1:$I$89,3,0)*VLOOKUP('Données projet'!$B$10,Paramètres!$A$1:$I$89,5,0)</f>
        <v>237.05760000000024</v>
      </c>
      <c r="AK106" s="13">
        <f t="shared" si="89"/>
        <v>57.806004997354748</v>
      </c>
      <c r="AL106" s="20">
        <f t="shared" si="58"/>
        <v>513.55411203705989</v>
      </c>
      <c r="AM106" s="59">
        <f t="shared" si="59"/>
        <v>806.88744537039315</v>
      </c>
      <c r="AN106" s="59">
        <f ca="1">AVERAGE(OFFSET($AM$3,0,0,'Données projet'!$E$10+1,1))-AVERAGE(OFFSET($H$3,0,0,'Données projet'!$E$10+1,1))</f>
        <v>215.7418266360167</v>
      </c>
      <c r="AO106" s="59">
        <f t="shared" si="90"/>
        <v>155.78420008229949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50.190474973441383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50.190474973441383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-3.979039320256561E-13</v>
      </c>
      <c r="O107" s="13">
        <f>N107*VLOOKUP('Données projet'!$B$9,Paramètres!$A$1:$I$89,3,0)*VLOOKUP('Données projet'!$B$9,Paramètres!$A$1:$I$89,5,0)</f>
        <v>-1.8621904018800707E-13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107.39524504744702</v>
      </c>
      <c r="T107" s="59">
        <f t="shared" si="88"/>
        <v>102.66420075171004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120.85832860372288</v>
      </c>
      <c r="AA107" s="21">
        <f>EXP(-LN(2)/25)*AA106+(1-EXP(-LN(2)/25))/(LN(2)/25)*Calculateur!V107*Calculateur!X107*VLOOKUP('Données projet'!$B$9,Paramètres!$A$1:$I$89,3,0)*0.475*44/12</f>
        <v>27.083654843344782</v>
      </c>
      <c r="AB107" s="21">
        <f>EXP(-LN(2)/2)*AB106+(1-EXP(-LN(2)/2))/(LN(2)/2)*V107*Y107*VLOOKUP('Données projet'!$B$9,Paramètres!$A$1:$I$89,3,0)*0.475*44/12</f>
        <v>6.6461163911441981</v>
      </c>
      <c r="AC107" s="22">
        <f t="shared" si="57"/>
        <v>154.58809983821186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</v>
      </c>
      <c r="AI107" s="13">
        <f>IF('Données projet'!$A$62&gt;35,AI106+AH107-AQ106,IF(A107&lt;'Données projet'!$A$62,$AF$205^A107,IF(A107='Données projet'!$A$62,'Données projet'!$B$62,AI106+AH107-AQ106)))</f>
        <v>268.50000000000028</v>
      </c>
      <c r="AJ107" s="13">
        <f>AI107*VLOOKUP('Données projet'!$B$10,Paramètres!$A$1:$I$89,3,0)*VLOOKUP('Données projet'!$B$10,Paramètres!$A$1:$I$89,5,0)</f>
        <v>242.93880000000027</v>
      </c>
      <c r="AK107" s="13">
        <f t="shared" si="89"/>
        <v>59.071379046151783</v>
      </c>
      <c r="AL107" s="20">
        <f t="shared" si="58"/>
        <v>526.0010618387148</v>
      </c>
      <c r="AM107" s="59">
        <f t="shared" si="59"/>
        <v>819.33439517204806</v>
      </c>
      <c r="AN107" s="59">
        <f ca="1">AVERAGE(OFFSET($AM$3,0,0,'Données projet'!$E$10+1,1))-AVERAGE(OFFSET($H$3,0,0,'Données projet'!$E$10+1,1))</f>
        <v>215.7418266360167</v>
      </c>
      <c r="AO107" s="59">
        <f t="shared" si="90"/>
        <v>155.78420008229949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49.20627037237913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49.20627037237913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-3.979039320256561E-13</v>
      </c>
      <c r="O108" s="13">
        <f>N108*VLOOKUP('Données projet'!$B$9,Paramètres!$A$1:$I$89,3,0)*VLOOKUP('Données projet'!$B$9,Paramètres!$A$1:$I$89,5,0)</f>
        <v>-1.8621904018800707E-13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107.39524504744702</v>
      </c>
      <c r="T108" s="59">
        <f t="shared" si="88"/>
        <v>102.66420075171004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118.48837049610545</v>
      </c>
      <c r="AA108" s="21">
        <f>EXP(-LN(2)/25)*AA107+(1-EXP(-LN(2)/25))/(LN(2)/25)*Calculateur!V108*Calculateur!X108*VLOOKUP('Données projet'!$B$9,Paramètres!$A$1:$I$89,3,0)*0.475*44/12</f>
        <v>26.343050877386013</v>
      </c>
      <c r="AB108" s="21">
        <f>EXP(-LN(2)/2)*AB107+(1-EXP(-LN(2)/2))/(LN(2)/2)*V108*Y108*VLOOKUP('Données projet'!$B$9,Paramètres!$A$1:$I$89,3,0)*0.475*44/12</f>
        <v>4.699513968733128</v>
      </c>
      <c r="AC108" s="22">
        <f t="shared" si="57"/>
        <v>149.53093534222458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</v>
      </c>
      <c r="AI108" s="13">
        <f>IF('Données projet'!$A$62&gt;35,AI107+AH108-AQ107,IF(A108&lt;'Données projet'!$A$62,$AF$205^A108,IF(A108='Données projet'!$A$62,'Données projet'!$B$62,AI107+AH108-AQ107)))</f>
        <v>275.00000000000028</v>
      </c>
      <c r="AJ108" s="13">
        <f>AI108*VLOOKUP('Données projet'!$B$10,Paramètres!$A$1:$I$89,3,0)*VLOOKUP('Données projet'!$B$10,Paramètres!$A$1:$I$89,5,0)</f>
        <v>248.82000000000022</v>
      </c>
      <c r="AK108" s="13">
        <f t="shared" si="89"/>
        <v>60.333192077890125</v>
      </c>
      <c r="AL108" s="20">
        <f t="shared" si="58"/>
        <v>538.4418095356591</v>
      </c>
      <c r="AM108" s="59">
        <f t="shared" si="59"/>
        <v>831.77514286899236</v>
      </c>
      <c r="AN108" s="59">
        <f ca="1">AVERAGE(OFFSET($AM$3,0,0,'Données projet'!$E$10+1,1))-AVERAGE(OFFSET($H$3,0,0,'Données projet'!$E$10+1,1))</f>
        <v>215.7418266360167</v>
      </c>
      <c r="AO108" s="59">
        <f t="shared" si="90"/>
        <v>155.78420008229949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48.241365423238179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48.241365423238179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-3.979039320256561E-13</v>
      </c>
      <c r="O109" s="13">
        <f>N109*VLOOKUP('Données projet'!$B$9,Paramètres!$A$1:$I$89,3,0)*VLOOKUP('Données projet'!$B$9,Paramètres!$A$1:$I$89,5,0)</f>
        <v>-1.8621904018800707E-13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107.39524504744702</v>
      </c>
      <c r="T109" s="59">
        <f t="shared" si="88"/>
        <v>102.66420075171004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116.16488582144667</v>
      </c>
      <c r="AA109" s="21">
        <f>EXP(-LN(2)/25)*AA108+(1-EXP(-LN(2)/25))/(LN(2)/25)*Calculateur!V109*Calculateur!X109*VLOOKUP('Données projet'!$B$9,Paramètres!$A$1:$I$89,3,0)*0.475*44/12</f>
        <v>25.622698765823053</v>
      </c>
      <c r="AB109" s="21">
        <f>EXP(-LN(2)/2)*AB108+(1-EXP(-LN(2)/2))/(LN(2)/2)*V109*Y109*VLOOKUP('Données projet'!$B$9,Paramètres!$A$1:$I$89,3,0)*0.475*44/12</f>
        <v>3.3230581955720999</v>
      </c>
      <c r="AC109" s="22">
        <f t="shared" si="57"/>
        <v>145.11064278284181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</v>
      </c>
      <c r="AI109" s="13">
        <f>IF('Données projet'!$A$62&gt;35,AI108+AH109-AQ108,IF(A109&lt;'Données projet'!$A$62,$AF$205^A109,IF(A109='Données projet'!$A$62,'Données projet'!$B$62,AI108+AH109-AQ108)))</f>
        <v>281.50000000000028</v>
      </c>
      <c r="AJ109" s="13">
        <f>AI109*VLOOKUP('Données projet'!$B$10,Paramètres!$A$1:$I$89,3,0)*VLOOKUP('Données projet'!$B$10,Paramètres!$A$1:$I$89,5,0)</f>
        <v>254.70120000000026</v>
      </c>
      <c r="AK109" s="13">
        <f t="shared" si="89"/>
        <v>61.591537947915228</v>
      </c>
      <c r="AL109" s="20">
        <f t="shared" si="58"/>
        <v>550.87651859261939</v>
      </c>
      <c r="AM109" s="59">
        <f t="shared" si="59"/>
        <v>844.20985192595276</v>
      </c>
      <c r="AN109" s="59">
        <f ca="1">AVERAGE(OFFSET($AM$3,0,0,'Données projet'!$E$10+1,1))-AVERAGE(OFFSET($H$3,0,0,'Données projet'!$E$10+1,1))</f>
        <v>215.7418266360167</v>
      </c>
      <c r="AO109" s="59">
        <f t="shared" si="90"/>
        <v>155.78420008229949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47.295381671615978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47.295381671615978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-3.979039320256561E-13</v>
      </c>
      <c r="O110" s="13">
        <f>N110*VLOOKUP('Données projet'!$B$9,Paramètres!$A$1:$I$89,3,0)*VLOOKUP('Données projet'!$B$9,Paramètres!$A$1:$I$89,5,0)</f>
        <v>-1.8621904018800707E-13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107.39524504744702</v>
      </c>
      <c r="T110" s="59">
        <f t="shared" si="88"/>
        <v>102.66420075171004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113.88696326407225</v>
      </c>
      <c r="AA110" s="21">
        <f>EXP(-LN(2)/25)*AA109+(1-EXP(-LN(2)/25))/(LN(2)/25)*Calculateur!V110*Calculateur!X110*VLOOKUP('Données projet'!$B$9,Paramètres!$A$1:$I$89,3,0)*0.475*44/12</f>
        <v>24.922044720632456</v>
      </c>
      <c r="AB110" s="21">
        <f>EXP(-LN(2)/2)*AB109+(1-EXP(-LN(2)/2))/(LN(2)/2)*V110*Y110*VLOOKUP('Données projet'!$B$9,Paramètres!$A$1:$I$89,3,0)*0.475*44/12</f>
        <v>2.3497569843665644</v>
      </c>
      <c r="AC110" s="22">
        <f t="shared" si="57"/>
        <v>141.15876496907126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>
        <f>VLOOKUP(A110,'Données projet'!$A$61:$I$81,2,0)</f>
        <v>288</v>
      </c>
      <c r="AG110" s="12">
        <f>VLOOKUP(A110,'Données projet'!$A$61:$I$81,9,0)</f>
        <v>6.5</v>
      </c>
      <c r="AH110" s="12">
        <f t="array" ref="AH110">INDEX(AG:AG,MIN(IF(ISNUMBER(AG110:AG306),ROW(AG110:AG306),"")))</f>
        <v>6.5</v>
      </c>
      <c r="AI110" s="13">
        <f>IF('Données projet'!$A$62&gt;35,AI109+AH110-AQ109,IF(A110&lt;'Données projet'!$A$62,$AF$205^A110,IF(A110='Données projet'!$A$62,'Données projet'!$B$62,AI109+AH110-AQ109)))</f>
        <v>288.00000000000028</v>
      </c>
      <c r="AJ110" s="13">
        <f>AI110*VLOOKUP('Données projet'!$B$10,Paramètres!$A$1:$I$89,3,0)*VLOOKUP('Données projet'!$B$10,Paramètres!$A$1:$I$89,5,0)</f>
        <v>260.58240000000023</v>
      </c>
      <c r="AK110" s="13">
        <f t="shared" si="89"/>
        <v>62.846505929896907</v>
      </c>
      <c r="AL110" s="20">
        <f t="shared" si="58"/>
        <v>563.30534449457082</v>
      </c>
      <c r="AM110" s="59">
        <f t="shared" si="59"/>
        <v>856.63867782790408</v>
      </c>
      <c r="AN110" s="59">
        <f ca="1">AVERAGE(OFFSET($AM$3,0,0,'Données projet'!$E$10+1,1))-AVERAGE(OFFSET($H$3,0,0,'Données projet'!$E$10+1,1))</f>
        <v>215.7418266360167</v>
      </c>
      <c r="AO110" s="59">
        <f t="shared" si="90"/>
        <v>155.78420008229949</v>
      </c>
      <c r="AP110" s="15">
        <f>IF(ISNA(VLOOKUP(A110,'Données projet'!$A$61:$I$81,3,0)),0,VLOOKUP(A110,'Données projet'!$A$61:$I$81,3,0))</f>
        <v>10</v>
      </c>
      <c r="AQ110" s="15">
        <f>IF(ISNA(VLOOKUP(A110,'Données projet'!$A$61:$I$81,4,0)),0,VLOOKUP(A110,'Données projet'!$A$61:$I$81,4,0))</f>
        <v>46</v>
      </c>
      <c r="AR110" s="16">
        <f>IF(ISNA(VLOOKUP(A110,'Données projet'!$A$61:$I$81,5,0)),0%,VLOOKUP(A110,'Données projet'!$A$61:$I$81,5,0)*VLOOKUP('Données projet'!$B$10,Paramètres!$A$1:$I$89,7,0))</f>
        <v>0.38700000000000001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64.174035412913923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64.174035412913923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-3.979039320256561E-13</v>
      </c>
      <c r="O111" s="13">
        <f>N111*VLOOKUP('Données projet'!$B$9,Paramètres!$A$1:$I$89,3,0)*VLOOKUP('Données projet'!$B$9,Paramètres!$A$1:$I$89,5,0)</f>
        <v>-1.8621904018800707E-13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107.39524504744702</v>
      </c>
      <c r="T111" s="59">
        <f t="shared" si="88"/>
        <v>102.66420075171004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111.65370937865237</v>
      </c>
      <c r="AA111" s="21">
        <f>EXP(-LN(2)/25)*AA110+(1-EXP(-LN(2)/25))/(LN(2)/25)*Calculateur!V111*Calculateur!X111*VLOOKUP('Données projet'!$B$9,Paramètres!$A$1:$I$89,3,0)*0.475*44/12</f>
        <v>24.240550097153392</v>
      </c>
      <c r="AB111" s="21">
        <f>EXP(-LN(2)/2)*AB110+(1-EXP(-LN(2)/2))/(LN(2)/2)*V111*Y111*VLOOKUP('Données projet'!$B$9,Paramètres!$A$1:$I$89,3,0)*0.475*44/12</f>
        <v>1.6615290977860502</v>
      </c>
      <c r="AC111" s="22">
        <f t="shared" si="57"/>
        <v>137.55578857359183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6.7</v>
      </c>
      <c r="AI111" s="13">
        <f>IF('Données projet'!$A$62&gt;35,AI110+AH111-AQ110,IF(A111&lt;'Données projet'!$A$62,$AF$205^A111,IF(A111='Données projet'!$A$62,'Données projet'!$B$62,AI110+AH111-AQ110)))</f>
        <v>248.70000000000027</v>
      </c>
      <c r="AJ111" s="13">
        <f>AI111*VLOOKUP('Données projet'!$B$10,Paramètres!$A$1:$I$89,3,0)*VLOOKUP('Données projet'!$B$10,Paramètres!$A$1:$I$89,5,0)</f>
        <v>225.02376000000024</v>
      </c>
      <c r="AK111" s="13">
        <f t="shared" si="89"/>
        <v>55.205336184590507</v>
      </c>
      <c r="AL111" s="20">
        <f t="shared" si="58"/>
        <v>488.06567585482873</v>
      </c>
      <c r="AM111" s="59">
        <f t="shared" si="59"/>
        <v>781.39900918816204</v>
      </c>
      <c r="AN111" s="59">
        <f ca="1">AVERAGE(OFFSET($AM$3,0,0,'Données projet'!$E$10+1,1))-AVERAGE(OFFSET($H$3,0,0,'Données projet'!$E$10+1,1))</f>
        <v>215.7418266360167</v>
      </c>
      <c r="AO111" s="59">
        <f t="shared" si="90"/>
        <v>155.78420008229949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62.915621720763305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62.915621720763305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-3.979039320256561E-13</v>
      </c>
      <c r="O112" s="13">
        <f>N112*VLOOKUP('Données projet'!$B$9,Paramètres!$A$1:$I$89,3,0)*VLOOKUP('Données projet'!$B$9,Paramètres!$A$1:$I$89,5,0)</f>
        <v>-1.8621904018800707E-13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107.39524504744702</v>
      </c>
      <c r="T112" s="59">
        <f t="shared" si="88"/>
        <v>102.66420075171004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109.4642482397752</v>
      </c>
      <c r="AA112" s="21">
        <f>EXP(-LN(2)/25)*AA111+(1-EXP(-LN(2)/25))/(LN(2)/25)*Calculateur!V112*Calculateur!X112*VLOOKUP('Données projet'!$B$9,Paramètres!$A$1:$I$89,3,0)*0.475*44/12</f>
        <v>23.577690979991605</v>
      </c>
      <c r="AB112" s="21">
        <f>EXP(-LN(2)/2)*AB111+(1-EXP(-LN(2)/2))/(LN(2)/2)*V112*Y112*VLOOKUP('Données projet'!$B$9,Paramètres!$A$1:$I$89,3,0)*0.475*44/12</f>
        <v>1.1748784921832824</v>
      </c>
      <c r="AC112" s="22">
        <f t="shared" si="57"/>
        <v>134.21681771195011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6.7</v>
      </c>
      <c r="AI112" s="13">
        <f>IF('Données projet'!$A$62&gt;35,AI111+AH112-AQ111,IF(A112&lt;'Données projet'!$A$62,$AF$205^A112,IF(A112='Données projet'!$A$62,'Données projet'!$B$62,AI111+AH112-AQ111)))</f>
        <v>255.40000000000026</v>
      </c>
      <c r="AJ112" s="13">
        <f>AI112*VLOOKUP('Données projet'!$B$10,Paramètres!$A$1:$I$89,3,0)*VLOOKUP('Données projet'!$B$10,Paramètres!$A$1:$I$89,5,0)</f>
        <v>231.08592000000024</v>
      </c>
      <c r="AK112" s="13">
        <f t="shared" si="89"/>
        <v>56.517418417166077</v>
      </c>
      <c r="AL112" s="20">
        <f t="shared" si="58"/>
        <v>500.90914774323136</v>
      </c>
      <c r="AM112" s="59">
        <f t="shared" si="59"/>
        <v>794.24248107656467</v>
      </c>
      <c r="AN112" s="59">
        <f ca="1">AVERAGE(OFFSET($AM$3,0,0,'Données projet'!$E$10+1,1))-AVERAGE(OFFSET($H$3,0,0,'Données projet'!$E$10+1,1))</f>
        <v>215.7418266360167</v>
      </c>
      <c r="AO112" s="59">
        <f t="shared" si="90"/>
        <v>155.78420008229949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61.681884753559196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61.681884753559196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-3.979039320256561E-13</v>
      </c>
      <c r="O113" s="13">
        <f>N113*VLOOKUP('Données projet'!$B$9,Paramètres!$A$1:$I$89,3,0)*VLOOKUP('Données projet'!$B$9,Paramètres!$A$1:$I$89,5,0)</f>
        <v>-1.8621904018800707E-13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107.39524504744702</v>
      </c>
      <c r="T113" s="59">
        <f t="shared" si="88"/>
        <v>102.66420075171004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107.31772109839198</v>
      </c>
      <c r="AA113" s="21">
        <f>EXP(-LN(2)/25)*AA112+(1-EXP(-LN(2)/25))/(LN(2)/25)*Calculateur!V113*Calculateur!X113*VLOOKUP('Données projet'!$B$9,Paramètres!$A$1:$I$89,3,0)*0.475*44/12</f>
        <v>22.932957780246852</v>
      </c>
      <c r="AB113" s="21">
        <f>EXP(-LN(2)/2)*AB112+(1-EXP(-LN(2)/2))/(LN(2)/2)*V113*Y113*VLOOKUP('Données projet'!$B$9,Paramètres!$A$1:$I$89,3,0)*0.475*44/12</f>
        <v>0.8307645488930252</v>
      </c>
      <c r="AC113" s="22">
        <f t="shared" si="57"/>
        <v>131.08144342753187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6.7</v>
      </c>
      <c r="AI113" s="13">
        <f>IF('Données projet'!$A$62&gt;35,AI112+AH113-AQ112,IF(A113&lt;'Données projet'!$A$62,$AF$205^A113,IF(A113='Données projet'!$A$62,'Données projet'!$B$62,AI112+AH113-AQ112)))</f>
        <v>262.10000000000025</v>
      </c>
      <c r="AJ113" s="13">
        <f>AI113*VLOOKUP('Données projet'!$B$10,Paramètres!$A$1:$I$89,3,0)*VLOOKUP('Données projet'!$B$10,Paramètres!$A$1:$I$89,5,0)</f>
        <v>237.14808000000022</v>
      </c>
      <c r="AK113" s="13">
        <f t="shared" si="89"/>
        <v>57.825499749857393</v>
      </c>
      <c r="AL113" s="20">
        <f t="shared" si="58"/>
        <v>513.74565139766867</v>
      </c>
      <c r="AM113" s="59">
        <f t="shared" si="59"/>
        <v>807.07898473100204</v>
      </c>
      <c r="AN113" s="59">
        <f ca="1">AVERAGE(OFFSET($AM$3,0,0,'Données projet'!$E$10+1,1))-AVERAGE(OFFSET($H$3,0,0,'Données projet'!$E$10+1,1))</f>
        <v>215.7418266360167</v>
      </c>
      <c r="AO113" s="59">
        <f t="shared" si="90"/>
        <v>155.78420008229949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60.472340615776716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60.472340615776716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-3.979039320256561E-13</v>
      </c>
      <c r="O114" s="13">
        <f>N114*VLOOKUP('Données projet'!$B$9,Paramètres!$A$1:$I$89,3,0)*VLOOKUP('Données projet'!$B$9,Paramètres!$A$1:$I$89,5,0)</f>
        <v>-1.8621904018800707E-13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107.39524504744702</v>
      </c>
      <c r="T114" s="59">
        <f t="shared" si="88"/>
        <v>102.66420075171004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105.21328604499901</v>
      </c>
      <c r="AA114" s="21">
        <f>EXP(-LN(2)/25)*AA113+(1-EXP(-LN(2)/25))/(LN(2)/25)*Calculateur!V114*Calculateur!X114*VLOOKUP('Données projet'!$B$9,Paramètres!$A$1:$I$89,3,0)*0.475*44/12</f>
        <v>22.305854843754165</v>
      </c>
      <c r="AB114" s="21">
        <f>EXP(-LN(2)/2)*AB113+(1-EXP(-LN(2)/2))/(LN(2)/2)*V114*Y114*VLOOKUP('Données projet'!$B$9,Paramètres!$A$1:$I$89,3,0)*0.475*44/12</f>
        <v>0.58743924609164122</v>
      </c>
      <c r="AC114" s="22">
        <f t="shared" si="57"/>
        <v>128.10658013484482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6.7</v>
      </c>
      <c r="AI114" s="13">
        <f>IF('Données projet'!$A$62&gt;35,AI113+AH114-AQ113,IF(A114&lt;'Données projet'!$A$62,$AF$205^A114,IF(A114='Données projet'!$A$62,'Données projet'!$B$62,AI113+AH114-AQ113)))</f>
        <v>268.80000000000024</v>
      </c>
      <c r="AJ114" s="13">
        <f>AI114*VLOOKUP('Données projet'!$B$10,Paramètres!$A$1:$I$89,3,0)*VLOOKUP('Données projet'!$B$10,Paramètres!$A$1:$I$89,5,0)</f>
        <v>243.21024000000023</v>
      </c>
      <c r="AK114" s="13">
        <f t="shared" si="89"/>
        <v>59.129694216846787</v>
      </c>
      <c r="AL114" s="20">
        <f t="shared" si="58"/>
        <v>526.5753854276752</v>
      </c>
      <c r="AM114" s="59">
        <f t="shared" si="59"/>
        <v>819.90871876100846</v>
      </c>
      <c r="AN114" s="59">
        <f ca="1">AVERAGE(OFFSET($AM$3,0,0,'Données projet'!$E$10+1,1))-AVERAGE(OFFSET($H$3,0,0,'Données projet'!$E$10+1,1))</f>
        <v>215.7418266360167</v>
      </c>
      <c r="AO114" s="59">
        <f t="shared" si="90"/>
        <v>155.78420008229949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59.286514900787068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59.286514900787068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-3.979039320256561E-13</v>
      </c>
      <c r="O115" s="13">
        <f>N115*VLOOKUP('Données projet'!$B$9,Paramètres!$A$1:$I$89,3,0)*VLOOKUP('Données projet'!$B$9,Paramètres!$A$1:$I$89,5,0)</f>
        <v>-1.8621904018800707E-13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107.39524504744702</v>
      </c>
      <c r="T115" s="59">
        <f t="shared" si="88"/>
        <v>102.66420075171004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103.15011767942443</v>
      </c>
      <c r="AA115" s="21">
        <f>EXP(-LN(2)/25)*AA114+(1-EXP(-LN(2)/25))/(LN(2)/25)*Calculateur!V115*Calculateur!X115*VLOOKUP('Données projet'!$B$9,Paramètres!$A$1:$I$89,3,0)*0.475*44/12</f>
        <v>21.695900070037784</v>
      </c>
      <c r="AB115" s="21">
        <f>EXP(-LN(2)/2)*AB114+(1-EXP(-LN(2)/2))/(LN(2)/2)*V115*Y115*VLOOKUP('Données projet'!$B$9,Paramètres!$A$1:$I$89,3,0)*0.475*44/12</f>
        <v>0.4153822744465126</v>
      </c>
      <c r="AC115" s="22">
        <f t="shared" si="57"/>
        <v>125.26140002390872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6.7</v>
      </c>
      <c r="AI115" s="13">
        <f>IF('Données projet'!$A$62&gt;35,AI114+AH115-AQ114,IF(A115&lt;'Données projet'!$A$62,$AF$205^A115,IF(A115='Données projet'!$A$62,'Données projet'!$B$62,AI114+AH115-AQ114)))</f>
        <v>275.50000000000023</v>
      </c>
      <c r="AJ115" s="13">
        <f>AI115*VLOOKUP('Données projet'!$B$10,Paramètres!$A$1:$I$89,3,0)*VLOOKUP('Données projet'!$B$10,Paramètres!$A$1:$I$89,5,0)</f>
        <v>249.2724000000002</v>
      </c>
      <c r="AK115" s="13">
        <f t="shared" si="89"/>
        <v>60.430109843567813</v>
      </c>
      <c r="AL115" s="20">
        <f t="shared" si="58"/>
        <v>539.39853797754756</v>
      </c>
      <c r="AM115" s="59">
        <f t="shared" si="59"/>
        <v>832.73187131088093</v>
      </c>
      <c r="AN115" s="59">
        <f ca="1">AVERAGE(OFFSET($AM$3,0,0,'Données projet'!$E$10+1,1))-AVERAGE(OFFSET($H$3,0,0,'Données projet'!$E$10+1,1))</f>
        <v>215.7418266360167</v>
      </c>
      <c r="AO115" s="59">
        <f t="shared" si="90"/>
        <v>155.78420008229949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58.1239425047861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58.1239425047861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-3.979039320256561E-13</v>
      </c>
      <c r="O116" s="13">
        <f>N116*VLOOKUP('Données projet'!$B$9,Paramètres!$A$1:$I$89,3,0)*VLOOKUP('Données projet'!$B$9,Paramètres!$A$1:$I$89,5,0)</f>
        <v>-1.8621904018800707E-13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107.39524504744702</v>
      </c>
      <c r="T116" s="59">
        <f t="shared" si="88"/>
        <v>102.66420075171004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101.12740678709032</v>
      </c>
      <c r="AA116" s="21">
        <f>EXP(-LN(2)/25)*AA115+(1-EXP(-LN(2)/25))/(LN(2)/25)*Calculateur!V116*Calculateur!X116*VLOOKUP('Données projet'!$B$9,Paramètres!$A$1:$I$89,3,0)*0.475*44/12</f>
        <v>21.102624541684801</v>
      </c>
      <c r="AB116" s="21">
        <f>EXP(-LN(2)/2)*AB115+(1-EXP(-LN(2)/2))/(LN(2)/2)*V116*Y116*VLOOKUP('Données projet'!$B$9,Paramètres!$A$1:$I$89,3,0)*0.475*44/12</f>
        <v>0.29371962304582061</v>
      </c>
      <c r="AC116" s="22">
        <f t="shared" si="57"/>
        <v>122.52375095182094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6.7</v>
      </c>
      <c r="AI116" s="13">
        <f>IF('Données projet'!$A$62&gt;35,AI115+AH116-AQ115,IF(A116&lt;'Données projet'!$A$62,$AF$205^A116,IF(A116='Données projet'!$A$62,'Données projet'!$B$62,AI115+AH116-AQ115)))</f>
        <v>282.20000000000022</v>
      </c>
      <c r="AJ116" s="13">
        <f>AI116*VLOOKUP('Données projet'!$B$10,Paramètres!$A$1:$I$89,3,0)*VLOOKUP('Données projet'!$B$10,Paramètres!$A$1:$I$89,5,0)</f>
        <v>255.33456000000018</v>
      </c>
      <c r="AK116" s="13">
        <f t="shared" si="89"/>
        <v>61.726849101638862</v>
      </c>
      <c r="AL116" s="20">
        <f t="shared" si="58"/>
        <v>552.21528751868789</v>
      </c>
      <c r="AM116" s="59">
        <f t="shared" si="59"/>
        <v>845.54862085202126</v>
      </c>
      <c r="AN116" s="59">
        <f ca="1">AVERAGE(OFFSET($AM$3,0,0,'Données projet'!$E$10+1,1))-AVERAGE(OFFSET($H$3,0,0,'Données projet'!$E$10+1,1))</f>
        <v>215.7418266360167</v>
      </c>
      <c r="AO116" s="59">
        <f t="shared" si="90"/>
        <v>155.78420008229949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56.984167444371572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56.984167444371572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-3.979039320256561E-13</v>
      </c>
      <c r="O117" s="13">
        <f>N117*VLOOKUP('Données projet'!$B$9,Paramètres!$A$1:$I$89,3,0)*VLOOKUP('Données projet'!$B$9,Paramètres!$A$1:$I$89,5,0)</f>
        <v>-1.8621904018800707E-13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107.39524504744702</v>
      </c>
      <c r="T117" s="59">
        <f t="shared" si="88"/>
        <v>102.66420075171004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99.144360021623072</v>
      </c>
      <c r="AA117" s="21">
        <f>EXP(-LN(2)/25)*AA116+(1-EXP(-LN(2)/25))/(LN(2)/25)*Calculateur!V117*Calculateur!X117*VLOOKUP('Données projet'!$B$9,Paramètres!$A$1:$I$89,3,0)*0.475*44/12</f>
        <v>20.525572163853635</v>
      </c>
      <c r="AB117" s="21">
        <f>EXP(-LN(2)/2)*AB116+(1-EXP(-LN(2)/2))/(LN(2)/2)*V117*Y117*VLOOKUP('Données projet'!$B$9,Paramètres!$A$1:$I$89,3,0)*0.475*44/12</f>
        <v>0.2076911372232563</v>
      </c>
      <c r="AC117" s="22">
        <f t="shared" si="57"/>
        <v>119.87762332269996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6.7</v>
      </c>
      <c r="AI117" s="13">
        <f>IF('Données projet'!$A$62&gt;35,AI116+AH117-AQ116,IF(A117&lt;'Données projet'!$A$62,$AF$205^A117,IF(A117='Données projet'!$A$62,'Données projet'!$B$62,AI116+AH117-AQ116)))</f>
        <v>288.9000000000002</v>
      </c>
      <c r="AJ117" s="13">
        <f>AI117*VLOOKUP('Données projet'!$B$10,Paramètres!$A$1:$I$89,3,0)*VLOOKUP('Données projet'!$B$10,Paramètres!$A$1:$I$89,5,0)</f>
        <v>261.39672000000019</v>
      </c>
      <c r="AK117" s="13">
        <f t="shared" si="89"/>
        <v>63.020009319376321</v>
      </c>
      <c r="AL117" s="20">
        <f t="shared" si="58"/>
        <v>565.02580356458077</v>
      </c>
      <c r="AM117" s="59">
        <f t="shared" si="59"/>
        <v>858.35913689791414</v>
      </c>
      <c r="AN117" s="59">
        <f ca="1">AVERAGE(OFFSET($AM$3,0,0,'Données projet'!$E$10+1,1))-AVERAGE(OFFSET($H$3,0,0,'Données projet'!$E$10+1,1))</f>
        <v>215.7418266360167</v>
      </c>
      <c r="AO117" s="59">
        <f t="shared" si="90"/>
        <v>155.78420008229949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55.86674267769763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55.86674267769763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-3.979039320256561E-13</v>
      </c>
      <c r="O118" s="13">
        <f>N118*VLOOKUP('Données projet'!$B$9,Paramètres!$A$1:$I$89,3,0)*VLOOKUP('Données projet'!$B$9,Paramètres!$A$1:$I$89,5,0)</f>
        <v>-1.8621904018800707E-13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107.39524504744702</v>
      </c>
      <c r="T118" s="59">
        <f t="shared" si="88"/>
        <v>102.66420075171004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97.200199593687529</v>
      </c>
      <c r="AA118" s="21">
        <f>EXP(-LN(2)/25)*AA117+(1-EXP(-LN(2)/25))/(LN(2)/25)*Calculateur!V118*Calculateur!X118*VLOOKUP('Données projet'!$B$9,Paramètres!$A$1:$I$89,3,0)*0.475*44/12</f>
        <v>19.964299313640129</v>
      </c>
      <c r="AB118" s="21">
        <f>EXP(-LN(2)/2)*AB117+(1-EXP(-LN(2)/2))/(LN(2)/2)*V118*Y118*VLOOKUP('Données projet'!$B$9,Paramètres!$A$1:$I$89,3,0)*0.475*44/12</f>
        <v>0.14685981152291031</v>
      </c>
      <c r="AC118" s="22">
        <f t="shared" si="57"/>
        <v>117.31135871885057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6.7</v>
      </c>
      <c r="AI118" s="13">
        <f>IF('Données projet'!$A$62&gt;35,AI117+AH118-AQ117,IF(A118&lt;'Données projet'!$A$62,$AF$205^A118,IF(A118='Données projet'!$A$62,'Données projet'!$B$62,AI117+AH118-AQ117)))</f>
        <v>295.60000000000019</v>
      </c>
      <c r="AJ118" s="13">
        <f>AI118*VLOOKUP('Données projet'!$B$10,Paramètres!$A$1:$I$89,3,0)*VLOOKUP('Données projet'!$B$10,Paramètres!$A$1:$I$89,5,0)</f>
        <v>267.45888000000014</v>
      </c>
      <c r="AK118" s="13">
        <f t="shared" si="89"/>
        <v>64.30968305315244</v>
      </c>
      <c r="AL118" s="20">
        <f t="shared" si="58"/>
        <v>577.83024731757405</v>
      </c>
      <c r="AM118" s="59">
        <f t="shared" si="59"/>
        <v>871.16358065090731</v>
      </c>
      <c r="AN118" s="59">
        <f ca="1">AVERAGE(OFFSET($AM$3,0,0,'Données projet'!$E$10+1,1))-AVERAGE(OFFSET($H$3,0,0,'Données projet'!$E$10+1,1))</f>
        <v>215.7418266360167</v>
      </c>
      <c r="AO118" s="59">
        <f t="shared" si="90"/>
        <v>155.78420008229949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54.771229929136354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54.771229929136354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-3.979039320256561E-13</v>
      </c>
      <c r="O119" s="13">
        <f>N119*VLOOKUP('Données projet'!$B$9,Paramètres!$A$1:$I$89,3,0)*VLOOKUP('Données projet'!$B$9,Paramètres!$A$1:$I$89,5,0)</f>
        <v>-1.8621904018800707E-13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107.39524504744702</v>
      </c>
      <c r="T119" s="59">
        <f t="shared" si="88"/>
        <v>102.66420075171004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95.294162965923036</v>
      </c>
      <c r="AA119" s="21">
        <f>EXP(-LN(2)/25)*AA118+(1-EXP(-LN(2)/25))/(LN(2)/25)*Calculateur!V119*Calculateur!X119*VLOOKUP('Données projet'!$B$9,Paramètres!$A$1:$I$89,3,0)*0.475*44/12</f>
        <v>19.418374499031767</v>
      </c>
      <c r="AB119" s="21">
        <f>EXP(-LN(2)/2)*AB118+(1-EXP(-LN(2)/2))/(LN(2)/2)*V119*Y119*VLOOKUP('Données projet'!$B$9,Paramètres!$A$1:$I$89,3,0)*0.475*44/12</f>
        <v>0.10384556861162815</v>
      </c>
      <c r="AC119" s="22">
        <f t="shared" si="57"/>
        <v>114.81638303356644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6.7</v>
      </c>
      <c r="AI119" s="13">
        <f>IF('Données projet'!$A$62&gt;35,AI118+AH119-AQ118,IF(A119&lt;'Données projet'!$A$62,$AF$205^A119,IF(A119='Données projet'!$A$62,'Données projet'!$B$62,AI118+AH119-AQ118)))</f>
        <v>302.30000000000018</v>
      </c>
      <c r="AJ119" s="13">
        <f>AI119*VLOOKUP('Données projet'!$B$10,Paramètres!$A$1:$I$89,3,0)*VLOOKUP('Données projet'!$B$10,Paramètres!$A$1:$I$89,5,0)</f>
        <v>273.52104000000014</v>
      </c>
      <c r="AK119" s="13">
        <f t="shared" si="89"/>
        <v>65.595958424136441</v>
      </c>
      <c r="AL119" s="20">
        <f t="shared" si="58"/>
        <v>590.62877225537125</v>
      </c>
      <c r="AM119" s="59">
        <f t="shared" si="59"/>
        <v>883.96210558870462</v>
      </c>
      <c r="AN119" s="59">
        <f ca="1">AVERAGE(OFFSET($AM$3,0,0,'Données projet'!$E$10+1,1))-AVERAGE(OFFSET($H$3,0,0,'Données projet'!$E$10+1,1))</f>
        <v>215.7418266360167</v>
      </c>
      <c r="AO119" s="59">
        <f t="shared" si="90"/>
        <v>155.78420008229949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53.697199517377562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53.697199517377562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-3.979039320256561E-13</v>
      </c>
      <c r="O120" s="13">
        <f>N120*VLOOKUP('Données projet'!$B$9,Paramètres!$A$1:$I$89,3,0)*VLOOKUP('Données projet'!$B$9,Paramètres!$A$1:$I$89,5,0)</f>
        <v>-1.8621904018800707E-13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107.39524504744702</v>
      </c>
      <c r="T120" s="59">
        <f t="shared" si="88"/>
        <v>102.66420075171004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93.425502553861449</v>
      </c>
      <c r="AA120" s="21">
        <f>EXP(-LN(2)/25)*AA119+(1-EXP(-LN(2)/25))/(LN(2)/25)*Calculateur!V120*Calculateur!X120*VLOOKUP('Données projet'!$B$9,Paramètres!$A$1:$I$89,3,0)*0.475*44/12</f>
        <v>18.887378027187811</v>
      </c>
      <c r="AB120" s="21">
        <f>EXP(-LN(2)/2)*AB119+(1-EXP(-LN(2)/2))/(LN(2)/2)*V120*Y120*VLOOKUP('Données projet'!$B$9,Paramètres!$A$1:$I$89,3,0)*0.475*44/12</f>
        <v>7.3429905761455153E-2</v>
      </c>
      <c r="AC120" s="22">
        <f t="shared" si="57"/>
        <v>112.38631048681071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>
        <f>VLOOKUP(A120,'Données projet'!$A$61:$I$81,2,0)</f>
        <v>309</v>
      </c>
      <c r="AG120" s="12">
        <f>VLOOKUP(A120,'Données projet'!$A$61:$I$81,9,0)</f>
        <v>6.7</v>
      </c>
      <c r="AH120" s="12">
        <f t="array" ref="AH120">INDEX(AG:AG,MIN(IF(ISNUMBER(AG120:AG316),ROW(AG120:AG316),"")))</f>
        <v>6.7</v>
      </c>
      <c r="AI120" s="13">
        <f>IF('Données projet'!$A$62&gt;35,AI119+AH120-AQ119,IF(A120&lt;'Données projet'!$A$62,$AF$205^A120,IF(A120='Données projet'!$A$62,'Données projet'!$B$62,AI119+AH120-AQ119)))</f>
        <v>309.00000000000017</v>
      </c>
      <c r="AJ120" s="13">
        <f>AI120*VLOOKUP('Données projet'!$B$10,Paramètres!$A$1:$I$89,3,0)*VLOOKUP('Données projet'!$B$10,Paramètres!$A$1:$I$89,5,0)</f>
        <v>279.58320000000015</v>
      </c>
      <c r="AK120" s="13">
        <f t="shared" si="89"/>
        <v>66.878919424339628</v>
      </c>
      <c r="AL120" s="20">
        <f t="shared" si="58"/>
        <v>603.42152466405844</v>
      </c>
      <c r="AM120" s="59">
        <f t="shared" si="59"/>
        <v>896.75485799739181</v>
      </c>
      <c r="AN120" s="59">
        <f ca="1">AVERAGE(OFFSET($AM$3,0,0,'Données projet'!$E$10+1,1))-AVERAGE(OFFSET($H$3,0,0,'Données projet'!$E$10+1,1))</f>
        <v>215.7418266360167</v>
      </c>
      <c r="AO120" s="59">
        <f t="shared" si="90"/>
        <v>155.78420008229949</v>
      </c>
      <c r="AP120" s="15">
        <f>IF(ISNA(VLOOKUP(A120,'Données projet'!$A$61:$I$81,3,0)),0,VLOOKUP(A120,'Données projet'!$A$61:$I$81,3,0))</f>
        <v>11</v>
      </c>
      <c r="AQ120" s="15">
        <f>IF(ISNA(VLOOKUP(A120,'Données projet'!$A$61:$I$81,4,0)),0,VLOOKUP(A120,'Données projet'!$A$61:$I$81,4,0))</f>
        <v>45</v>
      </c>
      <c r="AR120" s="16">
        <f>IF(ISNA(VLOOKUP(A120,'Données projet'!$A$61:$I$81,5,0)),0%,VLOOKUP(A120,'Données projet'!$A$61:$I$81,5,0)*VLOOKUP('Données projet'!$B$10,Paramètres!$A$1:$I$89,7,0))</f>
        <v>0.38700000000000001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70.063228660475104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70.063228660475104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-3.979039320256561E-13</v>
      </c>
      <c r="O121" s="13">
        <f>N121*VLOOKUP('Données projet'!$B$9,Paramètres!$A$1:$I$89,3,0)*VLOOKUP('Données projet'!$B$9,Paramètres!$A$1:$I$89,5,0)</f>
        <v>-1.8621904018800707E-13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107.39524504744702</v>
      </c>
      <c r="T121" s="59">
        <f t="shared" si="88"/>
        <v>102.66420075171004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91.593485432710082</v>
      </c>
      <c r="AA121" s="21">
        <f>EXP(-LN(2)/25)*AA120+(1-EXP(-LN(2)/25))/(LN(2)/25)*Calculateur!V121*Calculateur!X121*VLOOKUP('Données projet'!$B$9,Paramètres!$A$1:$I$89,3,0)*0.475*44/12</f>
        <v>18.370901681790318</v>
      </c>
      <c r="AB121" s="21">
        <f>EXP(-LN(2)/2)*AB120+(1-EXP(-LN(2)/2))/(LN(2)/2)*V121*Y121*VLOOKUP('Données projet'!$B$9,Paramètres!$A$1:$I$89,3,0)*0.475*44/12</f>
        <v>5.1922784305814075E-2</v>
      </c>
      <c r="AC121" s="22">
        <f t="shared" si="57"/>
        <v>110.01630989880621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6.083333333333333</v>
      </c>
      <c r="AI121" s="13">
        <f>IF('Données projet'!$A$62&gt;35,AI120+AH121-AQ120,IF(A121&lt;'Données projet'!$A$62,$AF$205^A121,IF(A121='Données projet'!$A$62,'Données projet'!$B$62,AI120+AH121-AQ120)))</f>
        <v>270.08333333333348</v>
      </c>
      <c r="AJ121" s="13">
        <f>AI121*VLOOKUP('Données projet'!$B$10,Paramètres!$A$1:$I$89,3,0)*VLOOKUP('Données projet'!$B$10,Paramètres!$A$1:$I$89,5,0)</f>
        <v>244.37140000000011</v>
      </c>
      <c r="AK121" s="13">
        <f t="shared" si="89"/>
        <v>59.379068160174214</v>
      </c>
      <c r="AL121" s="20">
        <f t="shared" si="58"/>
        <v>529.03206537897029</v>
      </c>
      <c r="AM121" s="59">
        <f t="shared" si="59"/>
        <v>822.36539871230366</v>
      </c>
      <c r="AN121" s="59">
        <f ca="1">AVERAGE(OFFSET($AM$3,0,0,'Données projet'!$E$10+1,1))-AVERAGE(OFFSET($H$3,0,0,'Données projet'!$E$10+1,1))</f>
        <v>215.7418266360167</v>
      </c>
      <c r="AO121" s="59">
        <f t="shared" si="90"/>
        <v>155.78420008229949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68.689331480793001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68.689331480793001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-3.979039320256561E-13</v>
      </c>
      <c r="O122" s="13">
        <f>N122*VLOOKUP('Données projet'!$B$9,Paramètres!$A$1:$I$89,3,0)*VLOOKUP('Données projet'!$B$9,Paramètres!$A$1:$I$89,5,0)</f>
        <v>-1.8621904018800707E-13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107.39524504744702</v>
      </c>
      <c r="T122" s="59">
        <f t="shared" si="88"/>
        <v>102.66420075171004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89.797393049884391</v>
      </c>
      <c r="AA122" s="21">
        <f>EXP(-LN(2)/25)*AA121+(1-EXP(-LN(2)/25))/(LN(2)/25)*Calculateur!V122*Calculateur!X122*VLOOKUP('Données projet'!$B$9,Paramètres!$A$1:$I$89,3,0)*0.475*44/12</f>
        <v>17.868548409218029</v>
      </c>
      <c r="AB122" s="21">
        <f>EXP(-LN(2)/2)*AB121+(1-EXP(-LN(2)/2))/(LN(2)/2)*V122*Y122*VLOOKUP('Données projet'!$B$9,Paramètres!$A$1:$I$89,3,0)*0.475*44/12</f>
        <v>3.6714952880727576E-2</v>
      </c>
      <c r="AC122" s="22">
        <f t="shared" si="57"/>
        <v>107.70265641198314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6.083333333333333</v>
      </c>
      <c r="AI122" s="13">
        <f>IF('Données projet'!$A$62&gt;35,AI121+AH122-AQ121,IF(A122&lt;'Données projet'!$A$62,$AF$205^A122,IF(A122='Données projet'!$A$62,'Données projet'!$B$62,AI121+AH122-AQ121)))</f>
        <v>276.1666666666668</v>
      </c>
      <c r="AJ122" s="13">
        <f>AI122*VLOOKUP('Données projet'!$B$10,Paramètres!$A$1:$I$89,3,0)*VLOOKUP('Données projet'!$B$10,Paramètres!$A$1:$I$89,5,0)</f>
        <v>249.87560000000011</v>
      </c>
      <c r="AK122" s="13">
        <f t="shared" si="89"/>
        <v>60.559301693046741</v>
      </c>
      <c r="AL122" s="20">
        <f t="shared" si="58"/>
        <v>540.67412044872333</v>
      </c>
      <c r="AM122" s="59">
        <f t="shared" si="59"/>
        <v>834.0074537820567</v>
      </c>
      <c r="AN122" s="59">
        <f ca="1">AVERAGE(OFFSET($AM$3,0,0,'Données projet'!$E$10+1,1))-AVERAGE(OFFSET($H$3,0,0,'Données projet'!$E$10+1,1))</f>
        <v>215.7418266360167</v>
      </c>
      <c r="AO122" s="59">
        <f t="shared" si="90"/>
        <v>155.78420008229949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67.342375586809936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67.342375586809936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-3.979039320256561E-13</v>
      </c>
      <c r="O123" s="13">
        <f>N123*VLOOKUP('Données projet'!$B$9,Paramètres!$A$1:$I$89,3,0)*VLOOKUP('Données projet'!$B$9,Paramètres!$A$1:$I$89,5,0)</f>
        <v>-1.8621904018800707E-13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107.39524504744702</v>
      </c>
      <c r="T123" s="59">
        <f t="shared" si="88"/>
        <v>102.66420075171004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88.036520943177734</v>
      </c>
      <c r="AA123" s="21">
        <f>EXP(-LN(2)/25)*AA122+(1-EXP(-LN(2)/25))/(LN(2)/25)*Calculateur!V123*Calculateur!X123*VLOOKUP('Données projet'!$B$9,Paramètres!$A$1:$I$89,3,0)*0.475*44/12</f>
        <v>17.37993201330184</v>
      </c>
      <c r="AB123" s="21">
        <f>EXP(-LN(2)/2)*AB122+(1-EXP(-LN(2)/2))/(LN(2)/2)*V123*Y123*VLOOKUP('Données projet'!$B$9,Paramètres!$A$1:$I$89,3,0)*0.475*44/12</f>
        <v>2.5961392152907038E-2</v>
      </c>
      <c r="AC123" s="22">
        <f t="shared" si="57"/>
        <v>105.44241434863248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6.083333333333333</v>
      </c>
      <c r="AI123" s="13">
        <f>IF('Données projet'!$A$62&gt;35,AI122+AH123-AQ122,IF(A123&lt;'Données projet'!$A$62,$AF$205^A123,IF(A123='Données projet'!$A$62,'Données projet'!$B$62,AI122+AH123-AQ122)))</f>
        <v>282.25000000000011</v>
      </c>
      <c r="AJ123" s="13">
        <f>AI123*VLOOKUP('Données projet'!$B$10,Paramètres!$A$1:$I$89,3,0)*VLOOKUP('Données projet'!$B$10,Paramètres!$A$1:$I$89,5,0)</f>
        <v>255.37980000000007</v>
      </c>
      <c r="AK123" s="13">
        <f t="shared" si="89"/>
        <v>61.736512688009604</v>
      </c>
      <c r="AL123" s="20">
        <f t="shared" si="58"/>
        <v>552.31091126495016</v>
      </c>
      <c r="AM123" s="59">
        <f t="shared" si="59"/>
        <v>845.64424459828342</v>
      </c>
      <c r="AN123" s="59">
        <f ca="1">AVERAGE(OFFSET($AM$3,0,0,'Données projet'!$E$10+1,1))-AVERAGE(OFFSET($H$3,0,0,'Données projet'!$E$10+1,1))</f>
        <v>215.7418266360167</v>
      </c>
      <c r="AO123" s="59">
        <f t="shared" si="90"/>
        <v>155.78420008229949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66.021832676345909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66.021832676345909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-3.979039320256561E-13</v>
      </c>
      <c r="O124" s="13">
        <f>N124*VLOOKUP('Données projet'!$B$9,Paramètres!$A$1:$I$89,3,0)*VLOOKUP('Données projet'!$B$9,Paramètres!$A$1:$I$89,5,0)</f>
        <v>-1.8621904018800707E-13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107.39524504744702</v>
      </c>
      <c r="T124" s="59">
        <f t="shared" si="88"/>
        <v>102.66420075171004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86.310178464457664</v>
      </c>
      <c r="AA124" s="21">
        <f>EXP(-LN(2)/25)*AA123+(1-EXP(-LN(2)/25))/(LN(2)/25)*Calculateur!V124*Calculateur!X124*VLOOKUP('Données projet'!$B$9,Paramètres!$A$1:$I$89,3,0)*0.475*44/12</f>
        <v>16.904676858427198</v>
      </c>
      <c r="AB124" s="21">
        <f>EXP(-LN(2)/2)*AB123+(1-EXP(-LN(2)/2))/(LN(2)/2)*V124*Y124*VLOOKUP('Données projet'!$B$9,Paramètres!$A$1:$I$89,3,0)*0.475*44/12</f>
        <v>1.8357476440363788E-2</v>
      </c>
      <c r="AC124" s="22">
        <f t="shared" si="57"/>
        <v>103.23321279932522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6.083333333333333</v>
      </c>
      <c r="AI124" s="13">
        <f>IF('Données projet'!$A$62&gt;35,AI123+AH124-AQ123,IF(A124&lt;'Données projet'!$A$62,$AF$205^A124,IF(A124='Données projet'!$A$62,'Données projet'!$B$62,AI123+AH124-AQ123)))</f>
        <v>288.33333333333343</v>
      </c>
      <c r="AJ124" s="13">
        <f>AI124*VLOOKUP('Données projet'!$B$10,Paramètres!$A$1:$I$89,3,0)*VLOOKUP('Données projet'!$B$10,Paramètres!$A$1:$I$89,5,0)</f>
        <v>260.88400000000007</v>
      </c>
      <c r="AK124" s="13">
        <f t="shared" si="89"/>
        <v>62.91077379286947</v>
      </c>
      <c r="AL124" s="20">
        <f t="shared" si="58"/>
        <v>563.94256435591444</v>
      </c>
      <c r="AM124" s="59">
        <f t="shared" si="59"/>
        <v>857.27589768924781</v>
      </c>
      <c r="AN124" s="59">
        <f ca="1">AVERAGE(OFFSET($AM$3,0,0,'Données projet'!$E$10+1,1))-AVERAGE(OFFSET($H$3,0,0,'Données projet'!$E$10+1,1))</f>
        <v>215.7418266360167</v>
      </c>
      <c r="AO124" s="59">
        <f t="shared" si="90"/>
        <v>155.78420008229949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64.727184806904432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64.727184806904432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-3.979039320256561E-13</v>
      </c>
      <c r="O125" s="13">
        <f>N125*VLOOKUP('Données projet'!$B$9,Paramètres!$A$1:$I$89,3,0)*VLOOKUP('Données projet'!$B$9,Paramètres!$A$1:$I$89,5,0)</f>
        <v>-1.8621904018800707E-13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107.39524504744702</v>
      </c>
      <c r="T125" s="59">
        <f t="shared" si="88"/>
        <v>102.66420075171004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84.617688508780347</v>
      </c>
      <c r="AA125" s="21">
        <f>EXP(-LN(2)/25)*AA124+(1-EXP(-LN(2)/25))/(LN(2)/25)*Calculateur!V125*Calculateur!X125*VLOOKUP('Données projet'!$B$9,Paramètres!$A$1:$I$89,3,0)*0.475*44/12</f>
        <v>16.442417580755187</v>
      </c>
      <c r="AB125" s="21">
        <f>EXP(-LN(2)/2)*AB124+(1-EXP(-LN(2)/2))/(LN(2)/2)*V125*Y125*VLOOKUP('Données projet'!$B$9,Paramètres!$A$1:$I$89,3,0)*0.475*44/12</f>
        <v>1.2980696076453519E-2</v>
      </c>
      <c r="AC125" s="22">
        <f t="shared" si="57"/>
        <v>101.07308678561199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6.083333333333333</v>
      </c>
      <c r="AI125" s="13">
        <f>IF('Données projet'!$A$62&gt;35,AI124+AH125-AQ124,IF(A125&lt;'Données projet'!$A$62,$AF$205^A125,IF(A125='Données projet'!$A$62,'Données projet'!$B$62,AI124+AH125-AQ124)))</f>
        <v>294.41666666666674</v>
      </c>
      <c r="AJ125" s="13">
        <f>AI125*VLOOKUP('Données projet'!$B$10,Paramètres!$A$1:$I$89,3,0)*VLOOKUP('Données projet'!$B$10,Paramètres!$A$1:$I$89,5,0)</f>
        <v>266.3882000000001</v>
      </c>
      <c r="AK125" s="13">
        <f t="shared" si="89"/>
        <v>64.082154414794047</v>
      </c>
      <c r="AL125" s="20">
        <f t="shared" si="58"/>
        <v>575.56920060576647</v>
      </c>
      <c r="AM125" s="59">
        <f t="shared" si="59"/>
        <v>868.90253393909984</v>
      </c>
      <c r="AN125" s="59">
        <f ca="1">AVERAGE(OFFSET($AM$3,0,0,'Données projet'!$E$10+1,1))-AVERAGE(OFFSET($H$3,0,0,'Données projet'!$E$10+1,1))</f>
        <v>215.7418266360167</v>
      </c>
      <c r="AO125" s="59">
        <f t="shared" si="90"/>
        <v>155.78420008229949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63.457924192525475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63.457924192525475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-3.979039320256561E-13</v>
      </c>
      <c r="O126" s="13">
        <f>N126*VLOOKUP('Données projet'!$B$9,Paramètres!$A$1:$I$89,3,0)*VLOOKUP('Données projet'!$B$9,Paramètres!$A$1:$I$89,5,0)</f>
        <v>-1.8621904018800707E-13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107.39524504744702</v>
      </c>
      <c r="T126" s="59">
        <f t="shared" si="88"/>
        <v>102.66420075171004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82.958387248816919</v>
      </c>
      <c r="AA126" s="21">
        <f>EXP(-LN(2)/25)*AA125+(1-EXP(-LN(2)/25))/(LN(2)/25)*Calculateur!V126*Calculateur!X126*VLOOKUP('Données projet'!$B$9,Paramètres!$A$1:$I$89,3,0)*0.475*44/12</f>
        <v>15.992798807340275</v>
      </c>
      <c r="AB126" s="21">
        <f>EXP(-LN(2)/2)*AB125+(1-EXP(-LN(2)/2))/(LN(2)/2)*V126*Y126*VLOOKUP('Données projet'!$B$9,Paramètres!$A$1:$I$89,3,0)*0.475*44/12</f>
        <v>9.1787382201818941E-3</v>
      </c>
      <c r="AC126" s="22">
        <f t="shared" si="57"/>
        <v>98.960364794377384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6.083333333333333</v>
      </c>
      <c r="AI126" s="13">
        <f>IF('Données projet'!$A$62&gt;35,AI125+AH126-AQ125,IF(A126&lt;'Données projet'!$A$62,$AF$205^A126,IF(A126='Données projet'!$A$62,'Données projet'!$B$62,AI125+AH126-AQ125)))</f>
        <v>300.50000000000006</v>
      </c>
      <c r="AJ126" s="13">
        <f>AI126*VLOOKUP('Données projet'!$B$10,Paramètres!$A$1:$I$89,3,0)*VLOOKUP('Données projet'!$B$10,Paramètres!$A$1:$I$89,5,0)</f>
        <v>271.89240000000007</v>
      </c>
      <c r="AK126" s="13">
        <f t="shared" si="89"/>
        <v>65.250720928792603</v>
      </c>
      <c r="AL126" s="20">
        <f t="shared" si="58"/>
        <v>587.19093561764714</v>
      </c>
      <c r="AM126" s="59">
        <f t="shared" si="59"/>
        <v>880.52426895098051</v>
      </c>
      <c r="AN126" s="59">
        <f ca="1">AVERAGE(OFFSET($AM$3,0,0,'Données projet'!$E$10+1,1))-AVERAGE(OFFSET($H$3,0,0,'Données projet'!$E$10+1,1))</f>
        <v>215.7418266360167</v>
      </c>
      <c r="AO126" s="59">
        <f t="shared" si="90"/>
        <v>155.78420008229949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62.213553004621957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62.213553004621957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-3.979039320256561E-13</v>
      </c>
      <c r="O127" s="13">
        <f>N127*VLOOKUP('Données projet'!$B$9,Paramètres!$A$1:$I$89,3,0)*VLOOKUP('Données projet'!$B$9,Paramètres!$A$1:$I$89,5,0)</f>
        <v>-1.8621904018800707E-13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107.39524504744702</v>
      </c>
      <c r="T127" s="59">
        <f t="shared" si="88"/>
        <v>102.66420075171004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81.331623874487548</v>
      </c>
      <c r="AA127" s="21">
        <f>EXP(-LN(2)/25)*AA126+(1-EXP(-LN(2)/25))/(LN(2)/25)*Calculateur!V127*Calculateur!X127*VLOOKUP('Données projet'!$B$9,Paramètres!$A$1:$I$89,3,0)*0.475*44/12</f>
        <v>15.555474882928818</v>
      </c>
      <c r="AB127" s="21">
        <f>EXP(-LN(2)/2)*AB126+(1-EXP(-LN(2)/2))/(LN(2)/2)*V127*Y127*VLOOKUP('Données projet'!$B$9,Paramètres!$A$1:$I$89,3,0)*0.475*44/12</f>
        <v>6.4903480382267594E-3</v>
      </c>
      <c r="AC127" s="22">
        <f t="shared" si="57"/>
        <v>96.893589105454595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6.083333333333333</v>
      </c>
      <c r="AI127" s="13">
        <f>IF('Données projet'!$A$62&gt;35,AI126+AH127-AQ126,IF(A127&lt;'Données projet'!$A$62,$AF$205^A127,IF(A127='Données projet'!$A$62,'Données projet'!$B$62,AI126+AH127-AQ126)))</f>
        <v>306.58333333333337</v>
      </c>
      <c r="AJ127" s="13">
        <f>AI127*VLOOKUP('Données projet'!$B$10,Paramètres!$A$1:$I$89,3,0)*VLOOKUP('Données projet'!$B$10,Paramètres!$A$1:$I$89,5,0)</f>
        <v>277.39660000000003</v>
      </c>
      <c r="AK127" s="13">
        <f t="shared" si="89"/>
        <v>66.416536868837255</v>
      </c>
      <c r="AL127" s="20">
        <f t="shared" si="58"/>
        <v>598.80788004655824</v>
      </c>
      <c r="AM127" s="59">
        <f t="shared" si="59"/>
        <v>892.1412133798915</v>
      </c>
      <c r="AN127" s="59">
        <f ca="1">AVERAGE(OFFSET($AM$3,0,0,'Données projet'!$E$10+1,1))-AVERAGE(OFFSET($H$3,0,0,'Données projet'!$E$10+1,1))</f>
        <v>215.7418266360167</v>
      </c>
      <c r="AO127" s="59">
        <f t="shared" si="90"/>
        <v>155.78420008229949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60.993583176721742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60.993583176721742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-3.979039320256561E-13</v>
      </c>
      <c r="O128" s="13">
        <f>N128*VLOOKUP('Données projet'!$B$9,Paramètres!$A$1:$I$89,3,0)*VLOOKUP('Données projet'!$B$9,Paramètres!$A$1:$I$89,5,0)</f>
        <v>-1.8621904018800707E-13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107.39524504744702</v>
      </c>
      <c r="T128" s="59">
        <f t="shared" si="88"/>
        <v>102.66420075171004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79.736760337701085</v>
      </c>
      <c r="AA128" s="21">
        <f>EXP(-LN(2)/25)*AA127+(1-EXP(-LN(2)/25))/(LN(2)/25)*Calculateur!V128*Calculateur!X128*VLOOKUP('Données projet'!$B$9,Paramètres!$A$1:$I$89,3,0)*0.475*44/12</f>
        <v>15.130109604228258</v>
      </c>
      <c r="AB128" s="21">
        <f>EXP(-LN(2)/2)*AB127+(1-EXP(-LN(2)/2))/(LN(2)/2)*V128*Y128*VLOOKUP('Données projet'!$B$9,Paramètres!$A$1:$I$89,3,0)*0.475*44/12</f>
        <v>4.589369110090947E-3</v>
      </c>
      <c r="AC128" s="22">
        <f t="shared" si="57"/>
        <v>94.87145931103943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6.083333333333333</v>
      </c>
      <c r="AI128" s="13">
        <f>IF('Données projet'!$A$62&gt;35,AI127+AH128-AQ127,IF(A128&lt;'Données projet'!$A$62,$AF$205^A128,IF(A128='Données projet'!$A$62,'Données projet'!$B$62,AI127+AH128-AQ127)))</f>
        <v>312.66666666666669</v>
      </c>
      <c r="AJ128" s="13">
        <f>AI128*VLOOKUP('Données projet'!$B$10,Paramètres!$A$1:$I$89,3,0)*VLOOKUP('Données projet'!$B$10,Paramètres!$A$1:$I$89,5,0)</f>
        <v>282.9008</v>
      </c>
      <c r="AK128" s="13">
        <f t="shared" si="89"/>
        <v>67.579663103386792</v>
      </c>
      <c r="AL128" s="20">
        <f t="shared" si="58"/>
        <v>610.4201399050653</v>
      </c>
      <c r="AM128" s="59">
        <f t="shared" si="59"/>
        <v>903.75347323839856</v>
      </c>
      <c r="AN128" s="59">
        <f ca="1">AVERAGE(OFFSET($AM$3,0,0,'Données projet'!$E$10+1,1))-AVERAGE(OFFSET($H$3,0,0,'Données projet'!$E$10+1,1))</f>
        <v>215.7418266360167</v>
      </c>
      <c r="AO128" s="59">
        <f t="shared" si="90"/>
        <v>155.78420008229949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59.797536213038534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59.797536213038534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-3.979039320256561E-13</v>
      </c>
      <c r="O129" s="13">
        <f>N129*VLOOKUP('Données projet'!$B$9,Paramètres!$A$1:$I$89,3,0)*VLOOKUP('Données projet'!$B$9,Paramètres!$A$1:$I$89,5,0)</f>
        <v>-1.8621904018800707E-13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107.39524504744702</v>
      </c>
      <c r="T129" s="59">
        <f t="shared" si="88"/>
        <v>102.66420075171004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78.173171102100298</v>
      </c>
      <c r="AA129" s="21">
        <f>EXP(-LN(2)/25)*AA128+(1-EXP(-LN(2)/25))/(LN(2)/25)*Calculateur!V129*Calculateur!X129*VLOOKUP('Données projet'!$B$9,Paramètres!$A$1:$I$89,3,0)*0.475*44/12</f>
        <v>14.716375961442752</v>
      </c>
      <c r="AB129" s="21">
        <f>EXP(-LN(2)/2)*AB128+(1-EXP(-LN(2)/2))/(LN(2)/2)*V129*Y129*VLOOKUP('Données projet'!$B$9,Paramètres!$A$1:$I$89,3,0)*0.475*44/12</f>
        <v>3.2451740191133797E-3</v>
      </c>
      <c r="AC129" s="22">
        <f t="shared" si="57"/>
        <v>92.892792237562162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6.083333333333333</v>
      </c>
      <c r="AI129" s="13">
        <f>IF('Données projet'!$A$62&gt;35,AI128+AH129-AQ128,IF(A129&lt;'Données projet'!$A$62,$AF$205^A129,IF(A129='Données projet'!$A$62,'Données projet'!$B$62,AI128+AH129-AQ128)))</f>
        <v>318.75</v>
      </c>
      <c r="AJ129" s="13">
        <f>AI129*VLOOKUP('Données projet'!$B$10,Paramètres!$A$1:$I$89,3,0)*VLOOKUP('Données projet'!$B$10,Paramètres!$A$1:$I$89,5,0)</f>
        <v>288.40500000000003</v>
      </c>
      <c r="AK129" s="13">
        <f t="shared" si="89"/>
        <v>68.740157996864042</v>
      </c>
      <c r="AL129" s="20">
        <f t="shared" si="58"/>
        <v>622.02781684453828</v>
      </c>
      <c r="AM129" s="59">
        <f t="shared" si="59"/>
        <v>915.36115017787165</v>
      </c>
      <c r="AN129" s="59">
        <f ca="1">AVERAGE(OFFSET($AM$3,0,0,'Données projet'!$E$10+1,1))-AVERAGE(OFFSET($H$3,0,0,'Données projet'!$E$10+1,1))</f>
        <v>215.7418266360167</v>
      </c>
      <c r="AO129" s="59">
        <f t="shared" si="90"/>
        <v>155.78420008229949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58.624943000796542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58.624943000796542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-3.979039320256561E-13</v>
      </c>
      <c r="O130" s="13">
        <f>N130*VLOOKUP('Données projet'!$B$9,Paramètres!$A$1:$I$89,3,0)*VLOOKUP('Données projet'!$B$9,Paramètres!$A$1:$I$89,5,0)</f>
        <v>-1.8621904018800707E-13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107.39524504744702</v>
      </c>
      <c r="T130" s="59">
        <f t="shared" si="88"/>
        <v>102.66420075171004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76.640242897714387</v>
      </c>
      <c r="AA130" s="21">
        <f>EXP(-LN(2)/25)*AA129+(1-EXP(-LN(2)/25))/(LN(2)/25)*Calculateur!V130*Calculateur!X130*VLOOKUP('Données projet'!$B$9,Paramètres!$A$1:$I$89,3,0)*0.475*44/12</f>
        <v>14.313955886876522</v>
      </c>
      <c r="AB130" s="21">
        <f>EXP(-LN(2)/2)*AB129+(1-EXP(-LN(2)/2))/(LN(2)/2)*V130*Y130*VLOOKUP('Données projet'!$B$9,Paramètres!$A$1:$I$89,3,0)*0.475*44/12</f>
        <v>2.2946845550454735E-3</v>
      </c>
      <c r="AC130" s="22">
        <f t="shared" si="57"/>
        <v>90.956493469145954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6.083333333333333</v>
      </c>
      <c r="AI130" s="13">
        <f>IF('Données projet'!$A$62&gt;35,AI129+AH130-AQ129,IF(A130&lt;'Données projet'!$A$62,$AF$205^A130,IF(A130='Données projet'!$A$62,'Données projet'!$B$62,AI129+AH130-AQ129)))</f>
        <v>324.83333333333331</v>
      </c>
      <c r="AJ130" s="13">
        <f>AI130*VLOOKUP('Données projet'!$B$10,Paramètres!$A$1:$I$89,3,0)*VLOOKUP('Données projet'!$B$10,Paramètres!$A$1:$I$89,5,0)</f>
        <v>293.90919999999994</v>
      </c>
      <c r="AK130" s="13">
        <f t="shared" si="89"/>
        <v>69.898077558457686</v>
      </c>
      <c r="AL130" s="20">
        <f t="shared" si="58"/>
        <v>633.63100841431367</v>
      </c>
      <c r="AM130" s="59">
        <f t="shared" si="59"/>
        <v>926.96434174764704</v>
      </c>
      <c r="AN130" s="59">
        <f ca="1">AVERAGE(OFFSET($AM$3,0,0,'Données projet'!$E$10+1,1))-AVERAGE(OFFSET($H$3,0,0,'Données projet'!$E$10+1,1))</f>
        <v>215.7418266360167</v>
      </c>
      <c r="AO130" s="59">
        <f t="shared" si="90"/>
        <v>155.78420008229949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57.475343626235372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57.475343626235372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-3.979039320256561E-13</v>
      </c>
      <c r="O131" s="13">
        <f>N131*VLOOKUP('Données projet'!$B$9,Paramètres!$A$1:$I$89,3,0)*VLOOKUP('Données projet'!$B$9,Paramètres!$A$1:$I$89,5,0)</f>
        <v>-1.8621904018800707E-13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107.39524504744702</v>
      </c>
      <c r="T131" s="59">
        <f t="shared" si="88"/>
        <v>102.66420075171004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75.137374480422594</v>
      </c>
      <c r="AA131" s="21">
        <f>EXP(-LN(2)/25)*AA130+(1-EXP(-LN(2)/25))/(LN(2)/25)*Calculateur!V131*Calculateur!X131*VLOOKUP('Données projet'!$B$9,Paramètres!$A$1:$I$89,3,0)*0.475*44/12</f>
        <v>13.922540010411659</v>
      </c>
      <c r="AB131" s="21">
        <f>EXP(-LN(2)/2)*AB130+(1-EXP(-LN(2)/2))/(LN(2)/2)*V131*Y131*VLOOKUP('Données projet'!$B$9,Paramètres!$A$1:$I$89,3,0)*0.475*44/12</f>
        <v>1.6225870095566898E-3</v>
      </c>
      <c r="AC131" s="22">
        <f t="shared" si="57"/>
        <v>89.061537077843795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6.083333333333333</v>
      </c>
      <c r="AI131" s="13">
        <f>IF('Données projet'!$A$62&gt;35,AI130+AH131-AQ130,IF(A131&lt;'Données projet'!$A$62,$AF$205^A131,IF(A131='Données projet'!$A$62,'Données projet'!$B$62,AI130+AH131-AQ130)))</f>
        <v>330.91666666666663</v>
      </c>
      <c r="AJ131" s="13">
        <f>AI131*VLOOKUP('Données projet'!$B$10,Paramètres!$A$1:$I$89,3,0)*VLOOKUP('Données projet'!$B$10,Paramètres!$A$1:$I$89,5,0)</f>
        <v>299.41339999999997</v>
      </c>
      <c r="AK131" s="13">
        <f t="shared" si="89"/>
        <v>71.053475579462102</v>
      </c>
      <c r="AL131" s="20">
        <f t="shared" si="58"/>
        <v>645.22980830089637</v>
      </c>
      <c r="AM131" s="59">
        <f t="shared" si="59"/>
        <v>938.56314163422962</v>
      </c>
      <c r="AN131" s="59">
        <f ca="1">AVERAGE(OFFSET($AM$3,0,0,'Données projet'!$E$10+1,1))-AVERAGE(OFFSET($H$3,0,0,'Données projet'!$E$10+1,1))</f>
        <v>215.7418266360167</v>
      </c>
      <c r="AO131" s="59">
        <f t="shared" si="90"/>
        <v>155.78420008229949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56.348287194222969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56.348287194222969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-3.979039320256561E-13</v>
      </c>
      <c r="O132" s="13">
        <f>N132*VLOOKUP('Données projet'!$B$9,Paramètres!$A$1:$I$89,3,0)*VLOOKUP('Données projet'!$B$9,Paramètres!$A$1:$I$89,5,0)</f>
        <v>-1.8621904018800707E-13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107.39524504744702</v>
      </c>
      <c r="T132" s="59">
        <f t="shared" si="88"/>
        <v>102.66420075171004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73.663976396134672</v>
      </c>
      <c r="AA132" s="21">
        <f>EXP(-LN(2)/25)*AA131+(1-EXP(-LN(2)/25))/(LN(2)/25)*Calculateur!V132*Calculateur!X132*VLOOKUP('Données projet'!$B$9,Paramètres!$A$1:$I$89,3,0)*0.475*44/12</f>
        <v>13.541827421672393</v>
      </c>
      <c r="AB132" s="21">
        <f>EXP(-LN(2)/2)*AB131+(1-EXP(-LN(2)/2))/(LN(2)/2)*V132*Y132*VLOOKUP('Données projet'!$B$9,Paramètres!$A$1:$I$89,3,0)*0.475*44/12</f>
        <v>1.1473422775227368E-3</v>
      </c>
      <c r="AC132" s="22">
        <f t="shared" ref="AC132:AC153" si="111">SUM(Z132:AB132)</f>
        <v>87.206951160084586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>
        <f>VLOOKUP(A132,'Données projet'!$A$61:$I$81,2,0)</f>
        <v>337</v>
      </c>
      <c r="AG132" s="12">
        <f>VLOOKUP(A132,'Données projet'!$A$61:$I$81,9,0)</f>
        <v>6.083333333333333</v>
      </c>
      <c r="AH132" s="12">
        <f t="array" ref="AH132">INDEX(AG:AG,MIN(IF(ISNUMBER(AG132:AG328),ROW(AG132:AG328),"")))</f>
        <v>6.083333333333333</v>
      </c>
      <c r="AI132" s="13">
        <f>IF('Données projet'!$A$62&gt;35,AI131+AH132-AQ131,IF(A132&lt;'Données projet'!$A$62,$AF$205^A132,IF(A132='Données projet'!$A$62,'Données projet'!$B$62,AI131+AH132-AQ131)))</f>
        <v>336.99999999999994</v>
      </c>
      <c r="AJ132" s="13">
        <f>AI132*VLOOKUP('Données projet'!$B$10,Paramètres!$A$1:$I$89,3,0)*VLOOKUP('Données projet'!$B$10,Paramètres!$A$1:$I$89,5,0)</f>
        <v>304.91759999999994</v>
      </c>
      <c r="AK132" s="13">
        <f t="shared" si="89"/>
        <v>72.20640376023259</v>
      </c>
      <c r="AL132" s="20">
        <f t="shared" ref="AL132:AL153" si="112">(AJ132+AK132)*0.475*44/12</f>
        <v>656.82430654907159</v>
      </c>
      <c r="AM132" s="59">
        <f t="shared" ref="AM132:AM195" si="113">AL132+(AD132+AE132)*44/12</f>
        <v>950.15763988240496</v>
      </c>
      <c r="AN132" s="59">
        <f ca="1">AVERAGE(OFFSET($AM$3,0,0,'Données projet'!$E$10+1,1))-AVERAGE(OFFSET($H$3,0,0,'Données projet'!$E$10+1,1))</f>
        <v>215.7418266360167</v>
      </c>
      <c r="AO132" s="59">
        <f t="shared" si="90"/>
        <v>155.78420008229949</v>
      </c>
      <c r="AP132" s="15" t="str">
        <f>IF(ISNA(VLOOKUP(A132,'Données projet'!$A$61:$I$81,3,0)),0,VLOOKUP(A132,'Données projet'!$A$61:$I$81,3,0))</f>
        <v>CR</v>
      </c>
      <c r="AQ132" s="15">
        <f>IF(ISNA(VLOOKUP(A132,'Données projet'!$A$61:$I$81,4,0)),0,VLOOKUP(A132,'Données projet'!$A$61:$I$81,4,0))</f>
        <v>337</v>
      </c>
      <c r="AR132" s="16">
        <f>IF(ISNA(VLOOKUP(A132,'Données projet'!$A$61:$I$81,5,0)),0%,VLOOKUP(A132,'Données projet'!$A$61:$I$81,5,0)*VLOOKUP('Données projet'!$B$10,Paramètres!$A$1:$I$89,7,0))</f>
        <v>0.38700000000000001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185.69227577573872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185.69227577573872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-3.979039320256561E-13</v>
      </c>
      <c r="O133" s="13">
        <f>N133*VLOOKUP('Données projet'!$B$9,Paramètres!$A$1:$I$89,3,0)*VLOOKUP('Données projet'!$B$9,Paramètres!$A$1:$I$89,5,0)</f>
        <v>-1.8621904018800707E-13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107.39524504744702</v>
      </c>
      <c r="T133" s="59">
        <f t="shared" ref="T133:T196" si="142">$T$3</f>
        <v>102.66420075171004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72.219470749595544</v>
      </c>
      <c r="AA133" s="21">
        <f>EXP(-LN(2)/25)*AA132+(1-EXP(-LN(2)/25))/(LN(2)/25)*Calculateur!V133*Calculateur!X133*VLOOKUP('Données projet'!$B$9,Paramètres!$A$1:$I$89,3,0)*0.475*44/12</f>
        <v>13.171525438693008</v>
      </c>
      <c r="AB133" s="21">
        <f>EXP(-LN(2)/2)*AB132+(1-EXP(-LN(2)/2))/(LN(2)/2)*V133*Y133*VLOOKUP('Données projet'!$B$9,Paramètres!$A$1:$I$89,3,0)*0.475*44/12</f>
        <v>8.1129350477834492E-4</v>
      </c>
      <c r="AC133" s="22">
        <f t="shared" si="111"/>
        <v>85.391807481793336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-5.1431925385259088E-14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215.7418266360167</v>
      </c>
      <c r="AO133" s="59">
        <f t="shared" ref="AO133:AO196" si="144">$AO$3</f>
        <v>155.78420008229949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182.0509635088811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182.0509635088811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-3.979039320256561E-13</v>
      </c>
      <c r="O134" s="13">
        <f>N134*VLOOKUP('Données projet'!$B$9,Paramètres!$A$1:$I$89,3,0)*VLOOKUP('Données projet'!$B$9,Paramètres!$A$1:$I$89,5,0)</f>
        <v>-1.8621904018800707E-13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107.39524504744702</v>
      </c>
      <c r="T134" s="59">
        <f t="shared" si="142"/>
        <v>102.66420075171004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70.803290977723606</v>
      </c>
      <c r="AA134" s="21">
        <f>EXP(-LN(2)/25)*AA133+(1-EXP(-LN(2)/25))/(LN(2)/25)*Calculateur!V134*Calculateur!X134*VLOOKUP('Données projet'!$B$9,Paramètres!$A$1:$I$89,3,0)*0.475*44/12</f>
        <v>12.811349382911528</v>
      </c>
      <c r="AB134" s="21">
        <f>EXP(-LN(2)/2)*AB133+(1-EXP(-LN(2)/2))/(LN(2)/2)*V134*Y134*VLOOKUP('Données projet'!$B$9,Paramètres!$A$1:$I$89,3,0)*0.475*44/12</f>
        <v>5.7367113876136838E-4</v>
      </c>
      <c r="AC134" s="22">
        <f t="shared" si="111"/>
        <v>83.615214031773903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-5.1431925385259088E-14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215.7418266360167</v>
      </c>
      <c r="AO134" s="59">
        <f t="shared" si="144"/>
        <v>155.78420008229949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178.48105515459537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178.48105515459537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-3.979039320256561E-13</v>
      </c>
      <c r="O135" s="13">
        <f>N135*VLOOKUP('Données projet'!$B$9,Paramètres!$A$1:$I$89,3,0)*VLOOKUP('Données projet'!$B$9,Paramètres!$A$1:$I$89,5,0)</f>
        <v>-1.8621904018800707E-13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107.39524504744702</v>
      </c>
      <c r="T135" s="59">
        <f t="shared" si="142"/>
        <v>102.66420075171004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69.414881627393697</v>
      </c>
      <c r="AA135" s="21">
        <f>EXP(-LN(2)/25)*AA134+(1-EXP(-LN(2)/25))/(LN(2)/25)*Calculateur!V135*Calculateur!X135*VLOOKUP('Données projet'!$B$9,Paramètres!$A$1:$I$89,3,0)*0.475*44/12</f>
        <v>12.461022360316228</v>
      </c>
      <c r="AB135" s="21">
        <f>EXP(-LN(2)/2)*AB134+(1-EXP(-LN(2)/2))/(LN(2)/2)*V135*Y135*VLOOKUP('Données projet'!$B$9,Paramètres!$A$1:$I$89,3,0)*0.475*44/12</f>
        <v>4.0564675238917246E-4</v>
      </c>
      <c r="AC135" s="22">
        <f t="shared" si="111"/>
        <v>81.876309634462316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-5.1431925385259088E-14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215.7418266360167</v>
      </c>
      <c r="AO135" s="59">
        <f t="shared" si="144"/>
        <v>155.78420008229949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174.9811505257081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174.9811505257081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-3.979039320256561E-13</v>
      </c>
      <c r="O136" s="13">
        <f>N136*VLOOKUP('Données projet'!$B$9,Paramètres!$A$1:$I$89,3,0)*VLOOKUP('Données projet'!$B$9,Paramètres!$A$1:$I$89,5,0)</f>
        <v>-1.8621904018800707E-13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107.39524504744702</v>
      </c>
      <c r="T136" s="59">
        <f t="shared" si="142"/>
        <v>102.66420075171004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68.053698137577683</v>
      </c>
      <c r="AA136" s="21">
        <f>EXP(-LN(2)/25)*AA135+(1-EXP(-LN(2)/25))/(LN(2)/25)*Calculateur!V136*Calculateur!X136*VLOOKUP('Données projet'!$B$9,Paramètres!$A$1:$I$89,3,0)*0.475*44/12</f>
        <v>12.120275048576696</v>
      </c>
      <c r="AB136" s="21">
        <f>EXP(-LN(2)/2)*AB135+(1-EXP(-LN(2)/2))/(LN(2)/2)*V136*Y136*VLOOKUP('Données projet'!$B$9,Paramètres!$A$1:$I$89,3,0)*0.475*44/12</f>
        <v>2.8683556938068419E-4</v>
      </c>
      <c r="AC136" s="22">
        <f t="shared" si="111"/>
        <v>80.174260021723768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-5.1431925385259088E-14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215.7418266360167</v>
      </c>
      <c r="AO136" s="59">
        <f t="shared" si="144"/>
        <v>155.78420008229949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171.54987689186228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171.54987689186228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-3.979039320256561E-13</v>
      </c>
      <c r="O137" s="13">
        <f>N137*VLOOKUP('Données projet'!$B$9,Paramètres!$A$1:$I$89,3,0)*VLOOKUP('Données projet'!$B$9,Paramètres!$A$1:$I$89,5,0)</f>
        <v>-1.8621904018800707E-13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107.39524504744702</v>
      </c>
      <c r="T137" s="59">
        <f t="shared" si="142"/>
        <v>102.66420075171004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66.71920662575701</v>
      </c>
      <c r="AA137" s="21">
        <f>EXP(-LN(2)/25)*AA136+(1-EXP(-LN(2)/25))/(LN(2)/25)*Calculateur!V137*Calculateur!X137*VLOOKUP('Données projet'!$B$9,Paramètres!$A$1:$I$89,3,0)*0.475*44/12</f>
        <v>11.788845489995802</v>
      </c>
      <c r="AB137" s="21">
        <f>EXP(-LN(2)/2)*AB136+(1-EXP(-LN(2)/2))/(LN(2)/2)*V137*Y137*VLOOKUP('Données projet'!$B$9,Paramètres!$A$1:$I$89,3,0)*0.475*44/12</f>
        <v>2.0282337619458623E-4</v>
      </c>
      <c r="AC137" s="22">
        <f t="shared" si="111"/>
        <v>78.508254939129017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-5.1431925385259088E-14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215.7418266360167</v>
      </c>
      <c r="AO137" s="59">
        <f t="shared" si="144"/>
        <v>155.78420008229949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168.1858884411059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168.1858884411059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-3.979039320256561E-13</v>
      </c>
      <c r="O138" s="13">
        <f>N138*VLOOKUP('Données projet'!$B$9,Paramètres!$A$1:$I$89,3,0)*VLOOKUP('Données projet'!$B$9,Paramètres!$A$1:$I$89,5,0)</f>
        <v>-1.8621904018800707E-13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107.39524504744702</v>
      </c>
      <c r="T138" s="59">
        <f t="shared" si="142"/>
        <v>102.66420075171004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65.410883678523689</v>
      </c>
      <c r="AA138" s="21">
        <f>EXP(-LN(2)/25)*AA137+(1-EXP(-LN(2)/25))/(LN(2)/25)*Calculateur!V138*Calculateur!X138*VLOOKUP('Données projet'!$B$9,Paramètres!$A$1:$I$89,3,0)*0.475*44/12</f>
        <v>11.466478890123426</v>
      </c>
      <c r="AB138" s="21">
        <f>EXP(-LN(2)/2)*AB137+(1-EXP(-LN(2)/2))/(LN(2)/2)*V138*Y138*VLOOKUP('Données projet'!$B$9,Paramètres!$A$1:$I$89,3,0)*0.475*44/12</f>
        <v>1.4341778469034209E-4</v>
      </c>
      <c r="AC138" s="22">
        <f t="shared" si="111"/>
        <v>76.8775059864318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-5.1431925385259088E-14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215.7418266360167</v>
      </c>
      <c r="AO138" s="59">
        <f t="shared" si="144"/>
        <v>155.78420008229949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164.88786575203852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164.88786575203852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-3.979039320256561E-13</v>
      </c>
      <c r="O139" s="13">
        <f>N139*VLOOKUP('Données projet'!$B$9,Paramètres!$A$1:$I$89,3,0)*VLOOKUP('Données projet'!$B$9,Paramètres!$A$1:$I$89,5,0)</f>
        <v>-1.8621904018800707E-13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107.39524504744702</v>
      </c>
      <c r="T139" s="59">
        <f t="shared" si="142"/>
        <v>102.66420075171004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64.128216146287414</v>
      </c>
      <c r="AA139" s="21">
        <f>EXP(-LN(2)/25)*AA138+(1-EXP(-LN(2)/25))/(LN(2)/25)*Calculateur!V139*Calculateur!X139*VLOOKUP('Données projet'!$B$9,Paramètres!$A$1:$I$89,3,0)*0.475*44/12</f>
        <v>11.152927421877083</v>
      </c>
      <c r="AB139" s="21">
        <f>EXP(-LN(2)/2)*AB138+(1-EXP(-LN(2)/2))/(LN(2)/2)*V139*Y139*VLOOKUP('Données projet'!$B$9,Paramètres!$A$1:$I$89,3,0)*0.475*44/12</f>
        <v>1.0141168809729312E-4</v>
      </c>
      <c r="AC139" s="22">
        <f t="shared" si="111"/>
        <v>75.281244979852588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-5.1431925385259088E-14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215.7418266360167</v>
      </c>
      <c r="AO139" s="59">
        <f t="shared" si="144"/>
        <v>155.78420008229949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161.65451527630853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161.65451527630853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-3.979039320256561E-13</v>
      </c>
      <c r="O140" s="13">
        <f>N140*VLOOKUP('Données projet'!$B$9,Paramètres!$A$1:$I$89,3,0)*VLOOKUP('Données projet'!$B$9,Paramètres!$A$1:$I$89,5,0)</f>
        <v>-1.8621904018800707E-13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107.39524504744702</v>
      </c>
      <c r="T140" s="59">
        <f t="shared" si="142"/>
        <v>102.66420075171004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62.870700942008348</v>
      </c>
      <c r="AA140" s="21">
        <f>EXP(-LN(2)/25)*AA139+(1-EXP(-LN(2)/25))/(LN(2)/25)*Calculateur!V140*Calculateur!X140*VLOOKUP('Données projet'!$B$9,Paramètres!$A$1:$I$89,3,0)*0.475*44/12</f>
        <v>10.847950035018892</v>
      </c>
      <c r="AB140" s="21">
        <f>EXP(-LN(2)/2)*AB139+(1-EXP(-LN(2)/2))/(LN(2)/2)*V140*Y140*VLOOKUP('Données projet'!$B$9,Paramètres!$A$1:$I$89,3,0)*0.475*44/12</f>
        <v>7.1708892345171047E-5</v>
      </c>
      <c r="AC140" s="22">
        <f t="shared" si="111"/>
        <v>73.718722685919587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-5.1431925385259088E-14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215.7418266360167</v>
      </c>
      <c r="AO140" s="59">
        <f t="shared" si="144"/>
        <v>155.78420008229949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158.48456883125854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158.48456883125854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-3.979039320256561E-13</v>
      </c>
      <c r="O141" s="13">
        <f>N141*VLOOKUP('Données projet'!$B$9,Paramètres!$A$1:$I$89,3,0)*VLOOKUP('Données projet'!$B$9,Paramètres!$A$1:$I$89,5,0)</f>
        <v>-1.8621904018800707E-13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107.39524504744702</v>
      </c>
      <c r="T141" s="59">
        <f t="shared" si="142"/>
        <v>102.66420075171004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61.637844843876657</v>
      </c>
      <c r="AA141" s="21">
        <f>EXP(-LN(2)/25)*AA140+(1-EXP(-LN(2)/25))/(LN(2)/25)*Calculateur!V141*Calculateur!X141*VLOOKUP('Données projet'!$B$9,Paramètres!$A$1:$I$89,3,0)*0.475*44/12</f>
        <v>10.5513122708424</v>
      </c>
      <c r="AB141" s="21">
        <f>EXP(-LN(2)/2)*AB140+(1-EXP(-LN(2)/2))/(LN(2)/2)*V141*Y141*VLOOKUP('Données projet'!$B$9,Paramètres!$A$1:$I$89,3,0)*0.475*44/12</f>
        <v>5.0705844048646558E-5</v>
      </c>
      <c r="AC141" s="22">
        <f t="shared" si="111"/>
        <v>72.189207820563098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-5.1431925385259088E-14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215.7418266360167</v>
      </c>
      <c r="AO141" s="59">
        <f t="shared" si="144"/>
        <v>155.78420008229949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155.37678310251957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155.37678310251957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-3.979039320256561E-13</v>
      </c>
      <c r="O142" s="13">
        <f>N142*VLOOKUP('Données projet'!$B$9,Paramètres!$A$1:$I$89,3,0)*VLOOKUP('Données projet'!$B$9,Paramètres!$A$1:$I$89,5,0)</f>
        <v>-1.8621904018800707E-13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107.39524504744702</v>
      </c>
      <c r="T142" s="59">
        <f t="shared" si="142"/>
        <v>102.66420075171004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60.429164301861356</v>
      </c>
      <c r="AA142" s="21">
        <f>EXP(-LN(2)/25)*AA141+(1-EXP(-LN(2)/25))/(LN(2)/25)*Calculateur!V142*Calculateur!X142*VLOOKUP('Données projet'!$B$9,Paramètres!$A$1:$I$89,3,0)*0.475*44/12</f>
        <v>10.262786081926818</v>
      </c>
      <c r="AB142" s="21">
        <f>EXP(-LN(2)/2)*AB141+(1-EXP(-LN(2)/2))/(LN(2)/2)*V142*Y142*VLOOKUP('Données projet'!$B$9,Paramètres!$A$1:$I$89,3,0)*0.475*44/12</f>
        <v>3.5854446172585524E-5</v>
      </c>
      <c r="AC142" s="22">
        <f t="shared" si="111"/>
        <v>70.691986238234335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-5.1431925385259088E-14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215.7418266360167</v>
      </c>
      <c r="AO142" s="59">
        <f t="shared" si="144"/>
        <v>155.78420008229949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152.32993915635905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152.32993915635905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-3.979039320256561E-13</v>
      </c>
      <c r="O143" s="13">
        <f>N143*VLOOKUP('Données projet'!$B$9,Paramètres!$A$1:$I$89,3,0)*VLOOKUP('Données projet'!$B$9,Paramètres!$A$1:$I$89,5,0)</f>
        <v>-1.8621904018800707E-13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107.39524504744702</v>
      </c>
      <c r="T143" s="59">
        <f t="shared" si="142"/>
        <v>102.66420075171004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59.244185248052638</v>
      </c>
      <c r="AA143" s="21">
        <f>EXP(-LN(2)/25)*AA142+(1-EXP(-LN(2)/25))/(LN(2)/25)*Calculateur!V143*Calculateur!X143*VLOOKUP('Données projet'!$B$9,Paramètres!$A$1:$I$89,3,0)*0.475*44/12</f>
        <v>9.9821496568200647</v>
      </c>
      <c r="AB143" s="21">
        <f>EXP(-LN(2)/2)*AB142+(1-EXP(-LN(2)/2))/(LN(2)/2)*V143*Y143*VLOOKUP('Données projet'!$B$9,Paramètres!$A$1:$I$89,3,0)*0.475*44/12</f>
        <v>2.5352922024323279E-5</v>
      </c>
      <c r="AC143" s="22">
        <f t="shared" si="111"/>
        <v>69.226360257794724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-5.1431925385259088E-14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215.7418266360167</v>
      </c>
      <c r="AO143" s="59">
        <f t="shared" si="144"/>
        <v>155.78420008229949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149.34284196159143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149.34284196159143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-3.979039320256561E-13</v>
      </c>
      <c r="O144" s="13">
        <f>N144*VLOOKUP('Données projet'!$B$9,Paramètres!$A$1:$I$89,3,0)*VLOOKUP('Données projet'!$B$9,Paramètres!$A$1:$I$89,5,0)</f>
        <v>-1.8621904018800707E-13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107.39524504744702</v>
      </c>
      <c r="T144" s="59">
        <f t="shared" si="142"/>
        <v>102.66420075171004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58.082442910723252</v>
      </c>
      <c r="AA144" s="21">
        <f>EXP(-LN(2)/25)*AA143+(1-EXP(-LN(2)/25))/(LN(2)/25)*Calculateur!V144*Calculateur!X144*VLOOKUP('Données projet'!$B$9,Paramètres!$A$1:$I$89,3,0)*0.475*44/12</f>
        <v>9.7091872495158835</v>
      </c>
      <c r="AB144" s="21">
        <f>EXP(-LN(2)/2)*AB143+(1-EXP(-LN(2)/2))/(LN(2)/2)*V144*Y144*VLOOKUP('Données projet'!$B$9,Paramètres!$A$1:$I$89,3,0)*0.475*44/12</f>
        <v>1.7927223086292762E-5</v>
      </c>
      <c r="AC144" s="22">
        <f t="shared" si="111"/>
        <v>67.791648087462221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-5.1431925385259088E-14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215.7418266360167</v>
      </c>
      <c r="AO144" s="59">
        <f t="shared" si="144"/>
        <v>155.78420008229949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146.41431992086382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146.41431992086382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-3.979039320256561E-13</v>
      </c>
      <c r="O145" s="13">
        <f>N145*VLOOKUP('Données projet'!$B$9,Paramètres!$A$1:$I$89,3,0)*VLOOKUP('Données projet'!$B$9,Paramètres!$A$1:$I$89,5,0)</f>
        <v>-1.8621904018800707E-13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107.39524504744702</v>
      </c>
      <c r="T145" s="59">
        <f t="shared" si="142"/>
        <v>102.66420075171004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56.94348163203604</v>
      </c>
      <c r="AA145" s="21">
        <f>EXP(-LN(2)/25)*AA144+(1-EXP(-LN(2)/25))/(LN(2)/25)*Calculateur!V145*Calculateur!X145*VLOOKUP('Données projet'!$B$9,Paramètres!$A$1:$I$89,3,0)*0.475*44/12</f>
        <v>9.4436890135939056</v>
      </c>
      <c r="AB145" s="21">
        <f>EXP(-LN(2)/2)*AB144+(1-EXP(-LN(2)/2))/(LN(2)/2)*V145*Y145*VLOOKUP('Données projet'!$B$9,Paramètres!$A$1:$I$89,3,0)*0.475*44/12</f>
        <v>1.2676461012161639E-5</v>
      </c>
      <c r="AC145" s="22">
        <f t="shared" si="111"/>
        <v>66.387183322090962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-5.1431925385259088E-14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215.7418266360167</v>
      </c>
      <c r="AO145" s="59">
        <f t="shared" si="144"/>
        <v>155.78420008229949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143.5432244111328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143.5432244111328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-3.979039320256561E-13</v>
      </c>
      <c r="O146" s="13">
        <f>N146*VLOOKUP('Données projet'!$B$9,Paramètres!$A$1:$I$89,3,0)*VLOOKUP('Données projet'!$B$9,Paramètres!$A$1:$I$89,5,0)</f>
        <v>-1.8621904018800707E-13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107.39524504744702</v>
      </c>
      <c r="T146" s="59">
        <f t="shared" si="142"/>
        <v>102.66420075171004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55.826854689326098</v>
      </c>
      <c r="AA146" s="21">
        <f>EXP(-LN(2)/25)*AA145+(1-EXP(-LN(2)/25))/(LN(2)/25)*Calculateur!V146*Calculateur!X146*VLOOKUP('Données projet'!$B$9,Paramètres!$A$1:$I$89,3,0)*0.475*44/12</f>
        <v>9.1854508408951592</v>
      </c>
      <c r="AB146" s="21">
        <f>EXP(-LN(2)/2)*AB145+(1-EXP(-LN(2)/2))/(LN(2)/2)*V146*Y146*VLOOKUP('Données projet'!$B$9,Paramètres!$A$1:$I$89,3,0)*0.475*44/12</f>
        <v>8.9636115431463809E-6</v>
      </c>
      <c r="AC146" s="22">
        <f t="shared" si="111"/>
        <v>65.012314493832804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-5.1431925385259088E-14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215.7418266360167</v>
      </c>
      <c r="AO146" s="59">
        <f t="shared" si="144"/>
        <v>155.78420008229949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140.72842933315226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140.72842933315226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-3.979039320256561E-13</v>
      </c>
      <c r="O147" s="13">
        <f>N147*VLOOKUP('Données projet'!$B$9,Paramètres!$A$1:$I$89,3,0)*VLOOKUP('Données projet'!$B$9,Paramètres!$A$1:$I$89,5,0)</f>
        <v>-1.8621904018800707E-13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107.39524504744702</v>
      </c>
      <c r="T147" s="59">
        <f t="shared" si="142"/>
        <v>102.66420075171004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54.732124119887516</v>
      </c>
      <c r="AA147" s="21">
        <f>EXP(-LN(2)/25)*AA146+(1-EXP(-LN(2)/25))/(LN(2)/25)*Calculateur!V147*Calculateur!X147*VLOOKUP('Données projet'!$B$9,Paramètres!$A$1:$I$89,3,0)*0.475*44/12</f>
        <v>8.9342742046090144</v>
      </c>
      <c r="AB147" s="21">
        <f>EXP(-LN(2)/2)*AB146+(1-EXP(-LN(2)/2))/(LN(2)/2)*V147*Y147*VLOOKUP('Données projet'!$B$9,Paramètres!$A$1:$I$89,3,0)*0.475*44/12</f>
        <v>6.3382305060808197E-6</v>
      </c>
      <c r="AC147" s="22">
        <f t="shared" si="111"/>
        <v>63.666404662727032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-5.1431925385259088E-14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215.7418266360167</v>
      </c>
      <c r="AO147" s="59">
        <f t="shared" si="144"/>
        <v>155.78420008229949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137.96883066979547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137.96883066979547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-3.979039320256561E-13</v>
      </c>
      <c r="O148" s="13">
        <f>N148*VLOOKUP('Données projet'!$B$9,Paramètres!$A$1:$I$89,3,0)*VLOOKUP('Données projet'!$B$9,Paramètres!$A$1:$I$89,5,0)</f>
        <v>-1.8621904018800707E-13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107.39524504744702</v>
      </c>
      <c r="T148" s="59">
        <f t="shared" si="142"/>
        <v>102.66420075171004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53.658860549195907</v>
      </c>
      <c r="AA148" s="21">
        <f>EXP(-LN(2)/25)*AA147+(1-EXP(-LN(2)/25))/(LN(2)/25)*Calculateur!V148*Calculateur!X148*VLOOKUP('Données projet'!$B$9,Paramètres!$A$1:$I$89,3,0)*0.475*44/12</f>
        <v>8.6899660066509199</v>
      </c>
      <c r="AB148" s="21">
        <f>EXP(-LN(2)/2)*AB147+(1-EXP(-LN(2)/2))/(LN(2)/2)*V148*Y148*VLOOKUP('Données projet'!$B$9,Paramètres!$A$1:$I$89,3,0)*0.475*44/12</f>
        <v>4.4818057715731905E-6</v>
      </c>
      <c r="AC148" s="22">
        <f t="shared" si="111"/>
        <v>62.348831037652602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-5.1431925385259088E-14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215.7418266360167</v>
      </c>
      <c r="AO148" s="59">
        <f t="shared" si="144"/>
        <v>155.78420008229949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135.26334605303811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135.26334605303811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-3.979039320256561E-13</v>
      </c>
      <c r="O149" s="13">
        <f>N149*VLOOKUP('Données projet'!$B$9,Paramètres!$A$1:$I$89,3,0)*VLOOKUP('Données projet'!$B$9,Paramètres!$A$1:$I$89,5,0)</f>
        <v>-1.8621904018800707E-13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107.39524504744702</v>
      </c>
      <c r="T149" s="59">
        <f t="shared" si="142"/>
        <v>102.66420075171004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52.606643022499419</v>
      </c>
      <c r="AA149" s="21">
        <f>EXP(-LN(2)/25)*AA148+(1-EXP(-LN(2)/25))/(LN(2)/25)*Calculateur!V149*Calculateur!X149*VLOOKUP('Données projet'!$B$9,Paramètres!$A$1:$I$89,3,0)*0.475*44/12</f>
        <v>8.452338429213599</v>
      </c>
      <c r="AB149" s="21">
        <f>EXP(-LN(2)/2)*AB148+(1-EXP(-LN(2)/2))/(LN(2)/2)*V149*Y149*VLOOKUP('Données projet'!$B$9,Paramètres!$A$1:$I$89,3,0)*0.475*44/12</f>
        <v>3.1691152530404099E-6</v>
      </c>
      <c r="AC149" s="22">
        <f t="shared" si="111"/>
        <v>61.058984620828269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-5.1431925385259088E-14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215.7418266360167</v>
      </c>
      <c r="AO149" s="59">
        <f t="shared" si="144"/>
        <v>155.78420008229949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132.61091433943267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132.61091433943267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-3.979039320256561E-13</v>
      </c>
      <c r="O150" s="13">
        <f>N150*VLOOKUP('Données projet'!$B$9,Paramètres!$A$1:$I$89,3,0)*VLOOKUP('Données projet'!$B$9,Paramètres!$A$1:$I$89,5,0)</f>
        <v>-1.8621904018800707E-13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107.39524504744702</v>
      </c>
      <c r="T150" s="59">
        <f t="shared" si="142"/>
        <v>102.66420075171004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51.575058839712135</v>
      </c>
      <c r="AA150" s="21">
        <f>EXP(-LN(2)/25)*AA149+(1-EXP(-LN(2)/25))/(LN(2)/25)*Calculateur!V150*Calculateur!X150*VLOOKUP('Données projet'!$B$9,Paramètres!$A$1:$I$89,3,0)*0.475*44/12</f>
        <v>8.2212087903775934</v>
      </c>
      <c r="AB150" s="21">
        <f>EXP(-LN(2)/2)*AB149+(1-EXP(-LN(2)/2))/(LN(2)/2)*V150*Y150*VLOOKUP('Données projet'!$B$9,Paramètres!$A$1:$I$89,3,0)*0.475*44/12</f>
        <v>2.2409028857865952E-6</v>
      </c>
      <c r="AC150" s="22">
        <f t="shared" si="111"/>
        <v>59.796269870992617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-5.1431925385259088E-14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215.7418266360167</v>
      </c>
      <c r="AO150" s="59">
        <f t="shared" si="144"/>
        <v>155.78420008229949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130.01049519390745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130.01049519390745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-3.979039320256561E-13</v>
      </c>
      <c r="O151" s="13">
        <f>N151*VLOOKUP('Données projet'!$B$9,Paramètres!$A$1:$I$89,3,0)*VLOOKUP('Données projet'!$B$9,Paramètres!$A$1:$I$89,5,0)</f>
        <v>-1.8621904018800707E-13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107.39524504744702</v>
      </c>
      <c r="T151" s="59">
        <f t="shared" si="142"/>
        <v>102.66420075171004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50.563703393545083</v>
      </c>
      <c r="AA151" s="21">
        <f>EXP(-LN(2)/25)*AA150+(1-EXP(-LN(2)/25))/(LN(2)/25)*Calculateur!V151*Calculateur!X151*VLOOKUP('Données projet'!$B$9,Paramètres!$A$1:$I$89,3,0)*0.475*44/12</f>
        <v>7.9963994036701376</v>
      </c>
      <c r="AB151" s="21">
        <f>EXP(-LN(2)/2)*AB150+(1-EXP(-LN(2)/2))/(LN(2)/2)*V151*Y151*VLOOKUP('Données projet'!$B$9,Paramètres!$A$1:$I$89,3,0)*0.475*44/12</f>
        <v>1.5845576265202049E-6</v>
      </c>
      <c r="AC151" s="22">
        <f t="shared" si="111"/>
        <v>58.560104381772852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-5.1431925385259088E-14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215.7418266360167</v>
      </c>
      <c r="AO151" s="59">
        <f t="shared" si="144"/>
        <v>155.78420008229949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127.4610686817269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127.4610686817269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-3.979039320256561E-13</v>
      </c>
      <c r="O152" s="13">
        <f>N152*VLOOKUP('Données projet'!$B$9,Paramètres!$A$1:$I$89,3,0)*VLOOKUP('Données projet'!$B$9,Paramètres!$A$1:$I$89,5,0)</f>
        <v>-1.8621904018800707E-13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107.39524504744702</v>
      </c>
      <c r="T152" s="59">
        <f t="shared" si="142"/>
        <v>102.66420075171004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49.572180010811458</v>
      </c>
      <c r="AA152" s="21">
        <f>EXP(-LN(2)/25)*AA151+(1-EXP(-LN(2)/25))/(LN(2)/25)*Calculateur!V152*Calculateur!X152*VLOOKUP('Données projet'!$B$9,Paramètres!$A$1:$I$89,3,0)*0.475*44/12</f>
        <v>7.7777374414644092</v>
      </c>
      <c r="AB152" s="21">
        <f>EXP(-LN(2)/2)*AB151+(1-EXP(-LN(2)/2))/(LN(2)/2)*V152*Y152*VLOOKUP('Données projet'!$B$9,Paramètres!$A$1:$I$89,3,0)*0.475*44/12</f>
        <v>1.1204514428932976E-6</v>
      </c>
      <c r="AC152" s="22">
        <f t="shared" si="111"/>
        <v>57.349918572727312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-5.1431925385259088E-14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215.7418266360167</v>
      </c>
      <c r="AO152" s="59">
        <f t="shared" si="144"/>
        <v>155.78420008229949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124.96163486845359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124.96163486845359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-3.979039320256561E-13</v>
      </c>
      <c r="O153" s="13">
        <f>N153*VLOOKUP('Données projet'!$B$9,Paramètres!$A$1:$I$89,3,0)*VLOOKUP('Données projet'!$B$9,Paramètres!$A$1:$I$89,5,0)</f>
        <v>-1.8621904018800707E-13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107.39524504744702</v>
      </c>
      <c r="T153" s="59">
        <f t="shared" si="142"/>
        <v>102.66420075171004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48.600099796843693</v>
      </c>
      <c r="AA153" s="21">
        <f>EXP(-LN(2)/25)*AA152+(1-EXP(-LN(2)/25))/(LN(2)/25)*Calculateur!V153*Calculateur!X153*VLOOKUP('Données projet'!$B$9,Paramètres!$A$1:$I$89,3,0)*0.475*44/12</f>
        <v>7.5650548021141288</v>
      </c>
      <c r="AB153" s="21">
        <f>EXP(-LN(2)/2)*AB152+(1-EXP(-LN(2)/2))/(LN(2)/2)*V153*Y153*VLOOKUP('Données projet'!$B$9,Paramètres!$A$1:$I$89,3,0)*0.475*44/12</f>
        <v>7.9227881326010246E-7</v>
      </c>
      <c r="AC153" s="22">
        <f t="shared" si="111"/>
        <v>56.165155391236631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-5.1431925385259088E-14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215.7418266360167</v>
      </c>
      <c r="AO153" s="59">
        <f t="shared" si="144"/>
        <v>155.78420008229949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122.51121342775447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122.51121342775447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-3.979039320256561E-13</v>
      </c>
      <c r="O154" s="13">
        <f>N154*VLOOKUP('Données projet'!$B$9,Paramètres!$A$1:$I$89,3,0)*VLOOKUP('Données projet'!$B$9,Paramètres!$A$1:$I$89,5,0)</f>
        <v>-1.8621904018800707E-13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107.39524504744702</v>
      </c>
      <c r="T154" s="59">
        <f t="shared" si="142"/>
        <v>102.66420075171004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47.647081482961447</v>
      </c>
      <c r="AA154" s="21">
        <f>EXP(-LN(2)/25)*AA153+(1-EXP(-LN(2)/25))/(LN(2)/25)*Calculateur!V154*Calculateur!X154*VLOOKUP('Données projet'!$B$9,Paramètres!$A$1:$I$89,3,0)*0.475*44/12</f>
        <v>7.3581879807213761</v>
      </c>
      <c r="AB154" s="21">
        <f>EXP(-LN(2)/2)*AB153+(1-EXP(-LN(2)/2))/(LN(2)/2)*V154*Y154*VLOOKUP('Données projet'!$B$9,Paramètres!$A$1:$I$89,3,0)*0.475*44/12</f>
        <v>5.6022572144664881E-7</v>
      </c>
      <c r="AC154" s="22">
        <f t="shared" ref="AC154:AC203" si="163">SUM(Z154:AB154)</f>
        <v>55.005270023908544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-5.1431925385259088E-14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215.7418266360167</v>
      </c>
      <c r="AO154" s="59">
        <f t="shared" si="144"/>
        <v>155.78420008229949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120.10884325689797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120.10884325689797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-3.979039320256561E-13</v>
      </c>
      <c r="O155" s="13">
        <f>N155*VLOOKUP('Données projet'!$B$9,Paramètres!$A$1:$I$89,3,0)*VLOOKUP('Données projet'!$B$9,Paramètres!$A$1:$I$89,5,0)</f>
        <v>-1.8621904018800707E-13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107.39524504744702</v>
      </c>
      <c r="T155" s="59">
        <f t="shared" si="142"/>
        <v>102.66420075171004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46.712751276930661</v>
      </c>
      <c r="AA155" s="21">
        <f>EXP(-LN(2)/25)*AA154+(1-EXP(-LN(2)/25))/(LN(2)/25)*Calculateur!V155*Calculateur!X155*VLOOKUP('Données projet'!$B$9,Paramètres!$A$1:$I$89,3,0)*0.475*44/12</f>
        <v>7.1569779434382612</v>
      </c>
      <c r="AB155" s="21">
        <f>EXP(-LN(2)/2)*AB154+(1-EXP(-LN(2)/2))/(LN(2)/2)*V155*Y155*VLOOKUP('Données projet'!$B$9,Paramètres!$A$1:$I$89,3,0)*0.475*44/12</f>
        <v>3.9613940663005123E-7</v>
      </c>
      <c r="AC155" s="22">
        <f t="shared" si="163"/>
        <v>53.86972961650833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-5.1431925385259088E-14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215.7418266360167</v>
      </c>
      <c r="AO155" s="59">
        <f t="shared" si="144"/>
        <v>155.78420008229949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117.75358209979085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117.75358209979085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-3.979039320256561E-13</v>
      </c>
      <c r="O156" s="13">
        <f>N156*VLOOKUP('Données projet'!$B$9,Paramètres!$A$1:$I$89,3,0)*VLOOKUP('Données projet'!$B$9,Paramètres!$A$1:$I$89,5,0)</f>
        <v>-1.8621904018800707E-13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107.39524504744702</v>
      </c>
      <c r="T156" s="59">
        <f t="shared" si="142"/>
        <v>102.66420075171004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45.796742716354984</v>
      </c>
      <c r="AA156" s="21">
        <f>EXP(-LN(2)/25)*AA155+(1-EXP(-LN(2)/25))/(LN(2)/25)*Calculateur!V156*Calculateur!X156*VLOOKUP('Données projet'!$B$9,Paramètres!$A$1:$I$89,3,0)*0.475*44/12</f>
        <v>6.9612700052058294</v>
      </c>
      <c r="AB156" s="21">
        <f>EXP(-LN(2)/2)*AB155+(1-EXP(-LN(2)/2))/(LN(2)/2)*V156*Y156*VLOOKUP('Données projet'!$B$9,Paramètres!$A$1:$I$89,3,0)*0.475*44/12</f>
        <v>2.801128607233244E-7</v>
      </c>
      <c r="AC156" s="22">
        <f t="shared" si="163"/>
        <v>52.758013001673675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-5.1431925385259088E-14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215.7418266360167</v>
      </c>
      <c r="AO156" s="59">
        <f t="shared" si="144"/>
        <v>155.78420008229949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115.44450617740713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115.44450617740713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-3.979039320256561E-13</v>
      </c>
      <c r="O157" s="13">
        <f>N157*VLOOKUP('Données projet'!$B$9,Paramètres!$A$1:$I$89,3,0)*VLOOKUP('Données projet'!$B$9,Paramètres!$A$1:$I$89,5,0)</f>
        <v>-1.8621904018800707E-13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107.39524504744702</v>
      </c>
      <c r="T157" s="59">
        <f t="shared" si="142"/>
        <v>102.66420075171004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44.898696524942139</v>
      </c>
      <c r="AA157" s="21">
        <f>EXP(-LN(2)/25)*AA156+(1-EXP(-LN(2)/25))/(LN(2)/25)*Calculateur!V157*Calculateur!X157*VLOOKUP('Données projet'!$B$9,Paramètres!$A$1:$I$89,3,0)*0.475*44/12</f>
        <v>6.7709137108361963</v>
      </c>
      <c r="AB157" s="21">
        <f>EXP(-LN(2)/2)*AB156+(1-EXP(-LN(2)/2))/(LN(2)/2)*V157*Y157*VLOOKUP('Données projet'!$B$9,Paramètres!$A$1:$I$89,3,0)*0.475*44/12</f>
        <v>1.9806970331502562E-7</v>
      </c>
      <c r="AC157" s="22">
        <f t="shared" si="163"/>
        <v>51.669610433848042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-5.1431925385259088E-14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215.7418266360167</v>
      </c>
      <c r="AO157" s="59">
        <f t="shared" si="144"/>
        <v>155.78420008229949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113.18070982546412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113.18070982546412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-3.979039320256561E-13</v>
      </c>
      <c r="O158" s="13">
        <f>N158*VLOOKUP('Données projet'!$B$9,Paramètres!$A$1:$I$89,3,0)*VLOOKUP('Données projet'!$B$9,Paramètres!$A$1:$I$89,5,0)</f>
        <v>-1.8621904018800707E-13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107.39524504744702</v>
      </c>
      <c r="T158" s="59">
        <f t="shared" si="142"/>
        <v>102.66420075171004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44.01826047158881</v>
      </c>
      <c r="AA158" s="21">
        <f>EXP(-LN(2)/25)*AA157+(1-EXP(-LN(2)/25))/(LN(2)/25)*Calculateur!V158*Calculateur!X158*VLOOKUP('Données projet'!$B$9,Paramètres!$A$1:$I$89,3,0)*0.475*44/12</f>
        <v>6.585762719346504</v>
      </c>
      <c r="AB158" s="21">
        <f>EXP(-LN(2)/2)*AB157+(1-EXP(-LN(2)/2))/(LN(2)/2)*V158*Y158*VLOOKUP('Données projet'!$B$9,Paramètres!$A$1:$I$89,3,0)*0.475*44/12</f>
        <v>1.400564303616622E-7</v>
      </c>
      <c r="AC158" s="22">
        <f t="shared" si="163"/>
        <v>50.604023330991744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-5.1431925385259088E-14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215.7418266360167</v>
      </c>
      <c r="AO158" s="59">
        <f t="shared" si="144"/>
        <v>155.78420008229949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110.96130513920328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110.96130513920328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-3.979039320256561E-13</v>
      </c>
      <c r="O159" s="13">
        <f>N159*VLOOKUP('Données projet'!$B$9,Paramètres!$A$1:$I$89,3,0)*VLOOKUP('Données projet'!$B$9,Paramètres!$A$1:$I$89,5,0)</f>
        <v>-1.8621904018800707E-13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107.39524504744702</v>
      </c>
      <c r="T159" s="59">
        <f t="shared" si="142"/>
        <v>102.66420075171004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43.155089232228775</v>
      </c>
      <c r="AA159" s="21">
        <f>EXP(-LN(2)/25)*AA158+(1-EXP(-LN(2)/25))/(LN(2)/25)*Calculateur!V159*Calculateur!X159*VLOOKUP('Données projet'!$B$9,Paramètres!$A$1:$I$89,3,0)*0.475*44/12</f>
        <v>6.4056746914557641</v>
      </c>
      <c r="AB159" s="21">
        <f>EXP(-LN(2)/2)*AB158+(1-EXP(-LN(2)/2))/(LN(2)/2)*V159*Y159*VLOOKUP('Données projet'!$B$9,Paramètres!$A$1:$I$89,3,0)*0.475*44/12</f>
        <v>9.9034851657512808E-8</v>
      </c>
      <c r="AC159" s="22">
        <f t="shared" si="163"/>
        <v>49.56076402271939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-5.1431925385259088E-14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215.7418266360167</v>
      </c>
      <c r="AO159" s="59">
        <f t="shared" si="144"/>
        <v>155.78420008229949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108.78542162513682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108.78542162513682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-3.979039320256561E-13</v>
      </c>
      <c r="O160" s="13">
        <f>N160*VLOOKUP('Données projet'!$B$9,Paramètres!$A$1:$I$89,3,0)*VLOOKUP('Données projet'!$B$9,Paramètres!$A$1:$I$89,5,0)</f>
        <v>-1.8621904018800707E-13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107.39524504744702</v>
      </c>
      <c r="T160" s="59">
        <f t="shared" si="142"/>
        <v>102.66420075171004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42.308844254390117</v>
      </c>
      <c r="AA160" s="21">
        <f>EXP(-LN(2)/25)*AA159+(1-EXP(-LN(2)/25))/(LN(2)/25)*Calculateur!V160*Calculateur!X160*VLOOKUP('Données projet'!$B$9,Paramètres!$A$1:$I$89,3,0)*0.475*44/12</f>
        <v>6.2305111801581141</v>
      </c>
      <c r="AB160" s="21">
        <f>EXP(-LN(2)/2)*AB159+(1-EXP(-LN(2)/2))/(LN(2)/2)*V160*Y160*VLOOKUP('Données projet'!$B$9,Paramètres!$A$1:$I$89,3,0)*0.475*44/12</f>
        <v>7.0028215180831101E-8</v>
      </c>
      <c r="AC160" s="22">
        <f t="shared" si="163"/>
        <v>48.539355504576442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-5.1431925385259088E-14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215.7418266360167</v>
      </c>
      <c r="AO160" s="59">
        <f t="shared" si="144"/>
        <v>155.78420008229949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106.65220585962331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106.65220585962331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-3.979039320256561E-13</v>
      </c>
      <c r="O161" s="13">
        <f>N161*VLOOKUP('Données projet'!$B$9,Paramètres!$A$1:$I$89,3,0)*VLOOKUP('Données projet'!$B$9,Paramètres!$A$1:$I$89,5,0)</f>
        <v>-1.8621904018800707E-13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107.39524504744702</v>
      </c>
      <c r="T161" s="59">
        <f t="shared" si="142"/>
        <v>102.66420075171004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41.479193624408403</v>
      </c>
      <c r="AA161" s="21">
        <f>EXP(-LN(2)/25)*AA160+(1-EXP(-LN(2)/25))/(LN(2)/25)*Calculateur!V161*Calculateur!X161*VLOOKUP('Données projet'!$B$9,Paramètres!$A$1:$I$89,3,0)*0.475*44/12</f>
        <v>6.060137524288348</v>
      </c>
      <c r="AB161" s="21">
        <f>EXP(-LN(2)/2)*AB160+(1-EXP(-LN(2)/2))/(LN(2)/2)*V161*Y161*VLOOKUP('Données projet'!$B$9,Paramètres!$A$1:$I$89,3,0)*0.475*44/12</f>
        <v>4.9517425828756404E-8</v>
      </c>
      <c r="AC161" s="22">
        <f t="shared" si="163"/>
        <v>47.539331198214178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-5.1431925385259088E-14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215.7418266360167</v>
      </c>
      <c r="AO161" s="59">
        <f t="shared" si="144"/>
        <v>155.78420008229949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104.56082115413838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104.56082115413838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-3.979039320256561E-13</v>
      </c>
      <c r="O162" s="13">
        <f>N162*VLOOKUP('Données projet'!$B$9,Paramètres!$A$1:$I$89,3,0)*VLOOKUP('Données projet'!$B$9,Paramètres!$A$1:$I$89,5,0)</f>
        <v>-1.8621904018800707E-13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107.39524504744702</v>
      </c>
      <c r="T162" s="59">
        <f t="shared" si="142"/>
        <v>102.66420075171004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40.665811937243717</v>
      </c>
      <c r="AA162" s="21">
        <f>EXP(-LN(2)/25)*AA161+(1-EXP(-LN(2)/25))/(LN(2)/25)*Calculateur!V162*Calculateur!X162*VLOOKUP('Données projet'!$B$9,Paramètres!$A$1:$I$89,3,0)*0.475*44/12</f>
        <v>5.8944227449979012</v>
      </c>
      <c r="AB162" s="21">
        <f>EXP(-LN(2)/2)*AB161+(1-EXP(-LN(2)/2))/(LN(2)/2)*V162*Y162*VLOOKUP('Données projet'!$B$9,Paramètres!$A$1:$I$89,3,0)*0.475*44/12</f>
        <v>3.5014107590415551E-8</v>
      </c>
      <c r="AC162" s="22">
        <f t="shared" si="163"/>
        <v>46.560234717255732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-5.1431925385259088E-14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215.7418266360167</v>
      </c>
      <c r="AO162" s="59">
        <f t="shared" si="144"/>
        <v>155.78420008229949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102.5104472271093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102.5104472271093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-3.979039320256561E-13</v>
      </c>
      <c r="O163" s="13">
        <f>N163*VLOOKUP('Données projet'!$B$9,Paramètres!$A$1:$I$89,3,0)*VLOOKUP('Données projet'!$B$9,Paramètres!$A$1:$I$89,5,0)</f>
        <v>-1.8621904018800707E-13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107.39524504744702</v>
      </c>
      <c r="T163" s="59">
        <f t="shared" si="142"/>
        <v>102.66420075171004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39.868380168850486</v>
      </c>
      <c r="AA163" s="21">
        <f>EXP(-LN(2)/25)*AA162+(1-EXP(-LN(2)/25))/(LN(2)/25)*Calculateur!V163*Calculateur!X163*VLOOKUP('Données projet'!$B$9,Paramètres!$A$1:$I$89,3,0)*0.475*44/12</f>
        <v>5.733239445061713</v>
      </c>
      <c r="AB163" s="21">
        <f>EXP(-LN(2)/2)*AB162+(1-EXP(-LN(2)/2))/(LN(2)/2)*V163*Y163*VLOOKUP('Données projet'!$B$9,Paramètres!$A$1:$I$89,3,0)*0.475*44/12</f>
        <v>2.4758712914378202E-8</v>
      </c>
      <c r="AC163" s="22">
        <f t="shared" si="163"/>
        <v>45.601619638670911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-5.1431925385259088E-14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215.7418266360167</v>
      </c>
      <c r="AO163" s="59">
        <f t="shared" si="144"/>
        <v>155.78420008229949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100.50027988218464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100.50027988218464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-3.979039320256561E-13</v>
      </c>
      <c r="O164" s="13">
        <f>N164*VLOOKUP('Données projet'!$B$9,Paramètres!$A$1:$I$89,3,0)*VLOOKUP('Données projet'!$B$9,Paramètres!$A$1:$I$89,5,0)</f>
        <v>-1.8621904018800707E-13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107.39524504744702</v>
      </c>
      <c r="T164" s="59">
        <f t="shared" si="142"/>
        <v>102.66420075171004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39.086585551050099</v>
      </c>
      <c r="AA164" s="21">
        <f>EXP(-LN(2)/25)*AA163+(1-EXP(-LN(2)/25))/(LN(2)/25)*Calculateur!V164*Calculateur!X164*VLOOKUP('Données projet'!$B$9,Paramètres!$A$1:$I$89,3,0)*0.475*44/12</f>
        <v>5.5764637109385413</v>
      </c>
      <c r="AB164" s="21">
        <f>EXP(-LN(2)/2)*AB163+(1-EXP(-LN(2)/2))/(LN(2)/2)*V164*Y164*VLOOKUP('Données projet'!$B$9,Paramètres!$A$1:$I$89,3,0)*0.475*44/12</f>
        <v>1.7507053795207775E-8</v>
      </c>
      <c r="AC164" s="22">
        <f t="shared" si="163"/>
        <v>44.663049279495695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-5.1431925385259088E-14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215.7418266360167</v>
      </c>
      <c r="AO164" s="59">
        <f t="shared" si="144"/>
        <v>155.78420008229949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98.529530692812941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98.529530692812941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-3.979039320256561E-13</v>
      </c>
      <c r="O165" s="13">
        <f>N165*VLOOKUP('Données projet'!$B$9,Paramètres!$A$1:$I$89,3,0)*VLOOKUP('Données projet'!$B$9,Paramètres!$A$1:$I$89,5,0)</f>
        <v>-1.8621904018800707E-13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107.39524504744702</v>
      </c>
      <c r="T165" s="59">
        <f t="shared" si="142"/>
        <v>102.66420075171004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38.320121448857144</v>
      </c>
      <c r="AA165" s="21">
        <f>EXP(-LN(2)/25)*AA164+(1-EXP(-LN(2)/25))/(LN(2)/25)*Calculateur!V165*Calculateur!X165*VLOOKUP('Données projet'!$B$9,Paramètres!$A$1:$I$89,3,0)*0.475*44/12</f>
        <v>5.4239750175094459</v>
      </c>
      <c r="AB165" s="21">
        <f>EXP(-LN(2)/2)*AB164+(1-EXP(-LN(2)/2))/(LN(2)/2)*V165*Y165*VLOOKUP('Données projet'!$B$9,Paramètres!$A$1:$I$89,3,0)*0.475*44/12</f>
        <v>1.2379356457189101E-8</v>
      </c>
      <c r="AC165" s="22">
        <f t="shared" si="163"/>
        <v>43.744096478745952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-5.1431925385259088E-14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215.7418266360167</v>
      </c>
      <c r="AO165" s="59">
        <f t="shared" si="144"/>
        <v>155.78420008229949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96.597426693006511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96.597426693006511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-3.979039320256561E-13</v>
      </c>
      <c r="O166" s="13">
        <f>N166*VLOOKUP('Données projet'!$B$9,Paramètres!$A$1:$I$89,3,0)*VLOOKUP('Données projet'!$B$9,Paramètres!$A$1:$I$89,5,0)</f>
        <v>-1.8621904018800707E-13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107.39524504744702</v>
      </c>
      <c r="T166" s="59">
        <f t="shared" si="142"/>
        <v>102.66420075171004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37.568687240211247</v>
      </c>
      <c r="AA166" s="21">
        <f>EXP(-LN(2)/25)*AA165+(1-EXP(-LN(2)/25))/(LN(2)/25)*Calculateur!V166*Calculateur!X166*VLOOKUP('Données projet'!$B$9,Paramètres!$A$1:$I$89,3,0)*0.475*44/12</f>
        <v>5.2756561354212002</v>
      </c>
      <c r="AB166" s="21">
        <f>EXP(-LN(2)/2)*AB165+(1-EXP(-LN(2)/2))/(LN(2)/2)*V166*Y166*VLOOKUP('Données projet'!$B$9,Paramètres!$A$1:$I$89,3,0)*0.475*44/12</f>
        <v>8.7535268976038876E-9</v>
      </c>
      <c r="AC166" s="22">
        <f t="shared" si="163"/>
        <v>42.844343384385972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-5.1431925385259088E-14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215.7418266360167</v>
      </c>
      <c r="AO166" s="59">
        <f t="shared" si="144"/>
        <v>155.78420008229949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94.703210074169206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94.703210074169206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-3.979039320256561E-13</v>
      </c>
      <c r="O167" s="13">
        <f>N167*VLOOKUP('Données projet'!$B$9,Paramètres!$A$1:$I$89,3,0)*VLOOKUP('Données projet'!$B$9,Paramètres!$A$1:$I$89,5,0)</f>
        <v>-1.8621904018800707E-13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107.39524504744702</v>
      </c>
      <c r="T167" s="59">
        <f t="shared" si="142"/>
        <v>102.66420075171004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36.831988198067286</v>
      </c>
      <c r="AA167" s="21">
        <f>EXP(-LN(2)/25)*AA166+(1-EXP(-LN(2)/25))/(LN(2)/25)*Calculateur!V167*Calculateur!X167*VLOOKUP('Données projet'!$B$9,Paramètres!$A$1:$I$89,3,0)*0.475*44/12</f>
        <v>5.1313930409634088</v>
      </c>
      <c r="AB167" s="21">
        <f>EXP(-LN(2)/2)*AB166+(1-EXP(-LN(2)/2))/(LN(2)/2)*V167*Y167*VLOOKUP('Données projet'!$B$9,Paramètres!$A$1:$I$89,3,0)*0.475*44/12</f>
        <v>6.1896782285945505E-9</v>
      </c>
      <c r="AC167" s="22">
        <f t="shared" si="163"/>
        <v>41.963381245220376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-5.1431925385259088E-14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215.7418266360167</v>
      </c>
      <c r="AO167" s="59">
        <f t="shared" si="144"/>
        <v>155.78420008229949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92.846137887869247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92.846137887869247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-3.979039320256561E-13</v>
      </c>
      <c r="O168" s="13">
        <f>N168*VLOOKUP('Données projet'!$B$9,Paramètres!$A$1:$I$89,3,0)*VLOOKUP('Données projet'!$B$9,Paramètres!$A$1:$I$89,5,0)</f>
        <v>-1.8621904018800707E-13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107.39524504744702</v>
      </c>
      <c r="T168" s="59">
        <f t="shared" si="142"/>
        <v>102.66420075171004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36.109735374797722</v>
      </c>
      <c r="AA168" s="21">
        <f>EXP(-LN(2)/25)*AA167+(1-EXP(-LN(2)/25))/(LN(2)/25)*Calculateur!V168*Calculateur!X168*VLOOKUP('Données projet'!$B$9,Paramètres!$A$1:$I$89,3,0)*0.475*44/12</f>
        <v>4.9910748284100324</v>
      </c>
      <c r="AB168" s="21">
        <f>EXP(-LN(2)/2)*AB167+(1-EXP(-LN(2)/2))/(LN(2)/2)*V168*Y168*VLOOKUP('Données projet'!$B$9,Paramètres!$A$1:$I$89,3,0)*0.475*44/12</f>
        <v>4.3767634488019438E-9</v>
      </c>
      <c r="AC168" s="22">
        <f t="shared" si="163"/>
        <v>41.100810207584523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-5.1431925385259088E-14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215.7418266360167</v>
      </c>
      <c r="AO168" s="59">
        <f t="shared" si="144"/>
        <v>155.78420008229949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91.025481754440435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91.025481754440435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-3.979039320256561E-13</v>
      </c>
      <c r="O169" s="13">
        <f>N169*VLOOKUP('Données projet'!$B$9,Paramètres!$A$1:$I$89,3,0)*VLOOKUP('Données projet'!$B$9,Paramètres!$A$1:$I$89,5,0)</f>
        <v>-1.8621904018800707E-13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107.39524504744702</v>
      </c>
      <c r="T169" s="59">
        <f t="shared" si="142"/>
        <v>102.66420075171004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35.401645488861753</v>
      </c>
      <c r="AA169" s="21">
        <f>EXP(-LN(2)/25)*AA168+(1-EXP(-LN(2)/25))/(LN(2)/25)*Calculateur!V169*Calculateur!X169*VLOOKUP('Données projet'!$B$9,Paramètres!$A$1:$I$89,3,0)*0.475*44/12</f>
        <v>4.8545936247579418</v>
      </c>
      <c r="AB169" s="21">
        <f>EXP(-LN(2)/2)*AB168+(1-EXP(-LN(2)/2))/(LN(2)/2)*V169*Y169*VLOOKUP('Données projet'!$B$9,Paramètres!$A$1:$I$89,3,0)*0.475*44/12</f>
        <v>3.0948391142972752E-9</v>
      </c>
      <c r="AC169" s="22">
        <f t="shared" si="163"/>
        <v>40.256239116714532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-5.1431925385259088E-14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215.7418266360167</v>
      </c>
      <c r="AO169" s="59">
        <f t="shared" si="144"/>
        <v>155.78420008229949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89.240527577297584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89.240527577297584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-3.979039320256561E-13</v>
      </c>
      <c r="O170" s="13">
        <f>N170*VLOOKUP('Données projet'!$B$9,Paramètres!$A$1:$I$89,3,0)*VLOOKUP('Données projet'!$B$9,Paramètres!$A$1:$I$89,5,0)</f>
        <v>-1.8621904018800707E-13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107.39524504744702</v>
      </c>
      <c r="T170" s="59">
        <f t="shared" si="142"/>
        <v>102.66420075171004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34.707440813696806</v>
      </c>
      <c r="AA170" s="21">
        <f>EXP(-LN(2)/25)*AA169+(1-EXP(-LN(2)/25))/(LN(2)/25)*Calculateur!V170*Calculateur!X170*VLOOKUP('Données projet'!$B$9,Paramètres!$A$1:$I$89,3,0)*0.475*44/12</f>
        <v>4.7218445067969528</v>
      </c>
      <c r="AB170" s="21">
        <f>EXP(-LN(2)/2)*AB169+(1-EXP(-LN(2)/2))/(LN(2)/2)*V170*Y170*VLOOKUP('Données projet'!$B$9,Paramètres!$A$1:$I$89,3,0)*0.475*44/12</f>
        <v>2.1883817244009719E-9</v>
      </c>
      <c r="AC170" s="22">
        <f t="shared" si="163"/>
        <v>39.429285322682141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-5.1431925385259088E-14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215.7418266360167</v>
      </c>
      <c r="AO170" s="59">
        <f t="shared" si="144"/>
        <v>155.78420008229949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87.490575262853952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87.490575262853952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-3.979039320256561E-13</v>
      </c>
      <c r="O171" s="13">
        <f>N171*VLOOKUP('Données projet'!$B$9,Paramètres!$A$1:$I$89,3,0)*VLOOKUP('Données projet'!$B$9,Paramètres!$A$1:$I$89,5,0)</f>
        <v>-1.8621904018800707E-13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107.39524504744702</v>
      </c>
      <c r="T171" s="59">
        <f t="shared" si="142"/>
        <v>102.66420075171004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34.026849068788799</v>
      </c>
      <c r="AA171" s="21">
        <f>EXP(-LN(2)/25)*AA170+(1-EXP(-LN(2)/25))/(LN(2)/25)*Calculateur!V171*Calculateur!X171*VLOOKUP('Données projet'!$B$9,Paramètres!$A$1:$I$89,3,0)*0.475*44/12</f>
        <v>4.5927254204475796</v>
      </c>
      <c r="AB171" s="21">
        <f>EXP(-LN(2)/2)*AB170+(1-EXP(-LN(2)/2))/(LN(2)/2)*V171*Y171*VLOOKUP('Données projet'!$B$9,Paramètres!$A$1:$I$89,3,0)*0.475*44/12</f>
        <v>1.5474195571486376E-9</v>
      </c>
      <c r="AC171" s="22">
        <f t="shared" si="163"/>
        <v>38.619574490783798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-5.1431925385259088E-14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215.7418266360167</v>
      </c>
      <c r="AO171" s="59">
        <f t="shared" si="144"/>
        <v>155.78420008229949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85.774938445931042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85.774938445931042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-3.979039320256561E-13</v>
      </c>
      <c r="O172" s="13">
        <f>N172*VLOOKUP('Données projet'!$B$9,Paramètres!$A$1:$I$89,3,0)*VLOOKUP('Données projet'!$B$9,Paramètres!$A$1:$I$89,5,0)</f>
        <v>-1.8621904018800707E-13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107.39524504744702</v>
      </c>
      <c r="T172" s="59">
        <f t="shared" si="142"/>
        <v>102.66420075171004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33.359603312878463</v>
      </c>
      <c r="AA172" s="21">
        <f>EXP(-LN(2)/25)*AA171+(1-EXP(-LN(2)/25))/(LN(2)/25)*Calculateur!V172*Calculateur!X172*VLOOKUP('Données projet'!$B$9,Paramètres!$A$1:$I$89,3,0)*0.475*44/12</f>
        <v>4.4671371023045072</v>
      </c>
      <c r="AB172" s="21">
        <f>EXP(-LN(2)/2)*AB171+(1-EXP(-LN(2)/2))/(LN(2)/2)*V172*Y172*VLOOKUP('Données projet'!$B$9,Paramètres!$A$1:$I$89,3,0)*0.475*44/12</f>
        <v>1.094190862200486E-9</v>
      </c>
      <c r="AC172" s="22">
        <f t="shared" si="163"/>
        <v>37.826740416277161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-5.1431925385259088E-14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215.7418266360167</v>
      </c>
      <c r="AO172" s="59">
        <f t="shared" si="144"/>
        <v>155.78420008229949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84.092944220552852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84.092944220552852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-3.979039320256561E-13</v>
      </c>
      <c r="O173" s="13">
        <f>N173*VLOOKUP('Données projet'!$B$9,Paramètres!$A$1:$I$89,3,0)*VLOOKUP('Données projet'!$B$9,Paramètres!$A$1:$I$89,5,0)</f>
        <v>-1.8621904018800707E-13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107.39524504744702</v>
      </c>
      <c r="T173" s="59">
        <f t="shared" si="142"/>
        <v>102.66420075171004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32.705441839261802</v>
      </c>
      <c r="AA173" s="21">
        <f>EXP(-LN(2)/25)*AA172+(1-EXP(-LN(2)/25))/(LN(2)/25)*Calculateur!V173*Calculateur!X173*VLOOKUP('Données projet'!$B$9,Paramètres!$A$1:$I$89,3,0)*0.475*44/12</f>
        <v>4.3449830033254599</v>
      </c>
      <c r="AB173" s="21">
        <f>EXP(-LN(2)/2)*AB172+(1-EXP(-LN(2)/2))/(LN(2)/2)*V173*Y173*VLOOKUP('Données projet'!$B$9,Paramètres!$A$1:$I$89,3,0)*0.475*44/12</f>
        <v>7.7370977857431881E-10</v>
      </c>
      <c r="AC173" s="22">
        <f t="shared" si="163"/>
        <v>37.050424843360972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-5.1431925385259088E-14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215.7418266360167</v>
      </c>
      <c r="AO173" s="59">
        <f t="shared" si="144"/>
        <v>155.78420008229949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82.443932876019161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82.443932876019161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-3.979039320256561E-13</v>
      </c>
      <c r="O174" s="13">
        <f>N174*VLOOKUP('Données projet'!$B$9,Paramètres!$A$1:$I$89,3,0)*VLOOKUP('Données projet'!$B$9,Paramètres!$A$1:$I$89,5,0)</f>
        <v>-1.8621904018800707E-13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107.39524504744702</v>
      </c>
      <c r="T174" s="59">
        <f t="shared" si="142"/>
        <v>102.66420075171004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32.064108073143665</v>
      </c>
      <c r="AA174" s="21">
        <f>EXP(-LN(2)/25)*AA173+(1-EXP(-LN(2)/25))/(LN(2)/25)*Calculateur!V174*Calculateur!X174*VLOOKUP('Données projet'!$B$9,Paramètres!$A$1:$I$89,3,0)*0.475*44/12</f>
        <v>4.2261692146067995</v>
      </c>
      <c r="AB174" s="21">
        <f>EXP(-LN(2)/2)*AB173+(1-EXP(-LN(2)/2))/(LN(2)/2)*V174*Y174*VLOOKUP('Données projet'!$B$9,Paramètres!$A$1:$I$89,3,0)*0.475*44/12</f>
        <v>5.4709543110024298E-10</v>
      </c>
      <c r="AC174" s="22">
        <f t="shared" si="163"/>
        <v>36.29027728829756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-5.1431925385259088E-14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215.7418266360167</v>
      </c>
      <c r="AO174" s="59">
        <f t="shared" si="144"/>
        <v>155.78420008229949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80.827257638154165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80.827257638154165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-3.979039320256561E-13</v>
      </c>
      <c r="O175" s="13">
        <f>N175*VLOOKUP('Données projet'!$B$9,Paramètres!$A$1:$I$89,3,0)*VLOOKUP('Données projet'!$B$9,Paramètres!$A$1:$I$89,5,0)</f>
        <v>-1.8621904018800707E-13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107.39524504744702</v>
      </c>
      <c r="T175" s="59">
        <f t="shared" si="142"/>
        <v>102.66420075171004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31.435350471004131</v>
      </c>
      <c r="AA175" s="21">
        <f>EXP(-LN(2)/25)*AA174+(1-EXP(-LN(2)/25))/(LN(2)/25)*Calculateur!V175*Calculateur!X175*VLOOKUP('Données projet'!$B$9,Paramètres!$A$1:$I$89,3,0)*0.475*44/12</f>
        <v>4.1106043951887967</v>
      </c>
      <c r="AB175" s="21">
        <f>EXP(-LN(2)/2)*AB174+(1-EXP(-LN(2)/2))/(LN(2)/2)*V175*Y175*VLOOKUP('Données projet'!$B$9,Paramètres!$A$1:$I$89,3,0)*0.475*44/12</f>
        <v>3.8685488928715941E-10</v>
      </c>
      <c r="AC175" s="22">
        <f t="shared" si="163"/>
        <v>35.545954866579784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-5.1431925385259088E-14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215.7418266360167</v>
      </c>
      <c r="AO175" s="59">
        <f t="shared" si="144"/>
        <v>155.78420008229949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79.242284415629172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79.242284415629172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-3.979039320256561E-13</v>
      </c>
      <c r="O176" s="13">
        <f>N176*VLOOKUP('Données projet'!$B$9,Paramètres!$A$1:$I$89,3,0)*VLOOKUP('Données projet'!$B$9,Paramètres!$A$1:$I$89,5,0)</f>
        <v>-1.8621904018800707E-13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107.39524504744702</v>
      </c>
      <c r="T176" s="59">
        <f t="shared" si="142"/>
        <v>102.66420075171004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30.818922421938286</v>
      </c>
      <c r="AA176" s="21">
        <f>EXP(-LN(2)/25)*AA175+(1-EXP(-LN(2)/25))/(LN(2)/25)*Calculateur!V176*Calculateur!X176*VLOOKUP('Données projet'!$B$9,Paramètres!$A$1:$I$89,3,0)*0.475*44/12</f>
        <v>3.9981997018350688</v>
      </c>
      <c r="AB176" s="21">
        <f>EXP(-LN(2)/2)*AB175+(1-EXP(-LN(2)/2))/(LN(2)/2)*V176*Y176*VLOOKUP('Données projet'!$B$9,Paramètres!$A$1:$I$89,3,0)*0.475*44/12</f>
        <v>2.7354771555012149E-10</v>
      </c>
      <c r="AC176" s="22">
        <f t="shared" si="163"/>
        <v>34.817122124046897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-5.1431925385259088E-14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215.7418266360167</v>
      </c>
      <c r="AO176" s="59">
        <f t="shared" si="144"/>
        <v>155.78420008229949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77.688391551259684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77.688391551259684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-3.979039320256561E-13</v>
      </c>
      <c r="O177" s="13">
        <f>N177*VLOOKUP('Données projet'!$B$9,Paramètres!$A$1:$I$89,3,0)*VLOOKUP('Données projet'!$B$9,Paramètres!$A$1:$I$89,5,0)</f>
        <v>-1.8621904018800707E-13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107.39524504744702</v>
      </c>
      <c r="T177" s="59">
        <f t="shared" si="142"/>
        <v>102.66420075171004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30.214582150930635</v>
      </c>
      <c r="AA177" s="21">
        <f>EXP(-LN(2)/25)*AA176+(1-EXP(-LN(2)/25))/(LN(2)/25)*Calculateur!V177*Calculateur!X177*VLOOKUP('Données projet'!$B$9,Paramètres!$A$1:$I$89,3,0)*0.475*44/12</f>
        <v>3.8888687207322046</v>
      </c>
      <c r="AB177" s="21">
        <f>EXP(-LN(2)/2)*AB176+(1-EXP(-LN(2)/2))/(LN(2)/2)*V177*Y177*VLOOKUP('Données projet'!$B$9,Paramètres!$A$1:$I$89,3,0)*0.475*44/12</f>
        <v>1.934274446435797E-10</v>
      </c>
      <c r="AC177" s="22">
        <f t="shared" si="163"/>
        <v>34.103450871856261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-5.1431925385259088E-14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215.7418266360167</v>
      </c>
      <c r="AO177" s="59">
        <f t="shared" si="144"/>
        <v>155.78420008229949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76.164969578179424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76.164969578179424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-3.979039320256561E-13</v>
      </c>
      <c r="O178" s="13">
        <f>N178*VLOOKUP('Données projet'!$B$9,Paramètres!$A$1:$I$89,3,0)*VLOOKUP('Données projet'!$B$9,Paramètres!$A$1:$I$89,5,0)</f>
        <v>-1.8621904018800707E-13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107.39524504744702</v>
      </c>
      <c r="T178" s="59">
        <f t="shared" si="142"/>
        <v>102.66420075171004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29.622092624026276</v>
      </c>
      <c r="AA178" s="21">
        <f>EXP(-LN(2)/25)*AA177+(1-EXP(-LN(2)/25))/(LN(2)/25)*Calculateur!V178*Calculateur!X178*VLOOKUP('Données projet'!$B$9,Paramètres!$A$1:$I$89,3,0)*0.475*44/12</f>
        <v>3.7825274010570644</v>
      </c>
      <c r="AB178" s="21">
        <f>EXP(-LN(2)/2)*AB177+(1-EXP(-LN(2)/2))/(LN(2)/2)*V178*Y178*VLOOKUP('Données projet'!$B$9,Paramètres!$A$1:$I$89,3,0)*0.475*44/12</f>
        <v>1.3677385777506074E-10</v>
      </c>
      <c r="AC178" s="22">
        <f t="shared" si="163"/>
        <v>33.404620025220112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-5.1431925385259088E-14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215.7418266360167</v>
      </c>
      <c r="AO178" s="59">
        <f t="shared" si="144"/>
        <v>155.78420008229949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74.671420980795617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74.671420980795617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-3.979039320256561E-13</v>
      </c>
      <c r="O179" s="13">
        <f>N179*VLOOKUP('Données projet'!$B$9,Paramètres!$A$1:$I$89,3,0)*VLOOKUP('Données projet'!$B$9,Paramètres!$A$1:$I$89,5,0)</f>
        <v>-1.8621904018800707E-13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107.39524504744702</v>
      </c>
      <c r="T179" s="59">
        <f t="shared" si="142"/>
        <v>102.66420075171004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29.041221455361587</v>
      </c>
      <c r="AA179" s="21">
        <f>EXP(-LN(2)/25)*AA178+(1-EXP(-LN(2)/25))/(LN(2)/25)*Calculateur!V179*Calculateur!X179*VLOOKUP('Données projet'!$B$9,Paramètres!$A$1:$I$89,3,0)*0.475*44/12</f>
        <v>3.6790939903606881</v>
      </c>
      <c r="AB179" s="21">
        <f>EXP(-LN(2)/2)*AB178+(1-EXP(-LN(2)/2))/(LN(2)/2)*V179*Y179*VLOOKUP('Données projet'!$B$9,Paramètres!$A$1:$I$89,3,0)*0.475*44/12</f>
        <v>9.6713722321789852E-11</v>
      </c>
      <c r="AC179" s="22">
        <f t="shared" si="163"/>
        <v>32.72031544581899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-5.1431925385259088E-14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215.7418266360167</v>
      </c>
      <c r="AO179" s="59">
        <f t="shared" si="144"/>
        <v>155.78420008229949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73.20715996043181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73.20715996043181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-3.979039320256561E-13</v>
      </c>
      <c r="O180" s="13">
        <f>N180*VLOOKUP('Données projet'!$B$9,Paramètres!$A$1:$I$89,3,0)*VLOOKUP('Données projet'!$B$9,Paramètres!$A$1:$I$89,5,0)</f>
        <v>-1.8621904018800707E-13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107.39524504744702</v>
      </c>
      <c r="T180" s="59">
        <f t="shared" si="142"/>
        <v>102.66420075171004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28.471740816017981</v>
      </c>
      <c r="AA180" s="21">
        <f>EXP(-LN(2)/25)*AA179+(1-EXP(-LN(2)/25))/(LN(2)/25)*Calculateur!V180*Calculateur!X180*VLOOKUP('Données projet'!$B$9,Paramètres!$A$1:$I$89,3,0)*0.475*44/12</f>
        <v>3.5784889717191306</v>
      </c>
      <c r="AB180" s="21">
        <f>EXP(-LN(2)/2)*AB179+(1-EXP(-LN(2)/2))/(LN(2)/2)*V180*Y180*VLOOKUP('Données projet'!$B$9,Paramètres!$A$1:$I$89,3,0)*0.475*44/12</f>
        <v>6.8386928887530372E-11</v>
      </c>
      <c r="AC180" s="22">
        <f t="shared" si="163"/>
        <v>32.050229787805499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-5.1431925385259088E-14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215.7418266360167</v>
      </c>
      <c r="AO180" s="59">
        <f t="shared" si="144"/>
        <v>155.78420008229949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71.771612205566299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71.771612205566299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-3.979039320256561E-13</v>
      </c>
      <c r="O181" s="13">
        <f>N181*VLOOKUP('Données projet'!$B$9,Paramètres!$A$1:$I$89,3,0)*VLOOKUP('Données projet'!$B$9,Paramètres!$A$1:$I$89,5,0)</f>
        <v>-1.8621904018800707E-13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107.39524504744702</v>
      </c>
      <c r="T181" s="59">
        <f t="shared" si="142"/>
        <v>102.66420075171004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27.91342734466301</v>
      </c>
      <c r="AA181" s="21">
        <f>EXP(-LN(2)/25)*AA180+(1-EXP(-LN(2)/25))/(LN(2)/25)*Calculateur!V181*Calculateur!X181*VLOOKUP('Données projet'!$B$9,Paramètres!$A$1:$I$89,3,0)*0.475*44/12</f>
        <v>3.4806350026029147</v>
      </c>
      <c r="AB181" s="21">
        <f>EXP(-LN(2)/2)*AB180+(1-EXP(-LN(2)/2))/(LN(2)/2)*V181*Y181*VLOOKUP('Données projet'!$B$9,Paramètres!$A$1:$I$89,3,0)*0.475*44/12</f>
        <v>4.8356861160894926E-11</v>
      </c>
      <c r="AC181" s="22">
        <f t="shared" si="163"/>
        <v>31.394062347314279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-5.1431925385259088E-14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215.7418266360167</v>
      </c>
      <c r="AO181" s="59">
        <f t="shared" si="144"/>
        <v>155.78420008229949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70.364214666576032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70.364214666576032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-3.979039320256561E-13</v>
      </c>
      <c r="O182" s="13">
        <f>N182*VLOOKUP('Données projet'!$B$9,Paramètres!$A$1:$I$89,3,0)*VLOOKUP('Données projet'!$B$9,Paramètres!$A$1:$I$89,5,0)</f>
        <v>-1.8621904018800707E-13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107.39524504744702</v>
      </c>
      <c r="T182" s="59">
        <f t="shared" si="142"/>
        <v>102.66420075171004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27.366062059943719</v>
      </c>
      <c r="AA182" s="21">
        <f>EXP(-LN(2)/25)*AA181+(1-EXP(-LN(2)/25))/(LN(2)/25)*Calculateur!V182*Calculateur!X182*VLOOKUP('Données projet'!$B$9,Paramètres!$A$1:$I$89,3,0)*0.475*44/12</f>
        <v>3.3854568554180982</v>
      </c>
      <c r="AB182" s="21">
        <f>EXP(-LN(2)/2)*AB181+(1-EXP(-LN(2)/2))/(LN(2)/2)*V182*Y182*VLOOKUP('Données projet'!$B$9,Paramètres!$A$1:$I$89,3,0)*0.475*44/12</f>
        <v>3.4193464443765186E-11</v>
      </c>
      <c r="AC182" s="22">
        <f t="shared" si="163"/>
        <v>30.751518915396012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-5.1431925385259088E-14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215.7418266360167</v>
      </c>
      <c r="AO182" s="59">
        <f t="shared" si="144"/>
        <v>155.78420008229949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68.984415334897633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68.984415334897633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-3.979039320256561E-13</v>
      </c>
      <c r="O183" s="13">
        <f>N183*VLOOKUP('Données projet'!$B$9,Paramètres!$A$1:$I$89,3,0)*VLOOKUP('Données projet'!$B$9,Paramètres!$A$1:$I$89,5,0)</f>
        <v>-1.8621904018800707E-13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107.39524504744702</v>
      </c>
      <c r="T183" s="59">
        <f t="shared" si="142"/>
        <v>102.66420075171004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26.829430274597915</v>
      </c>
      <c r="AA183" s="21">
        <f>EXP(-LN(2)/25)*AA182+(1-EXP(-LN(2)/25))/(LN(2)/25)*Calculateur!V183*Calculateur!X183*VLOOKUP('Données projet'!$B$9,Paramètres!$A$1:$I$89,3,0)*0.475*44/12</f>
        <v>3.292881359673252</v>
      </c>
      <c r="AB183" s="21">
        <f>EXP(-LN(2)/2)*AB182+(1-EXP(-LN(2)/2))/(LN(2)/2)*V183*Y183*VLOOKUP('Données projet'!$B$9,Paramètres!$A$1:$I$89,3,0)*0.475*44/12</f>
        <v>2.4178430580447463E-11</v>
      </c>
      <c r="AC183" s="22">
        <f t="shared" si="163"/>
        <v>30.122311634295347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-5.1431925385259088E-14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215.7418266360167</v>
      </c>
      <c r="AO183" s="59">
        <f t="shared" si="144"/>
        <v>155.78420008229949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67.631673026518953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67.631673026518953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-3.979039320256561E-13</v>
      </c>
      <c r="O184" s="13">
        <f>N184*VLOOKUP('Données projet'!$B$9,Paramètres!$A$1:$I$89,3,0)*VLOOKUP('Données projet'!$B$9,Paramètres!$A$1:$I$89,5,0)</f>
        <v>-1.8621904018800707E-13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107.39524504744702</v>
      </c>
      <c r="T184" s="59">
        <f t="shared" si="142"/>
        <v>102.66420075171004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26.303321511249674</v>
      </c>
      <c r="AA184" s="21">
        <f>EXP(-LN(2)/25)*AA183+(1-EXP(-LN(2)/25))/(LN(2)/25)*Calculateur!V184*Calculateur!X184*VLOOKUP('Données projet'!$B$9,Paramètres!$A$1:$I$89,3,0)*0.475*44/12</f>
        <v>3.202837345727882</v>
      </c>
      <c r="AB184" s="21">
        <f>EXP(-LN(2)/2)*AB183+(1-EXP(-LN(2)/2))/(LN(2)/2)*V184*Y184*VLOOKUP('Données projet'!$B$9,Paramètres!$A$1:$I$89,3,0)*0.475*44/12</f>
        <v>1.7096732221882593E-11</v>
      </c>
      <c r="AC184" s="22">
        <f t="shared" si="163"/>
        <v>29.506158856994652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-5.1431925385259088E-14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215.7418266360167</v>
      </c>
      <c r="AO184" s="59">
        <f t="shared" si="144"/>
        <v>155.78420008229949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66.305457169716234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66.305457169716234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-3.979039320256561E-13</v>
      </c>
      <c r="O185" s="13">
        <f>N185*VLOOKUP('Données projet'!$B$9,Paramètres!$A$1:$I$89,3,0)*VLOOKUP('Données projet'!$B$9,Paramètres!$A$1:$I$89,5,0)</f>
        <v>-1.8621904018800707E-13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107.39524504744702</v>
      </c>
      <c r="T185" s="59">
        <f t="shared" si="142"/>
        <v>102.66420075171004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25.787529419856032</v>
      </c>
      <c r="AA185" s="21">
        <f>EXP(-LN(2)/25)*AA184+(1-EXP(-LN(2)/25))/(LN(2)/25)*Calculateur!V185*Calculateur!X185*VLOOKUP('Données projet'!$B$9,Paramètres!$A$1:$I$89,3,0)*0.475*44/12</f>
        <v>3.1152555900790571</v>
      </c>
      <c r="AB185" s="21">
        <f>EXP(-LN(2)/2)*AB184+(1-EXP(-LN(2)/2))/(LN(2)/2)*V185*Y185*VLOOKUP('Données projet'!$B$9,Paramètres!$A$1:$I$89,3,0)*0.475*44/12</f>
        <v>1.2089215290223731E-11</v>
      </c>
      <c r="AC185" s="22">
        <f t="shared" si="163"/>
        <v>28.902785009947177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-5.1431925385259088E-14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215.7418266360167</v>
      </c>
      <c r="AO185" s="59">
        <f t="shared" si="144"/>
        <v>155.78420008229949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65.005247596953623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65.005247596953623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-3.979039320256561E-13</v>
      </c>
      <c r="O186" s="13">
        <f>N186*VLOOKUP('Données projet'!$B$9,Paramètres!$A$1:$I$89,3,0)*VLOOKUP('Données projet'!$B$9,Paramètres!$A$1:$I$89,5,0)</f>
        <v>-1.8621904018800707E-13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107.39524504744702</v>
      </c>
      <c r="T186" s="59">
        <f t="shared" si="142"/>
        <v>102.66420075171004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25.281851696772506</v>
      </c>
      <c r="AA186" s="21">
        <f>EXP(-LN(2)/25)*AA185+(1-EXP(-LN(2)/25))/(LN(2)/25)*Calculateur!V186*Calculateur!X186*VLOOKUP('Données projet'!$B$9,Paramètres!$A$1:$I$89,3,0)*0.475*44/12</f>
        <v>3.030068762144174</v>
      </c>
      <c r="AB186" s="21">
        <f>EXP(-LN(2)/2)*AB185+(1-EXP(-LN(2)/2))/(LN(2)/2)*V186*Y186*VLOOKUP('Données projet'!$B$9,Paramètres!$A$1:$I$89,3,0)*0.475*44/12</f>
        <v>8.5483661109412965E-12</v>
      </c>
      <c r="AC186" s="22">
        <f t="shared" si="163"/>
        <v>28.311920458925229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-5.1431925385259088E-14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215.7418266360167</v>
      </c>
      <c r="AO186" s="59">
        <f t="shared" si="144"/>
        <v>155.78420008229949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63.730534340863358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63.730534340863358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-3.979039320256561E-13</v>
      </c>
      <c r="O187" s="13">
        <f>N187*VLOOKUP('Données projet'!$B$9,Paramètres!$A$1:$I$89,3,0)*VLOOKUP('Données projet'!$B$9,Paramètres!$A$1:$I$89,5,0)</f>
        <v>-1.8621904018800707E-13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107.39524504744702</v>
      </c>
      <c r="T187" s="59">
        <f t="shared" si="142"/>
        <v>102.66420075171004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24.786090005405693</v>
      </c>
      <c r="AA187" s="21">
        <f>EXP(-LN(2)/25)*AA186+(1-EXP(-LN(2)/25))/(LN(2)/25)*Calculateur!V187*Calculateur!X187*VLOOKUP('Données projet'!$B$9,Paramètres!$A$1:$I$89,3,0)*0.475*44/12</f>
        <v>2.9472113724989506</v>
      </c>
      <c r="AB187" s="21">
        <f>EXP(-LN(2)/2)*AB186+(1-EXP(-LN(2)/2))/(LN(2)/2)*V187*Y187*VLOOKUP('Données projet'!$B$9,Paramètres!$A$1:$I$89,3,0)*0.475*44/12</f>
        <v>6.0446076451118657E-12</v>
      </c>
      <c r="AC187" s="22">
        <f t="shared" si="163"/>
        <v>27.733301377910689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-5.1431925385259088E-14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215.7418266360167</v>
      </c>
      <c r="AO187" s="59">
        <f t="shared" si="144"/>
        <v>155.78420008229949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62.480817434226708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62.480817434226708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-3.979039320256561E-13</v>
      </c>
      <c r="O188" s="13">
        <f>N188*VLOOKUP('Données projet'!$B$9,Paramètres!$A$1:$I$89,3,0)*VLOOKUP('Données projet'!$B$9,Paramètres!$A$1:$I$89,5,0)</f>
        <v>-1.8621904018800707E-13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107.39524504744702</v>
      </c>
      <c r="T188" s="59">
        <f t="shared" si="142"/>
        <v>102.66420075171004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24.300049898421811</v>
      </c>
      <c r="AA188" s="21">
        <f>EXP(-LN(2)/25)*AA187+(1-EXP(-LN(2)/25))/(LN(2)/25)*Calculateur!V188*Calculateur!X188*VLOOKUP('Données projet'!$B$9,Paramètres!$A$1:$I$89,3,0)*0.475*44/12</f>
        <v>2.8666197225308565</v>
      </c>
      <c r="AB188" s="21">
        <f>EXP(-LN(2)/2)*AB187+(1-EXP(-LN(2)/2))/(LN(2)/2)*V188*Y188*VLOOKUP('Données projet'!$B$9,Paramètres!$A$1:$I$89,3,0)*0.475*44/12</f>
        <v>4.2741830554706483E-12</v>
      </c>
      <c r="AC188" s="22">
        <f t="shared" si="163"/>
        <v>27.166669620956942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-5.1431925385259088E-14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215.7418266360167</v>
      </c>
      <c r="AO188" s="59">
        <f t="shared" si="144"/>
        <v>155.78420008229949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61.25560671387715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61.25560671387715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-3.979039320256561E-13</v>
      </c>
      <c r="O189" s="13">
        <f>N189*VLOOKUP('Données projet'!$B$9,Paramètres!$A$1:$I$89,3,0)*VLOOKUP('Données projet'!$B$9,Paramètres!$A$1:$I$89,5,0)</f>
        <v>-1.8621904018800707E-13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107.39524504744702</v>
      </c>
      <c r="T189" s="59">
        <f t="shared" si="142"/>
        <v>102.66420075171004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23.823540741480688</v>
      </c>
      <c r="AA189" s="21">
        <f>EXP(-LN(2)/25)*AA188+(1-EXP(-LN(2)/25))/(LN(2)/25)*Calculateur!V189*Calculateur!X189*VLOOKUP('Données projet'!$B$9,Paramètres!$A$1:$I$89,3,0)*0.475*44/12</f>
        <v>2.7882318554692707</v>
      </c>
      <c r="AB189" s="21">
        <f>EXP(-LN(2)/2)*AB188+(1-EXP(-LN(2)/2))/(LN(2)/2)*V189*Y189*VLOOKUP('Données projet'!$B$9,Paramètres!$A$1:$I$89,3,0)*0.475*44/12</f>
        <v>3.0223038225559329E-12</v>
      </c>
      <c r="AC189" s="22">
        <f t="shared" si="163"/>
        <v>26.611772596952981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-5.1431925385259088E-14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215.7418266360167</v>
      </c>
      <c r="AO189" s="59">
        <f t="shared" si="144"/>
        <v>155.78420008229949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60.0544216284489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60.0544216284489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-3.979039320256561E-13</v>
      </c>
      <c r="O190" s="13">
        <f>N190*VLOOKUP('Données projet'!$B$9,Paramètres!$A$1:$I$89,3,0)*VLOOKUP('Données projet'!$B$9,Paramètres!$A$1:$I$89,5,0)</f>
        <v>-1.8621904018800707E-13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107.39524504744702</v>
      </c>
      <c r="T190" s="59">
        <f t="shared" si="142"/>
        <v>102.66420075171004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23.356375638465295</v>
      </c>
      <c r="AA190" s="21">
        <f>EXP(-LN(2)/25)*AA189+(1-EXP(-LN(2)/25))/(LN(2)/25)*Calculateur!V190*Calculateur!X190*VLOOKUP('Données projet'!$B$9,Paramètres!$A$1:$I$89,3,0)*0.475*44/12</f>
        <v>2.7119875087547229</v>
      </c>
      <c r="AB190" s="21">
        <f>EXP(-LN(2)/2)*AB189+(1-EXP(-LN(2)/2))/(LN(2)/2)*V190*Y190*VLOOKUP('Données projet'!$B$9,Paramètres!$A$1:$I$89,3,0)*0.475*44/12</f>
        <v>2.1370915277353241E-12</v>
      </c>
      <c r="AC190" s="22">
        <f t="shared" si="163"/>
        <v>26.068363147222158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-5.1431925385259088E-14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215.7418266360167</v>
      </c>
      <c r="AO190" s="59">
        <f t="shared" si="144"/>
        <v>155.78420008229949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58.876791049895338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58.876791049895338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-3.979039320256561E-13</v>
      </c>
      <c r="O191" s="13">
        <f>N191*VLOOKUP('Données projet'!$B$9,Paramètres!$A$1:$I$89,3,0)*VLOOKUP('Données projet'!$B$9,Paramètres!$A$1:$I$89,5,0)</f>
        <v>-1.8621904018800707E-13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107.39524504744702</v>
      </c>
      <c r="T191" s="59">
        <f t="shared" si="142"/>
        <v>102.66420075171004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22.898371358177457</v>
      </c>
      <c r="AA191" s="21">
        <f>EXP(-LN(2)/25)*AA190+(1-EXP(-LN(2)/25))/(LN(2)/25)*Calculateur!V191*Calculateur!X191*VLOOKUP('Données projet'!$B$9,Paramètres!$A$1:$I$89,3,0)*0.475*44/12</f>
        <v>2.6378280677106001</v>
      </c>
      <c r="AB191" s="21">
        <f>EXP(-LN(2)/2)*AB190+(1-EXP(-LN(2)/2))/(LN(2)/2)*V191*Y191*VLOOKUP('Données projet'!$B$9,Paramètres!$A$1:$I$89,3,0)*0.475*44/12</f>
        <v>1.5111519112779664E-12</v>
      </c>
      <c r="AC191" s="22">
        <f t="shared" si="163"/>
        <v>25.536199425889567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-5.1431925385259088E-14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215.7418266360167</v>
      </c>
      <c r="AO191" s="59">
        <f t="shared" si="144"/>
        <v>155.78420008229949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57.722253088703482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57.722253088703482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-3.979039320256561E-13</v>
      </c>
      <c r="O192" s="13">
        <f>N192*VLOOKUP('Données projet'!$B$9,Paramètres!$A$1:$I$89,3,0)*VLOOKUP('Données projet'!$B$9,Paramètres!$A$1:$I$89,5,0)</f>
        <v>-1.8621904018800707E-13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107.39524504744702</v>
      </c>
      <c r="T192" s="59">
        <f t="shared" si="142"/>
        <v>102.66420075171004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22.449348262471034</v>
      </c>
      <c r="AA192" s="21">
        <f>EXP(-LN(2)/25)*AA191+(1-EXP(-LN(2)/25))/(LN(2)/25)*Calculateur!V192*Calculateur!X192*VLOOKUP('Données projet'!$B$9,Paramètres!$A$1:$I$89,3,0)*0.475*44/12</f>
        <v>2.5656965204817044</v>
      </c>
      <c r="AB192" s="21">
        <f>EXP(-LN(2)/2)*AB191+(1-EXP(-LN(2)/2))/(LN(2)/2)*V192*Y192*VLOOKUP('Données projet'!$B$9,Paramètres!$A$1:$I$89,3,0)*0.475*44/12</f>
        <v>1.0685457638676621E-12</v>
      </c>
      <c r="AC192" s="22">
        <f t="shared" si="163"/>
        <v>25.015044782953808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-5.1431925385259088E-14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215.7418266360167</v>
      </c>
      <c r="AO192" s="59">
        <f t="shared" si="144"/>
        <v>155.78420008229949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56.590354912731982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56.590354912731982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-3.979039320256561E-13</v>
      </c>
      <c r="O193" s="13">
        <f>N193*VLOOKUP('Données projet'!$B$9,Paramètres!$A$1:$I$89,3,0)*VLOOKUP('Données projet'!$B$9,Paramètres!$A$1:$I$89,5,0)</f>
        <v>-1.8621904018800707E-13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107.39524504744702</v>
      </c>
      <c r="T193" s="59">
        <f t="shared" si="142"/>
        <v>102.66420075171004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22.00913023579437</v>
      </c>
      <c r="AA193" s="21">
        <f>EXP(-LN(2)/25)*AA192+(1-EXP(-LN(2)/25))/(LN(2)/25)*Calculateur!V193*Calculateur!X193*VLOOKUP('Données projet'!$B$9,Paramètres!$A$1:$I$89,3,0)*0.475*44/12</f>
        <v>2.4955374142050162</v>
      </c>
      <c r="AB193" s="21">
        <f>EXP(-LN(2)/2)*AB192+(1-EXP(-LN(2)/2))/(LN(2)/2)*V193*Y193*VLOOKUP('Données projet'!$B$9,Paramètres!$A$1:$I$89,3,0)*0.475*44/12</f>
        <v>7.5557595563898321E-13</v>
      </c>
      <c r="AC193" s="22">
        <f t="shared" si="163"/>
        <v>24.504667650000144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-5.1431925385259088E-14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215.7418266360167</v>
      </c>
      <c r="AO193" s="59">
        <f t="shared" si="144"/>
        <v>155.78420008229949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55.48065256960156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55.48065256960156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-3.979039320256561E-13</v>
      </c>
      <c r="O194" s="13">
        <f>N194*VLOOKUP('Données projet'!$B$9,Paramètres!$A$1:$I$89,3,0)*VLOOKUP('Données projet'!$B$9,Paramètres!$A$1:$I$89,5,0)</f>
        <v>-1.8621904018800707E-13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107.39524504744702</v>
      </c>
      <c r="T194" s="59">
        <f t="shared" si="142"/>
        <v>102.66420075171004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21.577544616114352</v>
      </c>
      <c r="AA194" s="21">
        <f>EXP(-LN(2)/25)*AA193+(1-EXP(-LN(2)/25))/(LN(2)/25)*Calculateur!V194*Calculateur!X194*VLOOKUP('Données projet'!$B$9,Paramètres!$A$1:$I$89,3,0)*0.475*44/12</f>
        <v>2.4272968123789709</v>
      </c>
      <c r="AB194" s="21">
        <f>EXP(-LN(2)/2)*AB193+(1-EXP(-LN(2)/2))/(LN(2)/2)*V194*Y194*VLOOKUP('Données projet'!$B$9,Paramètres!$A$1:$I$89,3,0)*0.475*44/12</f>
        <v>5.3427288193383103E-13</v>
      </c>
      <c r="AC194" s="22">
        <f t="shared" si="163"/>
        <v>24.004841428493854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-5.1431925385259088E-14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215.7418266360167</v>
      </c>
      <c r="AO194" s="59">
        <f t="shared" si="144"/>
        <v>155.78420008229949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54.392710812568332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54.392710812568332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-3.979039320256561E-13</v>
      </c>
      <c r="O195" s="13">
        <f>N195*VLOOKUP('Données projet'!$B$9,Paramètres!$A$1:$I$89,3,0)*VLOOKUP('Données projet'!$B$9,Paramètres!$A$1:$I$89,5,0)</f>
        <v>-1.8621904018800707E-13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107.39524504744702</v>
      </c>
      <c r="T195" s="59">
        <f t="shared" si="142"/>
        <v>102.66420075171004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21.154422127195023</v>
      </c>
      <c r="AA195" s="21">
        <f>EXP(-LN(2)/25)*AA194+(1-EXP(-LN(2)/25))/(LN(2)/25)*Calculateur!V195*Calculateur!X195*VLOOKUP('Données projet'!$B$9,Paramètres!$A$1:$I$89,3,0)*0.475*44/12</f>
        <v>2.3609222533984764</v>
      </c>
      <c r="AB195" s="21">
        <f>EXP(-LN(2)/2)*AB194+(1-EXP(-LN(2)/2))/(LN(2)/2)*V195*Y195*VLOOKUP('Données projet'!$B$9,Paramètres!$A$1:$I$89,3,0)*0.475*44/12</f>
        <v>3.7778797781949161E-13</v>
      </c>
      <c r="AC195" s="22">
        <f t="shared" si="163"/>
        <v>23.515344380593877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-5.1431925385259088E-14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215.7418266360167</v>
      </c>
      <c r="AO195" s="59">
        <f t="shared" si="144"/>
        <v>155.78420008229949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53.326102929811576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53.326102929811576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-3.979039320256561E-13</v>
      </c>
      <c r="O196" s="13">
        <f>N196*VLOOKUP('Données projet'!$B$9,Paramètres!$A$1:$I$89,3,0)*VLOOKUP('Données projet'!$B$9,Paramètres!$A$1:$I$89,5,0)</f>
        <v>-1.8621904018800707E-13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107.39524504744702</v>
      </c>
      <c r="T196" s="59">
        <f t="shared" si="142"/>
        <v>102.66420075171004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20.739596812204169</v>
      </c>
      <c r="AA196" s="21">
        <f>EXP(-LN(2)/25)*AA195+(1-EXP(-LN(2)/25))/(LN(2)/25)*Calculateur!V196*Calculateur!X196*VLOOKUP('Données projet'!$B$9,Paramètres!$A$1:$I$89,3,0)*0.475*44/12</f>
        <v>2.2963627102237898</v>
      </c>
      <c r="AB196" s="21">
        <f>EXP(-LN(2)/2)*AB195+(1-EXP(-LN(2)/2))/(LN(2)/2)*V196*Y196*VLOOKUP('Données projet'!$B$9,Paramètres!$A$1:$I$89,3,0)*0.475*44/12</f>
        <v>2.6713644096691552E-13</v>
      </c>
      <c r="AC196" s="22">
        <f t="shared" si="163"/>
        <v>23.035959522428225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-5.1431925385259088E-14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215.7418266360167</v>
      </c>
      <c r="AO196" s="59">
        <f t="shared" si="144"/>
        <v>155.78420008229949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52.280410577069112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52.280410577069112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-3.979039320256561E-13</v>
      </c>
      <c r="O197" s="13">
        <f>N197*VLOOKUP('Données projet'!$B$9,Paramètres!$A$1:$I$89,3,0)*VLOOKUP('Données projet'!$B$9,Paramètres!$A$1:$I$89,5,0)</f>
        <v>-1.8621904018800707E-13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107.39524504744702</v>
      </c>
      <c r="T197" s="59">
        <f t="shared" ref="T197:T203" si="204">$T$3</f>
        <v>102.66420075171004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20.332905968621827</v>
      </c>
      <c r="AA197" s="21">
        <f>EXP(-LN(2)/25)*AA196+(1-EXP(-LN(2)/25))/(LN(2)/25)*Calculateur!V197*Calculateur!X197*VLOOKUP('Données projet'!$B$9,Paramètres!$A$1:$I$89,3,0)*0.475*44/12</f>
        <v>2.2335685511522536</v>
      </c>
      <c r="AB197" s="21">
        <f>EXP(-LN(2)/2)*AB196+(1-EXP(-LN(2)/2))/(LN(2)/2)*V197*Y197*VLOOKUP('Données projet'!$B$9,Paramètres!$A$1:$I$89,3,0)*0.475*44/12</f>
        <v>1.888939889097458E-13</v>
      </c>
      <c r="AC197" s="22">
        <f t="shared" si="163"/>
        <v>22.566474519774268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-5.1431925385259088E-14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215.7418266360167</v>
      </c>
      <c r="AO197" s="59">
        <f t="shared" ref="AO197:AO203" si="205">$AO$3</f>
        <v>155.78420008229949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51.25522361355457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51.25522361355457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-3.979039320256561E-13</v>
      </c>
      <c r="O198" s="13">
        <f>N198*VLOOKUP('Données projet'!$B$9,Paramètres!$A$1:$I$89,3,0)*VLOOKUP('Données projet'!$B$9,Paramètres!$A$1:$I$89,5,0)</f>
        <v>-1.8621904018800707E-13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107.39524504744702</v>
      </c>
      <c r="T198" s="59">
        <f t="shared" si="204"/>
        <v>102.66420075171004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19.934190084425211</v>
      </c>
      <c r="AA198" s="21">
        <f>EXP(-LN(2)/25)*AA197+(1-EXP(-LN(2)/25))/(LN(2)/25)*Calculateur!V198*Calculateur!X198*VLOOKUP('Données projet'!$B$9,Paramètres!$A$1:$I$89,3,0)*0.475*44/12</f>
        <v>2.17249150166273</v>
      </c>
      <c r="AB198" s="21">
        <f>EXP(-LN(2)/2)*AB197+(1-EXP(-LN(2)/2))/(LN(2)/2)*V198*Y198*VLOOKUP('Données projet'!$B$9,Paramètres!$A$1:$I$89,3,0)*0.475*44/12</f>
        <v>1.3356822048345776E-13</v>
      </c>
      <c r="AC198" s="22">
        <f t="shared" si="163"/>
        <v>22.106681586088076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-5.1431925385259088E-14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215.7418266360167</v>
      </c>
      <c r="AO198" s="59">
        <f t="shared" si="205"/>
        <v>155.78420008229949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50.250139941092243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50.250139941092243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-3.979039320256561E-13</v>
      </c>
      <c r="O199" s="13">
        <f>N199*VLOOKUP('Données projet'!$B$9,Paramètres!$A$1:$I$89,3,0)*VLOOKUP('Données projet'!$B$9,Paramètres!$A$1:$I$89,5,0)</f>
        <v>-1.8621904018800707E-13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107.39524504744702</v>
      </c>
      <c r="T199" s="59">
        <f t="shared" si="204"/>
        <v>102.66420075171004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19.543292775525018</v>
      </c>
      <c r="AA199" s="21">
        <f>EXP(-LN(2)/25)*AA198+(1-EXP(-LN(2)/25))/(LN(2)/25)*Calculateur!V199*Calculateur!X199*VLOOKUP('Données projet'!$B$9,Paramètres!$A$1:$I$89,3,0)*0.475*44/12</f>
        <v>2.1130846073033998</v>
      </c>
      <c r="AB199" s="21">
        <f>EXP(-LN(2)/2)*AB198+(1-EXP(-LN(2)/2))/(LN(2)/2)*V199*Y199*VLOOKUP('Données projet'!$B$9,Paramètres!$A$1:$I$89,3,0)*0.475*44/12</f>
        <v>9.4446994454872902E-14</v>
      </c>
      <c r="AC199" s="22">
        <f t="shared" si="163"/>
        <v>21.656377382828513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-5.1431925385259088E-14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215.7418266360167</v>
      </c>
      <c r="AO199" s="59">
        <f t="shared" si="205"/>
        <v>155.78420008229949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49.264765346406399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49.264765346406399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-3.979039320256561E-13</v>
      </c>
      <c r="O200" s="13">
        <f>N200*VLOOKUP('Données projet'!$B$9,Paramètres!$A$1:$I$89,3,0)*VLOOKUP('Données projet'!$B$9,Paramètres!$A$1:$I$89,5,0)</f>
        <v>-1.8621904018800707E-13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107.39524504744702</v>
      </c>
      <c r="T200" s="59">
        <f t="shared" si="204"/>
        <v>102.66420075171004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19.16006072442854</v>
      </c>
      <c r="AA200" s="21">
        <f>EXP(-LN(2)/25)*AA199+(1-EXP(-LN(2)/25))/(LN(2)/25)*Calculateur!V200*Calculateur!X200*VLOOKUP('Données projet'!$B$9,Paramètres!$A$1:$I$89,3,0)*0.475*44/12</f>
        <v>2.0553021975943984</v>
      </c>
      <c r="AB200" s="21">
        <f>EXP(-LN(2)/2)*AB199+(1-EXP(-LN(2)/2))/(LN(2)/2)*V200*Y200*VLOOKUP('Données projet'!$B$9,Paramètres!$A$1:$I$89,3,0)*0.475*44/12</f>
        <v>6.6784110241728879E-14</v>
      </c>
      <c r="AC200" s="22">
        <f t="shared" si="163"/>
        <v>21.215362922023004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-5.1431925385259088E-14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215.7418266360167</v>
      </c>
      <c r="AO200" s="59">
        <f t="shared" si="205"/>
        <v>155.78420008229949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48.298713346503185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48.298713346503185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-3.979039320256561E-13</v>
      </c>
      <c r="O201" s="13">
        <f>N201*VLOOKUP('Données projet'!$B$9,Paramètres!$A$1:$I$89,3,0)*VLOOKUP('Données projet'!$B$9,Paramètres!$A$1:$I$89,5,0)</f>
        <v>-1.8621904018800707E-13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107.39524504744702</v>
      </c>
      <c r="T201" s="59">
        <f t="shared" si="204"/>
        <v>102.66420075171004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18.784343620105595</v>
      </c>
      <c r="AA201" s="21">
        <f>EXP(-LN(2)/25)*AA200+(1-EXP(-LN(2)/25))/(LN(2)/25)*Calculateur!V201*Calculateur!X201*VLOOKUP('Données projet'!$B$9,Paramètres!$A$1:$I$89,3,0)*0.475*44/12</f>
        <v>1.9990998509175344</v>
      </c>
      <c r="AB201" s="21">
        <f>EXP(-LN(2)/2)*AB200+(1-EXP(-LN(2)/2))/(LN(2)/2)*V201*Y201*VLOOKUP('Données projet'!$B$9,Paramètres!$A$1:$I$89,3,0)*0.475*44/12</f>
        <v>4.7223497227436451E-14</v>
      </c>
      <c r="AC201" s="22">
        <f t="shared" si="163"/>
        <v>20.783443471023176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-5.1431925385259088E-14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215.7418266360167</v>
      </c>
      <c r="AO201" s="59">
        <f t="shared" si="205"/>
        <v>155.78420008229949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47.351605037084532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47.351605037084532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-3.979039320256561E-13</v>
      </c>
      <c r="O202" s="13">
        <f>N202*VLOOKUP('Données projet'!$B$9,Paramètres!$A$1:$I$89,3,0)*VLOOKUP('Données projet'!$B$9,Paramètres!$A$1:$I$89,5,0)</f>
        <v>-1.8621904018800707E-13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107.39524504744702</v>
      </c>
      <c r="T202" s="59">
        <f t="shared" si="204"/>
        <v>102.66420075171004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18.415994099033618</v>
      </c>
      <c r="AA202" s="21">
        <f>EXP(-LN(2)/25)*AA201+(1-EXP(-LN(2)/25))/(LN(2)/25)*Calculateur!V202*Calculateur!X202*VLOOKUP('Données projet'!$B$9,Paramètres!$A$1:$I$89,3,0)*0.475*44/12</f>
        <v>1.9444343603661023</v>
      </c>
      <c r="AB202" s="21">
        <f>EXP(-LN(2)/2)*AB201+(1-EXP(-LN(2)/2))/(LN(2)/2)*V202*Y202*VLOOKUP('Données projet'!$B$9,Paramètres!$A$1:$I$89,3,0)*0.475*44/12</f>
        <v>3.3392055120864439E-14</v>
      </c>
      <c r="AC202" s="22">
        <f t="shared" si="163"/>
        <v>20.360428459399753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-5.1431925385259088E-14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215.7418266360167</v>
      </c>
      <c r="AO202" s="59">
        <f t="shared" si="205"/>
        <v>155.78420008229949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46.423068943934553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46.423068943934553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-3.979039320256561E-13</v>
      </c>
      <c r="O203" s="13">
        <f>N203*VLOOKUP('Données projet'!$B$9,Paramètres!$A$1:$I$89,3,0)*VLOOKUP('Données projet'!$B$9,Paramètres!$A$1:$I$89,5,0)</f>
        <v>-1.8621904018800707E-13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107.39524504744702</v>
      </c>
      <c r="T203" s="59">
        <f t="shared" si="204"/>
        <v>102.66420075171004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18.054867687398836</v>
      </c>
      <c r="AA203" s="21">
        <f>EXP(-LN(2)/25)*AA202+(1-EXP(-LN(2)/25))/(LN(2)/25)*Calculateur!V203*Calculateur!X203*VLOOKUP('Données projet'!$B$9,Paramètres!$A$1:$I$89,3,0)*0.475*44/12</f>
        <v>1.8912637005285322</v>
      </c>
      <c r="AB203" s="21">
        <f>EXP(-LN(2)/2)*AB202+(1-EXP(-LN(2)/2))/(LN(2)/2)*V203*Y203*VLOOKUP('Données projet'!$B$9,Paramètres!$A$1:$I$89,3,0)*0.475*44/12</f>
        <v>2.3611748613718225E-14</v>
      </c>
      <c r="AC203" s="22">
        <f t="shared" si="163"/>
        <v>19.946131387927394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-5.1431925385259088E-14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215.7418266360167</v>
      </c>
      <c r="AO203" s="59">
        <f t="shared" si="205"/>
        <v>155.78420008229949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45.512740877220153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45.512740877220153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1.2677537154322802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1.144776349855815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3" zoomScaleNormal="93" workbookViewId="0">
      <selection activeCell="H5" sqref="H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Cèdre de l'Atlas</v>
      </c>
      <c r="B6" s="146">
        <f>'Données projet'!D9</f>
        <v>2.31</v>
      </c>
      <c r="C6" s="147">
        <f ca="1">IF(OR('Données projet'!B9="",'Données projet'!C9="",'Données projet'!C9=0%),0,Calculateur!S3)</f>
        <v>107.39524504744702</v>
      </c>
      <c r="D6" s="147">
        <f>IF(OR('Données projet'!B9="",'Données projet'!C9="",'Données projet'!C9=0%),0,Calculateur!T3)</f>
        <v>102.66420075171004</v>
      </c>
      <c r="E6" s="147">
        <f ca="1">MIN(C6,D6)</f>
        <v>102.66420075171004</v>
      </c>
      <c r="F6" s="147">
        <f ca="1">E6*B6</f>
        <v>237.1543037364502</v>
      </c>
      <c r="G6" s="147">
        <f ca="1">F6*(100%-'Données projet'!$C$24)*(100%-'Données projet'!$C$25)*(100%-'Données projet'!$C$26)*(100%-'Données projet'!$C$27)</f>
        <v>213.4388733628052</v>
      </c>
      <c r="H6" s="148">
        <f>IF(OR('Données projet'!B9="",'Données projet'!C9="",'Données projet'!C9=0%),0,AVERAGE(Calculateur!$AC$3:$AC$33)*B6)</f>
        <v>5.1806312881755607</v>
      </c>
      <c r="I6" s="149">
        <f>H6*(100%-'Données projet'!$C$24)*(100%-'Données projet'!$C$25)*(100%-'Données projet'!$C$26)*(100%-'Données projet'!$C$27)</f>
        <v>4.6625681593580044</v>
      </c>
      <c r="J6" s="150">
        <f>IF(OR('Données projet'!B9="",'Données projet'!C9="",'Données projet'!C9=0%),0,SUM(Calculateur!$V$3:$V$33)*VLOOKUP('Données projet'!$B$9,Paramètres!$A$1:$I$89,9,0)*B6)</f>
        <v>48.671700000000001</v>
      </c>
      <c r="K6" s="151">
        <f>J6*(100%-'Données projet'!$C$24)*(100%-'Données projet'!$C$25)*(100%-'Données projet'!$C$26)*(100%-'Données projet'!$C$27)</f>
        <v>43.80453</v>
      </c>
      <c r="L6" s="152">
        <f ca="1">G6+I6+K6</f>
        <v>261.90597152216321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4.6900000000000004</v>
      </c>
      <c r="C7" s="147">
        <f ca="1">IF(OR('Données projet'!B10="",'Données projet'!C10="",'Données projet'!C10=0%),0,Calculateur!AN3)</f>
        <v>215.7418266360167</v>
      </c>
      <c r="D7" s="147">
        <f>IF(OR('Données projet'!B10="",'Données projet'!C10="",'Données projet'!C10=0%),0,Calculateur!AO3)</f>
        <v>155.78420008229949</v>
      </c>
      <c r="E7" s="147">
        <f t="shared" ref="E7:E15" ca="1" si="0">MIN(C7,D7)</f>
        <v>155.78420008229949</v>
      </c>
      <c r="F7" s="147">
        <f t="shared" ref="F7:F15" ca="1" si="1">E7*B7</f>
        <v>730.62789838598462</v>
      </c>
      <c r="G7" s="147">
        <f ca="1">F7*(100%-'Données projet'!$C$24)*(100%-'Données projet'!$C$25)*(100%-'Données projet'!$C$26)*(100%-'Données projet'!$C$27)</f>
        <v>657.56510854738622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657.56510854738622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967.7822021224348</v>
      </c>
      <c r="G16" s="166">
        <f t="shared" ca="1" si="3"/>
        <v>871.00398191019144</v>
      </c>
      <c r="H16" s="167">
        <f t="shared" si="3"/>
        <v>5.1806312881755607</v>
      </c>
      <c r="I16" s="167">
        <f t="shared" si="3"/>
        <v>4.6625681593580044</v>
      </c>
      <c r="J16" s="168">
        <f t="shared" si="3"/>
        <v>48.671700000000001</v>
      </c>
      <c r="K16" s="168">
        <f t="shared" si="3"/>
        <v>43.80453</v>
      </c>
      <c r="L16" s="169">
        <f t="shared" ca="1" si="3"/>
        <v>919.47108006954943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69" zoomScaleNormal="69" workbookViewId="0">
      <selection activeCell="D56" sqref="D5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417.18088519965551</v>
      </c>
      <c r="U10" s="178">
        <f>'Données projet'!D9</f>
        <v>2.31</v>
      </c>
      <c r="V10" s="177">
        <f>U10*T10</f>
        <v>963.68784481120429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-518.02335770494051</v>
      </c>
      <c r="U11" s="178">
        <f>'Données projet'!D10</f>
        <v>4.6900000000000004</v>
      </c>
      <c r="V11" s="177">
        <f>U11*T11</f>
        <v>-2429.5295476361712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0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(4050/7)+258.42</f>
        <v>836.99142857142851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v>0</v>
      </c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v>0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250.00000000000014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>
        <v>0</v>
      </c>
      <c r="F20" s="230"/>
      <c r="G20" s="303"/>
      <c r="H20" s="190">
        <v>1</v>
      </c>
      <c r="I20" s="191">
        <f>6630/7</f>
        <v>947.14285714285711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>
        <v>0</v>
      </c>
      <c r="F21" s="230"/>
      <c r="H21" s="190">
        <v>1</v>
      </c>
      <c r="I21" s="191">
        <f>17175/7</f>
        <v>2453.5714285714284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>
        <v>0</v>
      </c>
      <c r="F22" s="230"/>
      <c r="H22" s="190">
        <v>1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23</v>
      </c>
      <c r="C23" s="193">
        <v>5</v>
      </c>
      <c r="D23" s="182">
        <f>B23*C23</f>
        <v>115</v>
      </c>
      <c r="E23" s="193">
        <v>0</v>
      </c>
      <c r="F23" s="230"/>
      <c r="H23" s="190">
        <v>2</v>
      </c>
      <c r="I23" s="191">
        <v>350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-38233.201688556888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26</v>
      </c>
      <c r="C24" s="193">
        <v>15</v>
      </c>
      <c r="D24" s="182">
        <f t="shared" ref="D24:D42" si="1">B24*C24</f>
        <v>390</v>
      </c>
      <c r="E24" s="193">
        <v>0</v>
      </c>
      <c r="F24" s="233"/>
      <c r="H24" s="190">
        <v>2</v>
      </c>
      <c r="I24" s="191">
        <v>450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193.74188743989137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37</v>
      </c>
      <c r="C25" s="193">
        <v>30</v>
      </c>
      <c r="D25" s="182">
        <f t="shared" si="1"/>
        <v>1110</v>
      </c>
      <c r="E25" s="193">
        <v>0</v>
      </c>
      <c r="F25" s="233"/>
      <c r="H25" s="190">
        <v>3</v>
      </c>
      <c r="I25" s="191">
        <v>450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-38426.943575996782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47</v>
      </c>
      <c r="C26" s="193">
        <v>40</v>
      </c>
      <c r="D26" s="182">
        <f t="shared" si="1"/>
        <v>1880</v>
      </c>
      <c r="E26" s="193">
        <v>0</v>
      </c>
      <c r="F26" s="233"/>
      <c r="G26" s="229"/>
      <c r="H26" s="190">
        <v>3</v>
      </c>
      <c r="I26" s="191">
        <v>200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45</v>
      </c>
      <c r="C27" s="193">
        <v>45</v>
      </c>
      <c r="D27" s="182">
        <f t="shared" si="1"/>
        <v>2025</v>
      </c>
      <c r="E27" s="193">
        <v>0</v>
      </c>
      <c r="F27" s="233"/>
      <c r="G27" s="229"/>
      <c r="H27" s="190">
        <v>5</v>
      </c>
      <c r="I27" s="191">
        <v>450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45</v>
      </c>
      <c r="C28" s="193">
        <v>50</v>
      </c>
      <c r="D28" s="182">
        <f t="shared" si="1"/>
        <v>2250</v>
      </c>
      <c r="E28" s="193">
        <v>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50</v>
      </c>
      <c r="C29" s="193">
        <v>55</v>
      </c>
      <c r="D29" s="182">
        <f t="shared" si="1"/>
        <v>2750</v>
      </c>
      <c r="E29" s="193">
        <v>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60</v>
      </c>
      <c r="C30" s="193">
        <v>60</v>
      </c>
      <c r="D30" s="182">
        <f t="shared" si="1"/>
        <v>3600</v>
      </c>
      <c r="E30" s="193">
        <v>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384</v>
      </c>
      <c r="C31" s="193">
        <v>65</v>
      </c>
      <c r="D31" s="182">
        <f t="shared" si="1"/>
        <v>24960</v>
      </c>
      <c r="E31" s="193">
        <v>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1"/>
        <v>0</v>
      </c>
      <c r="E32" s="193">
        <v>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1"/>
        <v>0</v>
      </c>
      <c r="E33" s="193">
        <v>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2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1"/>
        <v>0</v>
      </c>
      <c r="E34" s="193">
        <v>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2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1"/>
        <v>0</v>
      </c>
      <c r="E35" s="193">
        <v>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2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1"/>
        <v>0</v>
      </c>
      <c r="E36" s="193">
        <v>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2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1"/>
        <v>0</v>
      </c>
      <c r="E37" s="193">
        <v>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2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1"/>
        <v>0</v>
      </c>
      <c r="E38" s="193">
        <v>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2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1"/>
        <v>0</v>
      </c>
      <c r="E39" s="193">
        <v>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2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1"/>
        <v>0</v>
      </c>
      <c r="E40" s="193">
        <v>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2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1"/>
        <v>0</v>
      </c>
      <c r="E41" s="193">
        <v>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2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1"/>
        <v>0</v>
      </c>
      <c r="E42" s="193">
        <v>0</v>
      </c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2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2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2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2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2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2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(6825/7)+522.6</f>
        <v>1497.6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2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v>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2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2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v>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2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2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v>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2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36</v>
      </c>
      <c r="B54" s="181">
        <f>'Données projet'!D62</f>
        <v>36</v>
      </c>
      <c r="C54" s="191">
        <v>5</v>
      </c>
      <c r="D54" s="179">
        <f>B54*C54</f>
        <v>180</v>
      </c>
      <c r="E54" s="193">
        <v>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2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42</v>
      </c>
      <c r="B55" s="181">
        <f>'Données projet'!D63</f>
        <v>41</v>
      </c>
      <c r="C55" s="191">
        <v>5</v>
      </c>
      <c r="D55" s="179">
        <f t="shared" ref="D55:D73" si="3">B55*C55</f>
        <v>205</v>
      </c>
      <c r="E55" s="193">
        <v>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2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48</v>
      </c>
      <c r="B56" s="181">
        <f>'Données projet'!D64</f>
        <v>41</v>
      </c>
      <c r="C56" s="191">
        <v>5</v>
      </c>
      <c r="D56" s="179">
        <f t="shared" si="3"/>
        <v>205</v>
      </c>
      <c r="E56" s="193">
        <v>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2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54</v>
      </c>
      <c r="B57" s="181">
        <f>'Données projet'!D65</f>
        <v>31</v>
      </c>
      <c r="C57" s="191">
        <v>50</v>
      </c>
      <c r="D57" s="179">
        <f t="shared" si="3"/>
        <v>1550</v>
      </c>
      <c r="E57" s="193">
        <v>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2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62</v>
      </c>
      <c r="B58" s="181">
        <f>'Données projet'!D66</f>
        <v>39</v>
      </c>
      <c r="C58" s="191">
        <v>50</v>
      </c>
      <c r="D58" s="179">
        <f t="shared" si="3"/>
        <v>1950</v>
      </c>
      <c r="E58" s="193">
        <v>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2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53</v>
      </c>
      <c r="C59" s="191">
        <v>70</v>
      </c>
      <c r="D59" s="179">
        <f t="shared" si="3"/>
        <v>3710</v>
      </c>
      <c r="E59" s="193">
        <v>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2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78</v>
      </c>
      <c r="B60" s="181">
        <f>'Données projet'!D68</f>
        <v>42</v>
      </c>
      <c r="C60" s="191">
        <v>70</v>
      </c>
      <c r="D60" s="179">
        <f t="shared" si="3"/>
        <v>2940</v>
      </c>
      <c r="E60" s="193">
        <v>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2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87</v>
      </c>
      <c r="B61" s="181">
        <f>'Données projet'!D69</f>
        <v>39</v>
      </c>
      <c r="C61" s="191">
        <v>90</v>
      </c>
      <c r="D61" s="179">
        <f t="shared" si="3"/>
        <v>3510</v>
      </c>
      <c r="E61" s="193">
        <v>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2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97</v>
      </c>
      <c r="B62" s="181">
        <f>'Données projet'!D70</f>
        <v>42</v>
      </c>
      <c r="C62" s="191">
        <v>90</v>
      </c>
      <c r="D62" s="179">
        <f t="shared" si="3"/>
        <v>3780</v>
      </c>
      <c r="E62" s="193">
        <v>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2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107</v>
      </c>
      <c r="B63" s="181">
        <f>'Données projet'!D71</f>
        <v>46</v>
      </c>
      <c r="C63" s="191">
        <v>110</v>
      </c>
      <c r="D63" s="179">
        <f t="shared" si="3"/>
        <v>5060</v>
      </c>
      <c r="E63" s="193">
        <v>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2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117</v>
      </c>
      <c r="B64" s="181">
        <f>'Données projet'!D72</f>
        <v>45</v>
      </c>
      <c r="C64" s="191">
        <v>130</v>
      </c>
      <c r="D64" s="179">
        <f t="shared" si="3"/>
        <v>5850</v>
      </c>
      <c r="E64" s="193">
        <v>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2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129</v>
      </c>
      <c r="B65" s="181">
        <f>'Données projet'!D73</f>
        <v>337</v>
      </c>
      <c r="C65" s="191">
        <v>150</v>
      </c>
      <c r="D65" s="179">
        <f t="shared" si="3"/>
        <v>50550</v>
      </c>
      <c r="E65" s="193">
        <v>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4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3"/>
        <v>0</v>
      </c>
      <c r="E66" s="193">
        <v>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4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3"/>
        <v>0</v>
      </c>
      <c r="E67" s="193">
        <v>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4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3"/>
        <v>0</v>
      </c>
      <c r="E68" s="193">
        <v>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4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3"/>
        <v>0</v>
      </c>
      <c r="E69" s="193">
        <v>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4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3"/>
        <v>0</v>
      </c>
      <c r="E70" s="193">
        <v>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4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3"/>
        <v>0</v>
      </c>
      <c r="E71" s="193">
        <v>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4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3"/>
        <v>0</v>
      </c>
      <c r="E72" s="193">
        <v>0</v>
      </c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4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3"/>
        <v>0</v>
      </c>
      <c r="E73" s="193">
        <v>0</v>
      </c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4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4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4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4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4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4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4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4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4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4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4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4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4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5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4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5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4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5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4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5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4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5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4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5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4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5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4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5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4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5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4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5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4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5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4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5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6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5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6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5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6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5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6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5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6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5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6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5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6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5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6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6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6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6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6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6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6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6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6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6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6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6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6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7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6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7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6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7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6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7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6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7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6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7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6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7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6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7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6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7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6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7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6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7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6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7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6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7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7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>$P$25/(1+$M$4)^O130</f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7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>$P$25/(1+$M$4)^O131</f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7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>$P$25/(1+$M$4)^O132</f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7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7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7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8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8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8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8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8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8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8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8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8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8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8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8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8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8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8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8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8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8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8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9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9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9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9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9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9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9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9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9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9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9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9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9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9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9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9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9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9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9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0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0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0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0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0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0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0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0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0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0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0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0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0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0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0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0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0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0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0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1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1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1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1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1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1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1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1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1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1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1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1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1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1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1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1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1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1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1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2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2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2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2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2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2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2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2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2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2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2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2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2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2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2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2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2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2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2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3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3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3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3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3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3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3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3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3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3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3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3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3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3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3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3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3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3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3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Sarah Khatib</cp:lastModifiedBy>
  <dcterms:created xsi:type="dcterms:W3CDTF">2021-02-01T08:22:39Z</dcterms:created>
  <dcterms:modified xsi:type="dcterms:W3CDTF">2022-12-20T15:22:58Z</dcterms:modified>
</cp:coreProperties>
</file>