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ock/Library/CloudStorage/GoogleDrive-sarah.khatib@purprojet.com/Drive partagés/01_PROJETS_2/EU/France/03_Projets_Forestiers/02_IOS_Foret/02_Roll_out/01_Design_Activites/2022-2023/GE_TROIS FONTAINES_DeMenthon_Maurice/DDP/Pièces justificatives_ancien format_ok/"/>
    </mc:Choice>
  </mc:AlternateContent>
  <xr:revisionPtr revIDLastSave="0" documentId="13_ncr:1_{FFC86EC2-FE01-5247-937E-93F3CAD9FC24}" xr6:coauthVersionLast="47" xr6:coauthVersionMax="47" xr10:uidLastSave="{00000000-0000-0000-0000-000000000000}"/>
  <bookViews>
    <workbookView xWindow="-27000" yWindow="500" windowWidth="25720" windowHeight="17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I20" i="6" l="1"/>
  <c r="I21" i="6"/>
  <c r="E141" i="6"/>
  <c r="E110" i="6"/>
  <c r="E79" i="6"/>
  <c r="E48" i="6"/>
  <c r="I24" i="6" l="1"/>
  <c r="I22" i="6"/>
  <c r="I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HI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HH164" i="2"/>
  <c r="EA164" i="2"/>
  <c r="EV164" i="2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HI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HG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DI200" i="2" l="1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19" i="2" a="1"/>
  <c r="AH1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63" i="2" a="1"/>
  <c r="AH163" i="2" s="1"/>
  <c r="AH62" i="2" a="1"/>
  <c r="AH62" i="2" s="1"/>
  <c r="AH166" i="2" a="1"/>
  <c r="AH166" i="2" s="1"/>
  <c r="AH151" i="2" a="1"/>
  <c r="AH151" i="2" s="1"/>
  <c r="CS72" i="2" a="1"/>
  <c r="CS72" i="2" s="1"/>
  <c r="CS134" i="2" a="1"/>
  <c r="CS134" i="2" s="1"/>
  <c r="CS24" i="2" a="1"/>
  <c r="CS24" i="2" s="1"/>
  <c r="CS56" i="2" a="1"/>
  <c r="CS56" i="2" s="1"/>
  <c r="CS114" i="2" a="1"/>
  <c r="CS114" i="2" s="1"/>
  <c r="CS38" i="2" a="1"/>
  <c r="CS38" i="2" s="1"/>
  <c r="CS185" i="2" a="1"/>
  <c r="CS185" i="2" s="1"/>
  <c r="CS120" i="2" a="1"/>
  <c r="CS120" i="2" s="1"/>
  <c r="CS77" i="2" a="1"/>
  <c r="CS77" i="2" s="1"/>
  <c r="CS161" i="2" a="1"/>
  <c r="CS161" i="2" s="1"/>
  <c r="CS137" i="2" a="1"/>
  <c r="CS137" i="2" s="1"/>
  <c r="CS105" i="2" a="1"/>
  <c r="CS105" i="2" s="1"/>
  <c r="CS52" i="2" a="1"/>
  <c r="CS52" i="2" s="1"/>
  <c r="CS66" i="2" a="1"/>
  <c r="CS66" i="2" s="1"/>
  <c r="CS129" i="2" a="1"/>
  <c r="CS129" i="2" s="1"/>
  <c r="BC32" i="2" a="1"/>
  <c r="BC32" i="2" s="1"/>
  <c r="BC130" i="2" a="1"/>
  <c r="BC130" i="2" s="1"/>
  <c r="BC38" i="2" a="1"/>
  <c r="BC38" i="2" s="1"/>
  <c r="BC185" i="2" a="1"/>
  <c r="BC185" i="2" s="1"/>
  <c r="BC181" i="2" a="1"/>
  <c r="BC181" i="2" s="1"/>
  <c r="BC82" i="2" a="1"/>
  <c r="BC82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31" i="2" a="1"/>
  <c r="BC31" i="2" s="1"/>
  <c r="BC192" i="2" a="1"/>
  <c r="BC192" i="2" s="1"/>
  <c r="BC114" i="2" a="1"/>
  <c r="BC114" i="2" s="1"/>
  <c r="BC68" i="2" a="1"/>
  <c r="BC68" i="2" s="1"/>
  <c r="BC151" i="2" a="1"/>
  <c r="BC151" i="2" s="1"/>
  <c r="BC18" i="2" a="1"/>
  <c r="BC18" i="2" s="1"/>
  <c r="BC7" i="2" a="1"/>
  <c r="BC7" i="2" s="1"/>
  <c r="BC84" i="2" a="1"/>
  <c r="BC84" i="2" s="1"/>
  <c r="BC55" i="2" a="1"/>
  <c r="BC55" i="2" s="1"/>
  <c r="BC117" i="2" a="1"/>
  <c r="BC117" i="2" s="1"/>
  <c r="BC126" i="2" a="1"/>
  <c r="BC126" i="2" s="1"/>
  <c r="BC58" i="2" a="1"/>
  <c r="BC58" i="2" s="1"/>
  <c r="AH199" i="2" a="1"/>
  <c r="AH199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<sst xmlns="http://schemas.openxmlformats.org/spreadsheetml/2006/main" count="1181" uniqueCount="327">
  <si>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</si>
  <si>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</si>
  <si>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</si>
  <si>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</si>
  <si>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</si>
  <si>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</si>
  <si>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</si>
  <si>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</si>
  <si>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</si>
  <si>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</si>
  <si>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</si>
  <si>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</si>
  <si>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</si>
  <si>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</si>
  <si>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</si>
  <si>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</si>
  <si>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</si>
  <si>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</si>
  <si>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</si>
  <si>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</si>
  <si>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</si>
  <si>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</si>
  <si>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</si>
  <si>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</si>
  <si>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</si>
  <si>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</si>
  <si>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</si>
  <si>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</si>
  <si>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</si>
  <si>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</si>
  <si>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</si>
  <si>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</si>
  <si>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</si>
  <si>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</si>
  <si>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</si>
  <si>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</si>
  <si>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</si>
  <si>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</si>
  <si>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</si>
  <si>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</si>
  <si>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</si>
  <si>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</si>
  <si>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</si>
  <si>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</si>
  <si>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</si>
  <si>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</si>
  <si>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</si>
  <si>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</si>
  <si>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</si>
  <si>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</si>
  <si>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</si>
  <si>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</si>
  <si>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</si>
  <si>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</si>
  <si>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</si>
  <si>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</si>
  <si>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</si>
  <si>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</si>
  <si>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</si>
  <si>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</si>
  <si>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</si>
  <si>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</si>
  <si>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</si>
  <si>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</si>
  <si>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</si>
  <si>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</si>
  <si>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</si>
  <si>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</si>
  <si>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</si>
  <si>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</si>
  <si>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</si>
  <si>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</si>
  <si>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</si>
  <si>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</si>
  <si>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</si>
  <si>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</si>
  <si>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</si>
  <si>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</si>
  <si>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</si>
  <si>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</si>
  <si>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</si>
  <si>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</si>
  <si>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</si>
  <si>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</si>
  <si>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</si>
  <si>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</si>
  <si>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</si>
  <si>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</si>
  <si>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</si>
  <si>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</si>
  <si>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</si>
  <si>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</si>
  <si>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</si>
  <si>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</si>
  <si>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</si>
  <si>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</si>
  <si>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</si>
  <si>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</si>
  <si>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</si>
  <si>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</si>
  <si>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</si>
  <si>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</si>
  <si>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</si>
  <si>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</si>
  <si>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</si>
  <si>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</si>
  <si>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</si>
  <si>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</si>
  <si>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</si>
  <si>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</si>
  <si>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</si>
  <si>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</si>
  <si>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</si>
  <si>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</si>
  <si>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</si>
  <si>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</si>
  <si>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</si>
  <si>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</si>
  <si>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</si>
  <si>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</si>
  <si>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</si>
  <si>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</si>
  <si>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</si>
  <si>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</si>
  <si>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</si>
  <si>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</si>
  <si>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</si>
  <si>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</si>
  <si>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</si>
  <si>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</si>
  <si>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</si>
  <si>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</si>
  <si>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</si>
  <si>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</si>
  <si>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</si>
  <si>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</si>
  <si>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</si>
  <si>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</si>
  <si>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</si>
  <si>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</si>
  <si>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</si>
  <si>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</si>
  <si>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</si>
  <si>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</si>
  <si>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</si>
  <si>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</si>
  <si>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</si>
  <si>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</si>
  <si>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</si>
  <si>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</si>
  <si>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</si>
  <si>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</si>
  <si>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</si>
  <si>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</si>
  <si>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</si>
  <si>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</si>
  <si>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</si>
  <si>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</si>
  <si>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</si>
  <si>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</si>
  <si>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</si>
  <si>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</si>
  <si>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</si>
  <si>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</si>
  <si>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</si>
  <si>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</si>
  <si>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</si>
  <si>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</si>
  <si>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</si>
  <si>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</si>
  <si>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</si>
  <si>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</si>
  <si>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</si>
  <si>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</si>
  <si>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</si>
  <si>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</si>
  <si>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</si>
  <si>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</si>
  <si>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</si>
  <si>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</si>
  <si>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</si>
  <si>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</si>
  <si>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</si>
  <si>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</si>
  <si>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</si>
  <si>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</si>
  <si>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</si>
  <si>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</si>
  <si>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</si>
  <si>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</si>
  <si>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</si>
  <si>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</si>
  <si>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</si>
  <si>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</si>
  <si>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</si>
  <si>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</si>
  <si>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</si>
  <si>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</si>
  <si>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</si>
  <si>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</si>
  <si>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</si>
  <si>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</si>
  <si>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</si>
  <si>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</si>
  <si>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</si>
  <si>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</si>
  <si>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</si>
  <si>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</si>
  <si>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</si>
  <si>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</si>
  <si>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</si>
  <si>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</si>
  <si>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</si>
  <si>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</si>
  <si>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</si>
  <si>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</si>
  <si>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</si>
  <si>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</si>
  <si>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</si>
  <si>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</si>
  <si>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</si>
  <si>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</si>
  <si>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</si>
  <si>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</si>
  <si>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</si>
  <si>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</si>
  <si>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</si>
  <si>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</si>
  <si>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</si>
  <si>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</si>
  <si>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</si>
  <si>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</si>
  <si>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</si>
  <si>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</si>
  <si>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</si>
  <si>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</si>
  <si>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</si>
  <si>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</si>
  <si>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</si>
  <si>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</si>
  <si>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</si>
  <si>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</si>
  <si>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</si>
  <si>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</si>
  <si>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</si>
  <si>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</si>
  <si>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</si>
  <si>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</si>
  <si>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</si>
  <si>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</si>
  <si>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</si>
  <si>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</si>
  <si>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</si>
  <si>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</si>
  <si>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</si>
  <si>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</si>
  <si>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</si>
  <si>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</si>
  <si>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</si>
  <si>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</si>
  <si>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</si>
  <si>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</si>
  <si>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</si>
  <si>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</si>
  <si>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</si>
  <si>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</si>
  <si>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</si>
  <si>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</si>
  <si>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</si>
  <si>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</si>
  <si>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</si>
  <si>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</si>
  <si>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</si>
  <si>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</si>
  <si>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</si>
  <si>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</si>
  <si>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</si>
  <si>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</si>
  <si>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</si>
  <si>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</si>
  <si>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</si>
  <si>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</si>
  <si>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</si>
  <si>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</si>
  <si>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</si>
  <si>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</si>
  <si>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</si>
  <si>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</si>
  <si>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</si>
  <si>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</si>
  <si>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</si>
  <si>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</si>
  <si>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</si>
  <si>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</si>
  <si>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</si>
  <si>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</si>
  <si>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</si>
  <si>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</si>
  <si>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</si>
  <si>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</si>
  <si>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</si>
  <si>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</si>
  <si>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</si>
  <si>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</si>
  <si>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</si>
  <si>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</si>
  <si>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</si>
  <si>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</si>
  <si>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</si>
  <si>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</si>
  <si>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</si>
  <si>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</si>
  <si>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</si>
  <si>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</si>
  <si>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</si>
  <si>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</si>
  <si>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</si>
  <si>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</si>
  <si>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</si>
  <si>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</si>
  <si>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</si>
  <si>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</si>
  <si>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</si>
  <si>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</si>
  <si>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</si>
  <si>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de Corse</t>
  </si>
  <si>
    <t>de Calabre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</si>
</sst>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168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1.9385625459017823</c:v>
                </c:pt>
                <c:pt idx="2">
                  <c:v>2.3258930063193834</c:v>
                </c:pt>
                <c:pt idx="3">
                  <c:v>2.7909067067696607</c:v>
                </c:pt>
                <c:pt idx="4">
                  <c:v>3.3492395222296985</c:v>
                </c:pt>
                <c:pt idx="5">
                  <c:v>4.0196849969628321</c:v>
                </c:pt>
                <c:pt idx="6">
                  <c:v>4.8248340182091276</c:v>
                </c:pt>
                <c:pt idx="7">
                  <c:v>5.7918444454711802</c:v>
                </c:pt>
                <c:pt idx="8">
                  <c:v>6.9533671666570873</c:v>
                </c:pt>
                <c:pt idx="9">
                  <c:v>8.3486604573803884</c:v>
                </c:pt>
                <c:pt idx="10">
                  <c:v>10.024931030798948</c:v>
                </c:pt>
                <c:pt idx="11">
                  <c:v>12.038948009281976</c:v>
                </c:pt>
                <c:pt idx="12">
                  <c:v>14.458985499288643</c:v>
                </c:pt>
                <c:pt idx="13">
                  <c:v>17.367160836650587</c:v>
                </c:pt>
                <c:pt idx="14">
                  <c:v>20.862249288224152</c:v>
                </c:pt>
                <c:pt idx="15">
                  <c:v>25.063072526529087</c:v>
                </c:pt>
                <c:pt idx="16">
                  <c:v>30.112578113907134</c:v>
                </c:pt>
                <c:pt idx="17">
                  <c:v>36.182751238058522</c:v>
                </c:pt>
                <c:pt idx="18">
                  <c:v>43.480528870905431</c:v>
                </c:pt>
                <c:pt idx="19">
                  <c:v>52.25492138966672</c:v>
                </c:pt>
                <c:pt idx="20">
                  <c:v>62.80558872320038</c:v>
                </c:pt>
                <c:pt idx="21">
                  <c:v>73.883717762935518</c:v>
                </c:pt>
                <c:pt idx="22">
                  <c:v>84.919362878908643</c:v>
                </c:pt>
                <c:pt idx="23">
                  <c:v>95.918839371268618</c:v>
                </c:pt>
                <c:pt idx="24">
                  <c:v>106.88688857676279</c:v>
                </c:pt>
                <c:pt idx="25">
                  <c:v>117.82719554138386</c:v>
                </c:pt>
                <c:pt idx="26">
                  <c:v>113.45419959247219</c:v>
                </c:pt>
                <c:pt idx="27">
                  <c:v>129.56043616217224</c:v>
                </c:pt>
                <c:pt idx="28">
                  <c:v>145.61821239345747</c:v>
                </c:pt>
                <c:pt idx="29">
                  <c:v>161.63363069725611</c:v>
                </c:pt>
                <c:pt idx="30">
                  <c:v>177.61148225294491</c:v>
                </c:pt>
                <c:pt idx="31">
                  <c:v>167.3247517841445</c:v>
                </c:pt>
                <c:pt idx="32">
                  <c:v>185.45243509395621</c:v>
                </c:pt>
                <c:pt idx="33">
                  <c:v>203.53873317127022</c:v>
                </c:pt>
                <c:pt idx="34">
                  <c:v>221.58784188240861</c:v>
                </c:pt>
                <c:pt idx="35">
                  <c:v>239.60321698163875</c:v>
                </c:pt>
                <c:pt idx="36">
                  <c:v>228.85165326166091</c:v>
                </c:pt>
                <c:pt idx="37">
                  <c:v>246.3173312046215</c:v>
                </c:pt>
                <c:pt idx="38">
                  <c:v>263.75488986167079</c:v>
                </c:pt>
                <c:pt idx="39">
                  <c:v>281.16644975370656</c:v>
                </c:pt>
                <c:pt idx="40">
                  <c:v>298.55384725404718</c:v>
                </c:pt>
                <c:pt idx="41">
                  <c:v>287.32158845420821</c:v>
                </c:pt>
                <c:pt idx="42">
                  <c:v>304.1664212662335</c:v>
                </c:pt>
                <c:pt idx="43">
                  <c:v>320.99051152672854</c:v>
                </c:pt>
                <c:pt idx="44">
                  <c:v>337.79509925009984</c:v>
                </c:pt>
                <c:pt idx="45">
                  <c:v>354.58129100924572</c:v>
                </c:pt>
                <c:pt idx="46">
                  <c:v>342.05996063814399</c:v>
                </c:pt>
                <c:pt idx="47">
                  <c:v>357.51040237087682</c:v>
                </c:pt>
                <c:pt idx="48">
                  <c:v>372.94623334325024</c:v>
                </c:pt>
                <c:pt idx="49">
                  <c:v>388.36814333737811</c:v>
                </c:pt>
                <c:pt idx="50">
                  <c:v>403.77676289014681</c:v>
                </c:pt>
                <c:pt idx="51">
                  <c:v>390.22849760745765</c:v>
                </c:pt>
                <c:pt idx="52">
                  <c:v>404.57340992986138</c:v>
                </c:pt>
                <c:pt idx="53">
                  <c:v>418.90732846642237</c:v>
                </c:pt>
                <c:pt idx="54">
                  <c:v>433.2306823305874</c:v>
                </c:pt>
                <c:pt idx="55">
                  <c:v>447.54386995067108</c:v>
                </c:pt>
                <c:pt idx="56">
                  <c:v>438.00285559940539</c:v>
                </c:pt>
                <c:pt idx="57">
                  <c:v>449.66350049154238</c:v>
                </c:pt>
                <c:pt idx="58">
                  <c:v>461.31767749667324</c:v>
                </c:pt>
                <c:pt idx="59">
                  <c:v>472.96557304660928</c:v>
                </c:pt>
                <c:pt idx="60">
                  <c:v>484.60736364135965</c:v>
                </c:pt>
                <c:pt idx="61">
                  <c:v>477.19964881297028</c:v>
                </c:pt>
                <c:pt idx="62">
                  <c:v>486.98790221252966</c:v>
                </c:pt>
                <c:pt idx="63">
                  <c:v>496.7719805413945</c:v>
                </c:pt>
                <c:pt idx="64">
                  <c:v>506.55197763411411</c:v>
                </c:pt>
                <c:pt idx="65">
                  <c:v>516.32798340592467</c:v>
                </c:pt>
                <c:pt idx="66">
                  <c:v>510.25147150290451</c:v>
                </c:pt>
                <c:pt idx="67">
                  <c:v>518.70533707251514</c:v>
                </c:pt>
                <c:pt idx="68">
                  <c:v>527.15629701531054</c:v>
                </c:pt>
                <c:pt idx="69">
                  <c:v>535.60440449032728</c:v>
                </c:pt>
                <c:pt idx="70">
                  <c:v>544.04971084254669</c:v>
                </c:pt>
                <c:pt idx="71">
                  <c:v>537.97992784995563</c:v>
                </c:pt>
                <c:pt idx="72">
                  <c:v>545.10517967217083</c:v>
                </c:pt>
                <c:pt idx="73">
                  <c:v>552.22847702156605</c:v>
                </c:pt>
                <c:pt idx="74">
                  <c:v>559.34984867208925</c:v>
                </c:pt>
                <c:pt idx="75">
                  <c:v>566.46932260506048</c:v>
                </c:pt>
                <c:pt idx="76">
                  <c:v>560.93211702073938</c:v>
                </c:pt>
                <c:pt idx="77">
                  <c:v>567.26025931079698</c:v>
                </c:pt>
                <c:pt idx="78">
                  <c:v>573.58692604091164</c:v>
                </c:pt>
                <c:pt idx="79">
                  <c:v>579.91213578715144</c:v>
                </c:pt>
                <c:pt idx="80">
                  <c:v>586.23590668718805</c:v>
                </c:pt>
                <c:pt idx="81">
                  <c:v>581.756716801371</c:v>
                </c:pt>
                <c:pt idx="82">
                  <c:v>586.49936617948504</c:v>
                </c:pt>
                <c:pt idx="83">
                  <c:v>591.24121658943329</c:v>
                </c:pt>
                <c:pt idx="84">
                  <c:v>595.98227534576563</c:v>
                </c:pt>
                <c:pt idx="85">
                  <c:v>600.72254963711566</c:v>
                </c:pt>
                <c:pt idx="86">
                  <c:v>597.03573717532709</c:v>
                </c:pt>
                <c:pt idx="87">
                  <c:v>601.24919866493246</c:v>
                </c:pt>
                <c:pt idx="88">
                  <c:v>605.4620465293674</c:v>
                </c:pt>
                <c:pt idx="89">
                  <c:v>609.67428564250429</c:v>
                </c:pt>
                <c:pt idx="90">
                  <c:v>613.8859208053459</c:v>
                </c:pt>
                <c:pt idx="91">
                  <c:v>610.46401309599116</c:v>
                </c:pt>
                <c:pt idx="92">
                  <c:v>613.62271121168021</c:v>
                </c:pt>
                <c:pt idx="93">
                  <c:v>616.78107210210896</c:v>
                </c:pt>
                <c:pt idx="94">
                  <c:v>619.93909773864561</c:v>
                </c:pt>
                <c:pt idx="95">
                  <c:v>623.09679007092416</c:v>
                </c:pt>
                <c:pt idx="96">
                  <c:v>620.46540288781671</c:v>
                </c:pt>
                <c:pt idx="97">
                  <c:v>623.09679007092416</c:v>
                </c:pt>
                <c:pt idx="98">
                  <c:v>625.72794713217775</c:v>
                </c:pt>
                <c:pt idx="99">
                  <c:v>628.35887517628817</c:v>
                </c:pt>
                <c:pt idx="100">
                  <c:v>630.98957529795609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165.63521442323673</c:v>
                </c:pt>
                <c:pt idx="19">
                  <c:v>173.85338167302632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172.98874990477893</c:v>
                </c:pt>
                <c:pt idx="24">
                  <c:v>182.06242044637693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221.09442404914509</c:v>
                </c:pt>
                <c:pt idx="29">
                  <c:v>238.36063977122194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249.42678742365069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305.62486594574432</c:v>
                </c:pt>
                <c:pt idx="36">
                  <c:v>271.5262211522043</c:v>
                </c:pt>
                <c:pt idx="37">
                  <c:v>289.99681160231404</c:v>
                </c:pt>
                <c:pt idx="38">
                  <c:v>308.44111949657542</c:v>
                </c:pt>
                <c:pt idx="39">
                  <c:v>326.86093719547267</c:v>
                </c:pt>
                <c:pt idx="40">
                  <c:v>345.25783856692902</c:v>
                </c:pt>
                <c:pt idx="41">
                  <c:v>314.07191886152782</c:v>
                </c:pt>
                <c:pt idx="42">
                  <c:v>335.29560709579101</c:v>
                </c:pt>
                <c:pt idx="43">
                  <c:v>356.48971133078368</c:v>
                </c:pt>
                <c:pt idx="44">
                  <c:v>377.65623675733724</c:v>
                </c:pt>
                <c:pt idx="45">
                  <c:v>398.79694553728086</c:v>
                </c:pt>
                <c:pt idx="46">
                  <c:v>368.73383823272394</c:v>
                </c:pt>
                <c:pt idx="47">
                  <c:v>390.90393569861914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457.25709576545188</c:v>
                </c:pt>
                <c:pt idx="51">
                  <c:v>412.3154503485564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479.45418811198152</c:v>
                </c:pt>
                <c:pt idx="55">
                  <c:v>501.78776183351829</c:v>
                </c:pt>
                <c:pt idx="56">
                  <c:v>524.10030854720537</c:v>
                </c:pt>
                <c:pt idx="57">
                  <c:v>546.39284853374659</c:v>
                </c:pt>
                <c:pt idx="58">
                  <c:v>568.66631210732646</c:v>
                </c:pt>
                <c:pt idx="59">
                  <c:v>491.01965211248961</c:v>
                </c:pt>
                <c:pt idx="60">
                  <c:v>512.07623603023319</c:v>
                </c:pt>
                <c:pt idx="61">
                  <c:v>533.11454122394605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596.12767732798454</c:v>
                </c:pt>
                <c:pt idx="65">
                  <c:v>617.10045361481673</c:v>
                </c:pt>
                <c:pt idx="66">
                  <c:v>638.05846086868894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653.49207676674735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1.764020893642092</c:v>
                </c:pt>
                <c:pt idx="2">
                  <c:v>2.093996214800808</c:v>
                </c:pt>
                <c:pt idx="3">
                  <c:v>2.4859291416182403</c:v>
                </c:pt>
                <c:pt idx="4">
                  <c:v>2.9514945034263622</c:v>
                </c:pt>
                <c:pt idx="5">
                  <c:v>3.5045743793225608</c:v>
                </c:pt>
                <c:pt idx="6">
                  <c:v>4.161676695964263</c:v>
                </c:pt>
                <c:pt idx="7">
                  <c:v>4.9424334386722846</c:v>
                </c:pt>
                <c:pt idx="8">
                  <c:v>5.8701936574417957</c:v>
                </c:pt>
                <c:pt idx="9">
                  <c:v>6.9727293514425392</c:v>
                </c:pt>
                <c:pt idx="10">
                  <c:v>8.2830757735073153</c:v>
                </c:pt>
                <c:pt idx="11">
                  <c:v>9.840531816672188</c:v>
                </c:pt>
                <c:pt idx="12">
                  <c:v>11.691851055276031</c:v>
                </c:pt>
                <c:pt idx="13">
                  <c:v>13.892659865156595</c:v>
                </c:pt>
                <c:pt idx="14">
                  <c:v>16.509146021987714</c:v>
                </c:pt>
                <c:pt idx="15">
                  <c:v>19.62006948949232</c:v>
                </c:pt>
                <c:pt idx="16">
                  <c:v>23.319157017363992</c:v>
                </c:pt>
                <c:pt idx="17">
                  <c:v>27.717953978987236</c:v>
                </c:pt>
                <c:pt idx="18">
                  <c:v>32.949220957290144</c:v>
                </c:pt>
                <c:pt idx="19">
                  <c:v>39.170979369588352</c:v>
                </c:pt>
                <c:pt idx="20">
                  <c:v>46.571330429444401</c:v>
                </c:pt>
                <c:pt idx="21">
                  <c:v>55.374195596013145</c:v>
                </c:pt>
                <c:pt idx="22">
                  <c:v>65.846155099346788</c:v>
                </c:pt>
                <c:pt idx="23">
                  <c:v>78.304595036697876</c:v>
                </c:pt>
                <c:pt idx="24">
                  <c:v>93.127413963269589</c:v>
                </c:pt>
                <c:pt idx="25">
                  <c:v>110.76458810757384</c:v>
                </c:pt>
                <c:pt idx="26">
                  <c:v>109.51040959893373</c:v>
                </c:pt>
                <c:pt idx="27">
                  <c:v>123.28788824388072</c:v>
                </c:pt>
                <c:pt idx="28">
                  <c:v>137.02793288559806</c:v>
                </c:pt>
                <c:pt idx="29">
                  <c:v>150.73483015282753</c:v>
                </c:pt>
                <c:pt idx="30">
                  <c:v>164.41202153837858</c:v>
                </c:pt>
                <c:pt idx="31">
                  <c:v>150.73483015282753</c:v>
                </c:pt>
                <c:pt idx="32">
                  <c:v>165.65403110404387</c:v>
                </c:pt>
                <c:pt idx="33">
                  <c:v>180.54150368815991</c:v>
                </c:pt>
                <c:pt idx="34">
                  <c:v>195.40023401857547</c:v>
                </c:pt>
                <c:pt idx="35">
                  <c:v>210.23271639040476</c:v>
                </c:pt>
                <c:pt idx="36">
                  <c:v>190.45035477579151</c:v>
                </c:pt>
                <c:pt idx="37">
                  <c:v>205.29133473515969</c:v>
                </c:pt>
                <c:pt idx="38">
                  <c:v>220.10751245497329</c:v>
                </c:pt>
                <c:pt idx="39">
                  <c:v>234.90079301668541</c:v>
                </c:pt>
                <c:pt idx="40">
                  <c:v>249.67282178538542</c:v>
                </c:pt>
                <c:pt idx="41">
                  <c:v>216.0354216391751</c:v>
                </c:pt>
                <c:pt idx="42">
                  <c:v>228.00000144609442</c:v>
                </c:pt>
                <c:pt idx="43">
                  <c:v>239.95021679030458</c:v>
                </c:pt>
                <c:pt idx="44">
                  <c:v>251.88688424687567</c:v>
                </c:pt>
                <c:pt idx="45">
                  <c:v>263.81073662420812</c:v>
                </c:pt>
                <c:pt idx="46">
                  <c:v>275.72243503636565</c:v>
                </c:pt>
                <c:pt idx="47">
                  <c:v>287.62257877818172</c:v>
                </c:pt>
                <c:pt idx="48">
                  <c:v>299.51171347928101</c:v>
                </c:pt>
                <c:pt idx="49">
                  <c:v>311.3903378947939</c:v>
                </c:pt>
                <c:pt idx="50">
                  <c:v>323.25890960508121</c:v>
                </c:pt>
                <c:pt idx="51">
                  <c:v>260.86166114719521</c:v>
                </c:pt>
                <c:pt idx="52">
                  <c:v>278.17699981852439</c:v>
                </c:pt>
                <c:pt idx="53">
                  <c:v>295.46816001233128</c:v>
                </c:pt>
                <c:pt idx="54">
                  <c:v>312.73675559533956</c:v>
                </c:pt>
                <c:pt idx="55">
                  <c:v>329.98420764536394</c:v>
                </c:pt>
                <c:pt idx="56">
                  <c:v>347.211776565717</c:v>
                </c:pt>
                <c:pt idx="57">
                  <c:v>364.42058748930702</c:v>
                </c:pt>
                <c:pt idx="58">
                  <c:v>381.61165063158029</c:v>
                </c:pt>
                <c:pt idx="59">
                  <c:v>398.7858777835051</c:v>
                </c:pt>
                <c:pt idx="60">
                  <c:v>415.94409581466493</c:v>
                </c:pt>
                <c:pt idx="61">
                  <c:v>354.78101993685891</c:v>
                </c:pt>
                <c:pt idx="62">
                  <c:v>366.7381273154308</c:v>
                </c:pt>
                <c:pt idx="63">
                  <c:v>378.6867251649528</c:v>
                </c:pt>
                <c:pt idx="64">
                  <c:v>390.62711987432004</c:v>
                </c:pt>
                <c:pt idx="65">
                  <c:v>402.55959756962392</c:v>
                </c:pt>
                <c:pt idx="66">
                  <c:v>414.48442602788242</c:v>
                </c:pt>
                <c:pt idx="67">
                  <c:v>426.40185635902094</c:v>
                </c:pt>
                <c:pt idx="68">
                  <c:v>438.31212448999321</c:v>
                </c:pt>
                <c:pt idx="69">
                  <c:v>450.21545247917152</c:v>
                </c:pt>
                <c:pt idx="70">
                  <c:v>462.1120496844826</c:v>
                </c:pt>
                <c:pt idx="71">
                  <c:v>409.13135118588792</c:v>
                </c:pt>
                <c:pt idx="72">
                  <c:v>419.34956317074511</c:v>
                </c:pt>
                <c:pt idx="73">
                  <c:v>429.56241207277975</c:v>
                </c:pt>
                <c:pt idx="74">
                  <c:v>439.77004340928443</c:v>
                </c:pt>
                <c:pt idx="75">
                  <c:v>449.97259538949197</c:v>
                </c:pt>
                <c:pt idx="76">
                  <c:v>460.17019944252974</c:v>
                </c:pt>
                <c:pt idx="77">
                  <c:v>470.36298069613213</c:v>
                </c:pt>
                <c:pt idx="78">
                  <c:v>480.55105841169296</c:v>
                </c:pt>
                <c:pt idx="79">
                  <c:v>490.73454638050043</c:v>
                </c:pt>
                <c:pt idx="80">
                  <c:v>500.91355328536832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4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2" zoomScale="110" zoomScaleNormal="110" workbookViewId="0">
      <selection activeCell="E14" sqref="E1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70" t="s">
        <v>231</v>
      </c>
      <c r="B5" s="270"/>
      <c r="C5" s="24">
        <v>3.5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0.56999999999999995</v>
      </c>
      <c r="D9" s="33">
        <f t="shared" ref="D9:D18" si="0">C9*$C$5</f>
        <v>1.9949999999999999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27</v>
      </c>
      <c r="C10" s="32">
        <v>7.0000000000000007E-2</v>
      </c>
      <c r="D10" s="33">
        <f t="shared" si="0"/>
        <v>0.24500000000000002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35</v>
      </c>
      <c r="C11" s="32">
        <v>0.21</v>
      </c>
      <c r="D11" s="33">
        <f t="shared" si="0"/>
        <v>0.73499999999999999</v>
      </c>
      <c r="E11" s="34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35</v>
      </c>
      <c r="C12" s="32">
        <v>0.11</v>
      </c>
      <c r="D12" s="33">
        <f t="shared" si="0"/>
        <v>0.38500000000000001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41</v>
      </c>
      <c r="C13" s="32">
        <v>0.04</v>
      </c>
      <c r="D13" s="33">
        <f t="shared" si="0"/>
        <v>0.14000000000000001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0.99999999999999989</v>
      </c>
      <c r="D19" s="38">
        <f>SUM(D9:D18)</f>
        <v>3.4999999999999996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162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10.8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303</v>
      </c>
      <c r="C37" s="60">
        <v>1</v>
      </c>
      <c r="D37" s="60">
        <v>43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28.2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v>419</v>
      </c>
      <c r="C38" s="60">
        <v>2</v>
      </c>
      <c r="D38" s="60">
        <v>60</v>
      </c>
      <c r="E38" s="51">
        <v>0.7</v>
      </c>
      <c r="F38" s="51">
        <v>0.17</v>
      </c>
      <c r="G38" s="51">
        <v>0.13</v>
      </c>
      <c r="H38" s="51">
        <v>0</v>
      </c>
      <c r="I38" s="53">
        <f t="shared" si="1"/>
        <v>31.8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524</v>
      </c>
      <c r="C39" s="60">
        <v>3</v>
      </c>
      <c r="D39" s="60">
        <v>90</v>
      </c>
      <c r="E39" s="51">
        <v>0.7</v>
      </c>
      <c r="F39" s="51">
        <v>0.17</v>
      </c>
      <c r="G39" s="51">
        <v>0.13</v>
      </c>
      <c r="H39" s="51">
        <v>0</v>
      </c>
      <c r="I39" s="49">
        <f t="shared" si="1"/>
        <v>33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v>576</v>
      </c>
      <c r="C40" s="60">
        <v>4</v>
      </c>
      <c r="D40" s="60">
        <v>72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28.4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v>639</v>
      </c>
      <c r="C41" s="60">
        <v>5</v>
      </c>
      <c r="D41" s="60">
        <v>77</v>
      </c>
      <c r="E41" s="51">
        <v>0.7</v>
      </c>
      <c r="F41" s="51">
        <v>0.17</v>
      </c>
      <c r="G41" s="51">
        <v>0.13</v>
      </c>
      <c r="H41" s="51">
        <v>0</v>
      </c>
      <c r="I41" s="53">
        <f t="shared" si="1"/>
        <v>27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v>686</v>
      </c>
      <c r="C42" s="60">
        <v>6</v>
      </c>
      <c r="D42" s="60">
        <v>64</v>
      </c>
      <c r="E42" s="51">
        <v>0.7</v>
      </c>
      <c r="F42" s="51">
        <v>0.17</v>
      </c>
      <c r="G42" s="51">
        <v>0.13</v>
      </c>
      <c r="H42" s="51">
        <v>0</v>
      </c>
      <c r="I42" s="53">
        <f t="shared" si="1"/>
        <v>24.8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50</v>
      </c>
      <c r="B43" s="60">
        <v>724</v>
      </c>
      <c r="C43" s="60">
        <v>7</v>
      </c>
      <c r="D43" s="60">
        <v>62</v>
      </c>
      <c r="E43" s="51">
        <v>0.7</v>
      </c>
      <c r="F43" s="51">
        <v>0.17</v>
      </c>
      <c r="G43" s="51">
        <v>0.13</v>
      </c>
      <c r="H43" s="51">
        <v>0</v>
      </c>
      <c r="I43" s="49">
        <f t="shared" si="1"/>
        <v>20.399999999999999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55</v>
      </c>
      <c r="B44" s="60">
        <v>739</v>
      </c>
      <c r="C44" s="60">
        <v>8</v>
      </c>
      <c r="D44" s="60">
        <v>46</v>
      </c>
      <c r="E44" s="51">
        <v>0.7</v>
      </c>
      <c r="F44" s="51">
        <v>0.17</v>
      </c>
      <c r="G44" s="51">
        <v>0.13</v>
      </c>
      <c r="H44" s="51">
        <v>0</v>
      </c>
      <c r="I44" s="49">
        <f t="shared" si="1"/>
        <v>15.4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60</v>
      </c>
      <c r="B45" s="60">
        <v>754</v>
      </c>
      <c r="C45" s="60">
        <v>9</v>
      </c>
      <c r="D45" s="60">
        <v>35</v>
      </c>
      <c r="E45" s="51">
        <v>0.7</v>
      </c>
      <c r="F45" s="51">
        <v>0.17</v>
      </c>
      <c r="G45" s="51">
        <v>0.13</v>
      </c>
      <c r="H45" s="51">
        <v>0</v>
      </c>
      <c r="I45" s="49">
        <f t="shared" si="1"/>
        <v>12.2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65</v>
      </c>
      <c r="B46" s="60">
        <v>769</v>
      </c>
      <c r="C46" s="60" t="s">
        <v>324</v>
      </c>
      <c r="D46" s="60">
        <v>769</v>
      </c>
      <c r="E46" s="51">
        <v>0.7</v>
      </c>
      <c r="F46" s="51">
        <v>0.17</v>
      </c>
      <c r="G46" s="51">
        <v>0.13</v>
      </c>
      <c r="H46" s="51">
        <v>0</v>
      </c>
      <c r="I46" s="49">
        <f t="shared" si="1"/>
        <v>10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44</v>
      </c>
      <c r="C62" s="60">
        <v>1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2.2000000000000002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84</v>
      </c>
      <c r="C63" s="60">
        <v>2</v>
      </c>
      <c r="D63" s="60">
        <v>15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128</v>
      </c>
      <c r="C64" s="60">
        <v>3</v>
      </c>
      <c r="D64" s="60">
        <v>21</v>
      </c>
      <c r="E64" s="51">
        <v>0.7</v>
      </c>
      <c r="F64" s="51">
        <v>0.17</v>
      </c>
      <c r="G64" s="51">
        <v>0.13</v>
      </c>
      <c r="H64" s="51">
        <v>0</v>
      </c>
      <c r="I64" s="49">
        <f>IF(A64&lt;&gt;0,(B64-(B63-D63))/(A64-A63),"")</f>
        <v>11.8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174</v>
      </c>
      <c r="C65" s="60">
        <v>4</v>
      </c>
      <c r="D65" s="60">
        <v>21</v>
      </c>
      <c r="E65" s="51">
        <v>0.7</v>
      </c>
      <c r="F65" s="51">
        <v>0.17</v>
      </c>
      <c r="G65" s="51">
        <v>0.13</v>
      </c>
      <c r="H65" s="51">
        <v>0</v>
      </c>
      <c r="I65" s="49">
        <f>IF(A65&lt;&gt;0,(B65-(B64-D64))/(A65-A64),"")</f>
        <v>13.4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218</v>
      </c>
      <c r="C66" s="60">
        <v>5</v>
      </c>
      <c r="D66" s="60">
        <v>21</v>
      </c>
      <c r="E66" s="51">
        <v>0.7</v>
      </c>
      <c r="F66" s="51">
        <v>0.17</v>
      </c>
      <c r="G66" s="51">
        <v>0.13</v>
      </c>
      <c r="H66" s="51">
        <v>0</v>
      </c>
      <c r="I66" s="49">
        <f t="shared" ref="I66:I81" si="2">IF(A66&lt;&gt;0,(B66-(B65-D65))/(A66-A65),"")</f>
        <v>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260</v>
      </c>
      <c r="C67" s="60">
        <v>6</v>
      </c>
      <c r="D67" s="60">
        <v>21</v>
      </c>
      <c r="E67" s="51">
        <v>0.7</v>
      </c>
      <c r="F67" s="51">
        <v>0.17</v>
      </c>
      <c r="G67" s="51">
        <v>0.13</v>
      </c>
      <c r="H67" s="51">
        <v>0</v>
      </c>
      <c r="I67" s="49">
        <f t="shared" si="2"/>
        <v>12.6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297</v>
      </c>
      <c r="C68" s="60">
        <v>7</v>
      </c>
      <c r="D68" s="60">
        <v>21</v>
      </c>
      <c r="E68" s="51">
        <v>0.7</v>
      </c>
      <c r="F68" s="51">
        <v>0.17</v>
      </c>
      <c r="G68" s="51">
        <v>0.13</v>
      </c>
      <c r="H68" s="51">
        <v>0</v>
      </c>
      <c r="I68" s="49">
        <f t="shared" si="2"/>
        <v>11.6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330</v>
      </c>
      <c r="C69" s="50">
        <v>8</v>
      </c>
      <c r="D69" s="50">
        <v>16</v>
      </c>
      <c r="E69" s="51">
        <v>0.7</v>
      </c>
      <c r="F69" s="51">
        <v>0.17</v>
      </c>
      <c r="G69" s="51">
        <v>0.13</v>
      </c>
      <c r="H69" s="51">
        <v>0</v>
      </c>
      <c r="I69" s="49">
        <f t="shared" si="2"/>
        <v>10.8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358</v>
      </c>
      <c r="C70" s="50">
        <v>9</v>
      </c>
      <c r="D70" s="50">
        <v>13</v>
      </c>
      <c r="E70" s="51">
        <v>0.7</v>
      </c>
      <c r="F70" s="51">
        <v>0.17</v>
      </c>
      <c r="G70" s="51">
        <v>0.13</v>
      </c>
      <c r="H70" s="51">
        <v>0</v>
      </c>
      <c r="I70" s="49">
        <f t="shared" si="2"/>
        <v>8.8000000000000007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382</v>
      </c>
      <c r="C71" s="50">
        <v>10</v>
      </c>
      <c r="D71" s="50">
        <v>11</v>
      </c>
      <c r="E71" s="51">
        <v>0.7</v>
      </c>
      <c r="F71" s="51">
        <v>0.17</v>
      </c>
      <c r="G71" s="51">
        <v>0.13</v>
      </c>
      <c r="H71" s="51">
        <v>0</v>
      </c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403</v>
      </c>
      <c r="C72" s="50">
        <v>11</v>
      </c>
      <c r="D72" s="50">
        <v>10</v>
      </c>
      <c r="E72" s="51">
        <v>0.7</v>
      </c>
      <c r="F72" s="51">
        <v>0.17</v>
      </c>
      <c r="G72" s="51">
        <v>0.13</v>
      </c>
      <c r="H72" s="51">
        <v>0</v>
      </c>
      <c r="I72" s="49">
        <f t="shared" si="2"/>
        <v>6.4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420</v>
      </c>
      <c r="C73" s="50">
        <v>12</v>
      </c>
      <c r="D73" s="50">
        <v>9</v>
      </c>
      <c r="E73" s="51">
        <v>0.7</v>
      </c>
      <c r="F73" s="51">
        <v>0.17</v>
      </c>
      <c r="G73" s="51">
        <v>0.13</v>
      </c>
      <c r="H73" s="51">
        <v>0</v>
      </c>
      <c r="I73" s="49">
        <f t="shared" si="2"/>
        <v>5.4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435</v>
      </c>
      <c r="C74" s="50">
        <v>13</v>
      </c>
      <c r="D74" s="50">
        <v>7</v>
      </c>
      <c r="E74" s="51">
        <v>0.7</v>
      </c>
      <c r="F74" s="51">
        <v>0.17</v>
      </c>
      <c r="G74" s="51">
        <v>0.13</v>
      </c>
      <c r="H74" s="51">
        <v>0</v>
      </c>
      <c r="I74" s="49">
        <f t="shared" si="2"/>
        <v>4.8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0">
        <v>446</v>
      </c>
      <c r="C75" s="50">
        <v>14</v>
      </c>
      <c r="D75" s="50">
        <v>6</v>
      </c>
      <c r="E75" s="51">
        <v>0.7</v>
      </c>
      <c r="F75" s="51">
        <v>0.17</v>
      </c>
      <c r="G75" s="51">
        <v>0.13</v>
      </c>
      <c r="H75" s="51">
        <v>0</v>
      </c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456</v>
      </c>
      <c r="C76" s="50">
        <v>15</v>
      </c>
      <c r="D76" s="50">
        <v>5</v>
      </c>
      <c r="E76" s="51">
        <v>0.7</v>
      </c>
      <c r="F76" s="51">
        <v>0.17</v>
      </c>
      <c r="G76" s="51">
        <v>0.13</v>
      </c>
      <c r="H76" s="51">
        <v>0</v>
      </c>
      <c r="I76" s="49">
        <f t="shared" si="2"/>
        <v>3.2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95</v>
      </c>
      <c r="B77" s="50">
        <v>463</v>
      </c>
      <c r="C77" s="50">
        <v>16</v>
      </c>
      <c r="D77" s="50">
        <v>4</v>
      </c>
      <c r="E77" s="51">
        <v>0.7</v>
      </c>
      <c r="F77" s="51">
        <v>0.17</v>
      </c>
      <c r="G77" s="51">
        <v>0.13</v>
      </c>
      <c r="H77" s="51">
        <v>0</v>
      </c>
      <c r="I77" s="49">
        <f t="shared" si="2"/>
        <v>2.4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100</v>
      </c>
      <c r="B78" s="50">
        <v>469</v>
      </c>
      <c r="C78" s="50" t="s">
        <v>324</v>
      </c>
      <c r="D78" s="50">
        <v>469</v>
      </c>
      <c r="E78" s="51">
        <v>0.7</v>
      </c>
      <c r="F78" s="51">
        <v>0.17</v>
      </c>
      <c r="G78" s="51">
        <v>0.13</v>
      </c>
      <c r="H78" s="51">
        <v>0</v>
      </c>
      <c r="I78" s="49">
        <f t="shared" si="2"/>
        <v>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Pin laricio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17</v>
      </c>
      <c r="B88" s="60">
        <v>118</v>
      </c>
      <c r="C88" s="60">
        <v>1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6.9411764705882355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137</v>
      </c>
      <c r="C89" s="60">
        <v>2</v>
      </c>
      <c r="D89" s="60">
        <v>15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6.333333333333333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204</v>
      </c>
      <c r="C90" s="60">
        <v>3</v>
      </c>
      <c r="D90" s="60">
        <v>36</v>
      </c>
      <c r="E90" s="87">
        <v>0.7</v>
      </c>
      <c r="F90" s="87">
        <v>0.17</v>
      </c>
      <c r="G90" s="87">
        <v>0.13</v>
      </c>
      <c r="H90" s="87">
        <v>0</v>
      </c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256</v>
      </c>
      <c r="C91" s="60">
        <v>4</v>
      </c>
      <c r="D91" s="60">
        <v>54</v>
      </c>
      <c r="E91" s="87">
        <v>0.7</v>
      </c>
      <c r="F91" s="87">
        <v>0.17</v>
      </c>
      <c r="G91" s="87">
        <v>0.13</v>
      </c>
      <c r="H91" s="87">
        <v>0</v>
      </c>
      <c r="I91" s="53">
        <f t="shared" si="3"/>
        <v>17.600000000000001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35</v>
      </c>
      <c r="B92" s="60">
        <v>299</v>
      </c>
      <c r="C92" s="60">
        <v>5</v>
      </c>
      <c r="D92" s="60">
        <v>55</v>
      </c>
      <c r="E92" s="87">
        <v>0.7</v>
      </c>
      <c r="F92" s="87">
        <v>0.17</v>
      </c>
      <c r="G92" s="87">
        <v>0.13</v>
      </c>
      <c r="H92" s="87">
        <v>0</v>
      </c>
      <c r="I92" s="53">
        <f t="shared" si="3"/>
        <v>19.399999999999999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40</v>
      </c>
      <c r="B93" s="60">
        <v>332</v>
      </c>
      <c r="C93" s="60">
        <v>6</v>
      </c>
      <c r="D93" s="60">
        <v>48</v>
      </c>
      <c r="E93" s="87">
        <v>0.7</v>
      </c>
      <c r="F93" s="87">
        <v>0.17</v>
      </c>
      <c r="G93" s="87">
        <v>0.13</v>
      </c>
      <c r="H93" s="87">
        <v>0</v>
      </c>
      <c r="I93" s="53">
        <f t="shared" si="3"/>
        <v>17.600000000000001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45</v>
      </c>
      <c r="B94" s="60">
        <v>384</v>
      </c>
      <c r="C94" s="60">
        <v>7</v>
      </c>
      <c r="D94" s="60">
        <v>57</v>
      </c>
      <c r="E94" s="87">
        <v>0.7</v>
      </c>
      <c r="F94" s="87">
        <v>0.17</v>
      </c>
      <c r="G94" s="87">
        <v>0.13</v>
      </c>
      <c r="H94" s="87">
        <v>0</v>
      </c>
      <c r="I94" s="53">
        <f t="shared" si="3"/>
        <v>20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50</v>
      </c>
      <c r="B95" s="60">
        <v>414</v>
      </c>
      <c r="C95" s="60">
        <v>8</v>
      </c>
      <c r="D95" s="60">
        <v>47</v>
      </c>
      <c r="E95" s="87">
        <v>0.7</v>
      </c>
      <c r="F95" s="87">
        <v>0.17</v>
      </c>
      <c r="G95" s="87">
        <v>0.13</v>
      </c>
      <c r="H95" s="87">
        <v>0</v>
      </c>
      <c r="I95" s="53">
        <f t="shared" si="3"/>
        <v>17.399999999999999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55</v>
      </c>
      <c r="B96" s="60">
        <v>463</v>
      </c>
      <c r="C96" s="60">
        <v>9</v>
      </c>
      <c r="D96" s="60">
        <v>48</v>
      </c>
      <c r="E96" s="87">
        <v>0.7</v>
      </c>
      <c r="F96" s="87">
        <v>0.17</v>
      </c>
      <c r="G96" s="87">
        <v>0.13</v>
      </c>
      <c r="H96" s="87">
        <v>0</v>
      </c>
      <c r="I96" s="53">
        <f t="shared" si="3"/>
        <v>19.2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60</v>
      </c>
      <c r="B97" s="60">
        <v>500</v>
      </c>
      <c r="C97" s="60">
        <v>10</v>
      </c>
      <c r="D97" s="60">
        <v>32</v>
      </c>
      <c r="E97" s="87">
        <v>0.7</v>
      </c>
      <c r="F97" s="87">
        <v>0.17</v>
      </c>
      <c r="G97" s="87">
        <v>0.13</v>
      </c>
      <c r="H97" s="87">
        <v>0</v>
      </c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65</v>
      </c>
      <c r="B98" s="60">
        <v>555</v>
      </c>
      <c r="C98" s="60" t="s">
        <v>324</v>
      </c>
      <c r="D98" s="60">
        <v>555</v>
      </c>
      <c r="E98" s="87">
        <v>0.7</v>
      </c>
      <c r="F98" s="87">
        <v>0.17</v>
      </c>
      <c r="G98" s="87">
        <v>0.13</v>
      </c>
      <c r="H98" s="87">
        <v>0</v>
      </c>
      <c r="I98" s="53">
        <f t="shared" si="3"/>
        <v>17.399999999999999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Pin laricio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22</v>
      </c>
      <c r="B114" s="60">
        <v>123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25</v>
      </c>
      <c r="B115" s="60">
        <v>144</v>
      </c>
      <c r="C115" s="50">
        <v>1</v>
      </c>
      <c r="D115" s="60">
        <v>17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30</v>
      </c>
      <c r="B116" s="60">
        <v>194</v>
      </c>
      <c r="C116" s="50">
        <v>2</v>
      </c>
      <c r="D116" s="60">
        <v>34</v>
      </c>
      <c r="E116" s="51">
        <v>0.7</v>
      </c>
      <c r="F116" s="51">
        <v>0.17</v>
      </c>
      <c r="G116" s="51">
        <v>0.13</v>
      </c>
      <c r="H116" s="51">
        <v>0</v>
      </c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35</v>
      </c>
      <c r="B117" s="60">
        <v>233</v>
      </c>
      <c r="C117" s="50">
        <v>3</v>
      </c>
      <c r="D117" s="60">
        <v>41</v>
      </c>
      <c r="E117" s="51">
        <v>0.7</v>
      </c>
      <c r="F117" s="51">
        <v>0.17</v>
      </c>
      <c r="G117" s="51">
        <v>0.13</v>
      </c>
      <c r="H117" s="51">
        <v>0</v>
      </c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40</v>
      </c>
      <c r="B118" s="60">
        <v>264</v>
      </c>
      <c r="C118" s="50">
        <v>4</v>
      </c>
      <c r="D118" s="60">
        <v>41</v>
      </c>
      <c r="E118" s="51">
        <v>0.7</v>
      </c>
      <c r="F118" s="51">
        <v>0.17</v>
      </c>
      <c r="G118" s="51">
        <v>0.13</v>
      </c>
      <c r="H118" s="51">
        <v>0</v>
      </c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45</v>
      </c>
      <c r="B119" s="60">
        <v>306</v>
      </c>
      <c r="C119" s="50">
        <v>5</v>
      </c>
      <c r="D119" s="60">
        <v>41</v>
      </c>
      <c r="E119" s="51">
        <v>0.7</v>
      </c>
      <c r="F119" s="51">
        <v>0.17</v>
      </c>
      <c r="G119" s="51">
        <v>0.13</v>
      </c>
      <c r="H119" s="51">
        <v>0</v>
      </c>
      <c r="I119" s="53">
        <f t="shared" si="4"/>
        <v>16.600000000000001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50</v>
      </c>
      <c r="B120" s="60">
        <v>352</v>
      </c>
      <c r="C120" s="60">
        <v>6</v>
      </c>
      <c r="D120" s="60">
        <v>53</v>
      </c>
      <c r="E120" s="87">
        <v>0.7</v>
      </c>
      <c r="F120" s="87">
        <v>0.17</v>
      </c>
      <c r="G120" s="87">
        <v>0.13</v>
      </c>
      <c r="H120" s="87">
        <v>0</v>
      </c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58</v>
      </c>
      <c r="B121" s="60">
        <v>440</v>
      </c>
      <c r="C121" s="60">
        <v>7</v>
      </c>
      <c r="D121" s="60">
        <v>78</v>
      </c>
      <c r="E121" s="87">
        <v>0.7</v>
      </c>
      <c r="F121" s="87">
        <v>0.17</v>
      </c>
      <c r="G121" s="87">
        <v>0.13</v>
      </c>
      <c r="H121" s="87">
        <v>0</v>
      </c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66</v>
      </c>
      <c r="B122" s="60">
        <v>495</v>
      </c>
      <c r="C122" s="60">
        <v>8</v>
      </c>
      <c r="D122" s="60">
        <v>65</v>
      </c>
      <c r="E122" s="87">
        <v>0.7</v>
      </c>
      <c r="F122" s="87">
        <v>0.17</v>
      </c>
      <c r="G122" s="87">
        <v>0.13</v>
      </c>
      <c r="H122" s="87">
        <v>0</v>
      </c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74</v>
      </c>
      <c r="B123" s="60">
        <v>533</v>
      </c>
      <c r="C123" s="60">
        <v>9</v>
      </c>
      <c r="D123" s="60">
        <v>37</v>
      </c>
      <c r="E123" s="87">
        <v>0.7</v>
      </c>
      <c r="F123" s="87">
        <v>0.17</v>
      </c>
      <c r="G123" s="87">
        <v>0.13</v>
      </c>
      <c r="H123" s="87">
        <v>0</v>
      </c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82</v>
      </c>
      <c r="B124" s="60">
        <v>567</v>
      </c>
      <c r="C124" s="60" t="s">
        <v>324</v>
      </c>
      <c r="D124" s="60">
        <v>567</v>
      </c>
      <c r="E124" s="87">
        <v>0.7</v>
      </c>
      <c r="F124" s="87">
        <v>0.17</v>
      </c>
      <c r="G124" s="87">
        <v>0.13</v>
      </c>
      <c r="H124" s="87">
        <v>0</v>
      </c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Pin sylvestre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86</v>
      </c>
      <c r="C140" s="50">
        <v>1</v>
      </c>
      <c r="D140" s="60">
        <v>12</v>
      </c>
      <c r="E140" s="51">
        <v>0</v>
      </c>
      <c r="F140" s="51">
        <v>0.56000000000000005</v>
      </c>
      <c r="G140" s="51">
        <v>0.44</v>
      </c>
      <c r="H140" s="51">
        <v>0</v>
      </c>
      <c r="I140" s="57">
        <f>IFERROR(B140/A140,"")</f>
        <v>3.44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v>129</v>
      </c>
      <c r="C141" s="50">
        <v>2</v>
      </c>
      <c r="D141" s="60">
        <v>23</v>
      </c>
      <c r="E141" s="51">
        <v>0.7</v>
      </c>
      <c r="F141" s="51">
        <v>0.17</v>
      </c>
      <c r="G141" s="51">
        <v>0.13</v>
      </c>
      <c r="H141" s="51">
        <v>0</v>
      </c>
      <c r="I141" s="57">
        <f t="shared" ref="I141:I159" si="5">IF(A141&lt;&gt;0,(B141-(B140-D140))/(A141-A140),"")</f>
        <v>11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166</v>
      </c>
      <c r="C142" s="50">
        <v>3</v>
      </c>
      <c r="D142" s="60">
        <v>28</v>
      </c>
      <c r="E142" s="51">
        <v>0.7</v>
      </c>
      <c r="F142" s="51">
        <v>0.17</v>
      </c>
      <c r="G142" s="51">
        <v>0.13</v>
      </c>
      <c r="H142" s="51">
        <v>0</v>
      </c>
      <c r="I142" s="57">
        <f t="shared" si="5"/>
        <v>12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198</v>
      </c>
      <c r="C143" s="50">
        <v>4</v>
      </c>
      <c r="D143" s="60">
        <v>37</v>
      </c>
      <c r="E143" s="51">
        <v>0.7</v>
      </c>
      <c r="F143" s="51">
        <v>0.17</v>
      </c>
      <c r="G143" s="51">
        <v>0.13</v>
      </c>
      <c r="H143" s="51">
        <v>0</v>
      </c>
      <c r="I143" s="57">
        <f t="shared" si="5"/>
        <v>12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50</v>
      </c>
      <c r="B144" s="60">
        <v>258</v>
      </c>
      <c r="C144" s="50">
        <v>5</v>
      </c>
      <c r="D144" s="60">
        <v>65</v>
      </c>
      <c r="E144" s="51">
        <v>0.7</v>
      </c>
      <c r="F144" s="51">
        <v>0.17</v>
      </c>
      <c r="G144" s="51">
        <v>0.13</v>
      </c>
      <c r="H144" s="51">
        <v>0</v>
      </c>
      <c r="I144" s="57">
        <f t="shared" si="5"/>
        <v>9.6999999999999993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60</v>
      </c>
      <c r="B145" s="60">
        <v>334</v>
      </c>
      <c r="C145" s="50">
        <v>6</v>
      </c>
      <c r="D145" s="60">
        <v>60</v>
      </c>
      <c r="E145" s="51">
        <v>0.7</v>
      </c>
      <c r="F145" s="51">
        <v>0.17</v>
      </c>
      <c r="G145" s="51">
        <v>0.13</v>
      </c>
      <c r="H145" s="51">
        <v>0</v>
      </c>
      <c r="I145" s="57">
        <f t="shared" si="5"/>
        <v>14.1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70</v>
      </c>
      <c r="B146" s="60">
        <v>372</v>
      </c>
      <c r="C146" s="50">
        <v>7</v>
      </c>
      <c r="D146" s="60">
        <v>52</v>
      </c>
      <c r="E146" s="51">
        <v>0.7</v>
      </c>
      <c r="F146" s="51">
        <v>0.17</v>
      </c>
      <c r="G146" s="51">
        <v>0.13</v>
      </c>
      <c r="H146" s="51">
        <v>0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80</v>
      </c>
      <c r="B147" s="60">
        <v>404</v>
      </c>
      <c r="C147" s="50" t="s">
        <v>324</v>
      </c>
      <c r="D147" s="60">
        <v>404</v>
      </c>
      <c r="E147" s="51">
        <v>0.7</v>
      </c>
      <c r="F147" s="51">
        <v>0.17</v>
      </c>
      <c r="G147" s="51">
        <v>0.13</v>
      </c>
      <c r="H147" s="51">
        <v>0</v>
      </c>
      <c r="I147" s="57">
        <f>IF(A147&lt;&gt;0,(B147-(B146-D146))/(A147-A146),"")</f>
        <v>8.4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90" zoomScaleNormal="90" workbookViewId="0">
      <selection activeCell="G18" sqref="G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Mélèze d'Europe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Pin laricio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Pin laricio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Pin sylvestre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467.03705646400994</v>
      </c>
      <c r="T3" s="59">
        <f>IF('Données projet'!E9&gt;30,$R$33-$H$33,LOOKUP('Données projet'!$E$9,$A$3:$A$203,R3:R203)-LOOKUP('Données projet'!$E$9,$A$3:$A$203,$H$3:$H$203))</f>
        <v>575.68119027684361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252.44760109054914</v>
      </c>
      <c r="AO3" s="59">
        <f>IF('Données projet'!E10&gt;30,$AM$33-$H$33,LOOKUP('Données projet'!$E$10,$A$3:$A$203,AM3:AM203)-LOOKUP('Données projet'!$E$10,$A$3:$A$203,$H$3:$H$203))</f>
        <v>121.75506329394773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260.97162394079265</v>
      </c>
      <c r="BJ3" s="59">
        <f>IF('Données projet'!E11&gt;30,$BH$33-$H$33,LOOKUP('Données projet'!$E$11,$A$3:$A$203,BH3:BH203)-LOOKUP('Données projet'!$E$11,$A$3:$A$203,$H$3:$H$203))</f>
        <v>279.1836614199691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264.70281355687837</v>
      </c>
      <c r="CE3" s="59">
        <f>IF('Données projet'!E12&gt;30,$CC$33-$H$33,LOOKUP('Données projet'!$E$12,$A$3:$A$203,CC3:CC203)-LOOKUP('Données projet'!$E$12,$A$3:$A$203,$H$3:$H$203))</f>
        <v>199.74194600786768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149.8619613776458</v>
      </c>
      <c r="CZ3" s="59">
        <f>IF('Données projet'!E13&gt;30,$CX$33-$H$33,LOOKUP('Données projet'!$E$13,$A$3:$A$203,CX3:CX203)-LOOKUP('Données projet'!$E$13,$A$3:$A$203,$H$3:$H$203))</f>
        <v>108.55560257938146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1">
        <f>IFERROR(EXP(-1.0587+0.8836*LN(C4)+0.284),0)</f>
        <v>0.38305180611771755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67">
        <f t="shared" ref="H4:H67" si="1">(B4+E4+F4)*44/12+(C4+D4)*0.475*44/12</f>
        <v>295.41332189565503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10.8</v>
      </c>
      <c r="N4" s="13">
        <f>IF('Données projet'!$A$36&gt;35,N3+M4-V3,IF(A4&lt;'Données projet'!$A$36,$K$205^A4,IF(A4='Données projet'!$A$36,'Données projet'!$B$36,N3+M4-V3)))</f>
        <v>1.4037863041747067</v>
      </c>
      <c r="O4" s="13">
        <f>N4*VLOOKUP('Données projet'!$B$9,Paramètres!$A$1:$I$89,3,0)*VLOOKUP('Données projet'!$B$9,Paramètres!$A$1:$I$89,5,0)</f>
        <v>0.78471654403366109</v>
      </c>
      <c r="P4" s="13">
        <f>EXP(-1.0587+0.8836*LN(O4)+0.284)</f>
        <v>0.37198061042729702</v>
      </c>
      <c r="Q4" s="20">
        <f t="shared" ref="Q4:Q34" si="2">(O4+P4)*0.475*44/12</f>
        <v>2.0145808773528358</v>
      </c>
      <c r="R4" s="59">
        <f t="shared" si="0"/>
        <v>295.34791421068616</v>
      </c>
      <c r="S4" s="59">
        <f ca="1">AVERAGE(OFFSET($R$3,0,0,'Données projet'!$E$9+1,1))-AVERAGE(OFFSET($H$3,0,0,'Données projet'!$E$9+1,1))</f>
        <v>467.03705646400994</v>
      </c>
      <c r="T4" s="59">
        <f>$T$3</f>
        <v>575.68119027684361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2.2000000000000002</v>
      </c>
      <c r="AI4" s="13">
        <f>IF('Données projet'!$A$62&gt;35,AI3+AH4-AQ3,IF(A4&lt;'Données projet'!$A$62,$AF$205^A4,IF(A4='Données projet'!$A$62,'Données projet'!$B$62,AI3+AH4-AQ3)))</f>
        <v>1.2082940414581886</v>
      </c>
      <c r="AJ4" s="13">
        <f>AI4*VLOOKUP('Données projet'!$B$10,Paramètres!$A$1:$I$89,3,0)*VLOOKUP('Données projet'!$B$10,Paramètres!$A$1:$I$89,5,0)</f>
        <v>0.7539754818699097</v>
      </c>
      <c r="AK4" s="13">
        <f>EXP(-1.0587+0.8836*LN(AJ4)+0.284)</f>
        <v>0.3590747837196302</v>
      </c>
      <c r="AL4" s="20">
        <f t="shared" ref="AL4:AL67" si="4">(AJ4+AK4)*0.475*44/12</f>
        <v>1.9385625459017823</v>
      </c>
      <c r="AM4" s="59">
        <f t="shared" ref="AM4:AM67" si="5">AL4+(AD4+AE4)*44/12</f>
        <v>295.2718958792351</v>
      </c>
      <c r="AN4" s="59">
        <f ca="1">AVERAGE(OFFSET($AM$3,0,0,'Données projet'!$E$10+1,1))-AVERAGE(OFFSET($H$3,0,0,'Données projet'!$E$10+1,1))</f>
        <v>252.44760109054914</v>
      </c>
      <c r="AO4" s="59">
        <f>$AO$3</f>
        <v>121.75506329394773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6.9411764705882355</v>
      </c>
      <c r="BD4" s="12">
        <f>IF('Données projet'!$A$88&gt;35,BD3+BC4-BL3,IF(A4&lt;'Données projet'!$A$88,$BA$205^A4,IF(A4='Données projet'!$A$88,'Données projet'!$B$88,BD3+BC4-BL3)))</f>
        <v>1.3239616704988877</v>
      </c>
      <c r="BE4" s="13">
        <f>BD4*VLOOKUP('Données projet'!$B$11,Paramètres!$A$1:$I$89,3,0)*VLOOKUP('Données projet'!$B$11,Paramètres!$A$1:$I$89,5,0)</f>
        <v>0.79172907895833489</v>
      </c>
      <c r="BF4" s="13">
        <f>EXP(-1.0587+0.8836*LN(BE4)+0.284)</f>
        <v>0.37491631974909195</v>
      </c>
      <c r="BG4" s="20">
        <f t="shared" ref="BG4:BG67" si="7">(BE4+BF4)*0.475*44/12</f>
        <v>2.031907402748768</v>
      </c>
      <c r="BH4" s="59">
        <f t="shared" ref="BH4:BH67" si="8">BG4+(AY4+AZ4)*44/12</f>
        <v>295.36524073608206</v>
      </c>
      <c r="BI4" s="59">
        <f ca="1">AVERAGE(OFFSET($BH$3,0,0,'Données projet'!$E$11+1,1))-AVERAGE(OFFSET($H$3,0,0,'Données projet'!$E$11+1,1))</f>
        <v>260.97162394079265</v>
      </c>
      <c r="BJ4" s="59">
        <f>$BJ$3</f>
        <v>279.1836614199691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295.24773087079586</v>
      </c>
      <c r="CD4" s="59">
        <f ca="1">AVERAGE(OFFSET($CC$3,0,0,'Données projet'!$E$12+1,1))-AVERAGE(OFFSET($H$3,0,0,'Données projet'!$E$12+1,1))</f>
        <v>264.70281355687837</v>
      </c>
      <c r="CE4" s="59">
        <f>$CE$3</f>
        <v>199.74194600786768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3.44</v>
      </c>
      <c r="CT4" s="12">
        <f>IF('Données projet'!$A$140&gt;35,CT3+CS4-DB3,IF(A4&lt;'Données projet'!$A$140,$CQ$205^A4,IF(A4='Données projet'!$A$140,'Données projet'!$B$140,CT3+CS4-DB3)))</f>
        <v>1.1950331096863402</v>
      </c>
      <c r="CU4" s="17">
        <f>CT4*VLOOKUP('Données projet'!$B$13,Paramètres!$A$1:$I$89,3,0)*VLOOKUP('Données projet'!$B$13,Paramètres!$A$1:$I$89,5,0)</f>
        <v>0.6835589387405866</v>
      </c>
      <c r="CV4" s="13">
        <f>EXP(-1.0587+0.8836*LN(CU4)+0.284)</f>
        <v>0.32927602411611678</v>
      </c>
      <c r="CW4" s="20">
        <f t="shared" ref="CW4:CW67" si="13">(CU4+CV4)*0.475*44/12</f>
        <v>1.764020893642092</v>
      </c>
      <c r="CX4" s="59">
        <f t="shared" ref="CX4:CX67" si="14">CW4+(CO4+CP4)*44/12</f>
        <v>295.09735422697543</v>
      </c>
      <c r="CY4" s="59">
        <f ca="1">AVERAGE(OFFSET($CX$3,0,0,'Données projet'!$E$13+1,1))-AVERAGE(OFFSET($H$3,0,0,'Données projet'!$E$13+1,1))</f>
        <v>149.8619613776458</v>
      </c>
      <c r="CZ4" s="59">
        <f>$CZ$3</f>
        <v>108.55560257938146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1">
        <f t="shared" ref="D5:D68" si="32">IFERROR(EXP(-1.0587+0.8836*LN(C5)+0.284),0)</f>
        <v>0.70672038512206192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67">
        <f t="shared" si="1"/>
        <v>297.38988467075421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10.8</v>
      </c>
      <c r="N5" s="13">
        <f>IF('Données projet'!$A$36&gt;35,N4+M5-V4,IF(A5&lt;'Données projet'!$A$36,$K$205^A5,IF(A5='Données projet'!$A$36,'Données projet'!$B$36,N4+M5-V4)))</f>
        <v>1.9706159877884823</v>
      </c>
      <c r="O5" s="13">
        <f>N5*VLOOKUP('Données projet'!$B$9,Paramètres!$A$1:$I$89,3,0)*VLOOKUP('Données projet'!$B$9,Paramètres!$A$1:$I$89,5,0)</f>
        <v>1.1015743371737616</v>
      </c>
      <c r="P5" s="13">
        <f t="shared" ref="P5:P68" si="33">EXP(-1.0587+0.8836*LN(O5)+0.284)</f>
        <v>0.50196734705126034</v>
      </c>
      <c r="Q5" s="20">
        <f t="shared" si="2"/>
        <v>2.7928351000252465</v>
      </c>
      <c r="R5" s="59">
        <f t="shared" si="0"/>
        <v>296.12616843335854</v>
      </c>
      <c r="S5" s="59">
        <f ca="1">AVERAGE(OFFSET($R$3,0,0,'Données projet'!$E$9+1,1))-AVERAGE(OFFSET($H$3,0,0,'Données projet'!$E$9+1,1))</f>
        <v>467.03705646400994</v>
      </c>
      <c r="T5" s="59">
        <f t="shared" ref="T5:T68" si="34">$T$3</f>
        <v>575.68119027684361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2.2000000000000002</v>
      </c>
      <c r="AI5" s="13">
        <f>IF('Données projet'!$A$62&gt;35,AI4+AH5-AQ4,IF(A5&lt;'Données projet'!$A$62,$AF$205^A5,IF(A5='Données projet'!$A$62,'Données projet'!$B$62,AI4+AH5-AQ4)))</f>
        <v>1.4599744906233629</v>
      </c>
      <c r="AJ5" s="13">
        <f>AI5*VLOOKUP('Données projet'!$B$10,Paramètres!$A$1:$I$89,3,0)*VLOOKUP('Données projet'!$B$10,Paramètres!$A$1:$I$89,5,0)</f>
        <v>0.91102408214897834</v>
      </c>
      <c r="AK5" s="13">
        <f t="shared" ref="AK5:AK68" si="35">EXP(-1.0587+0.8836*LN(AJ5)+0.284)</f>
        <v>0.42441687841717518</v>
      </c>
      <c r="AL5" s="20">
        <f t="shared" si="4"/>
        <v>2.3258930063193834</v>
      </c>
      <c r="AM5" s="59">
        <f t="shared" si="5"/>
        <v>295.65922633965272</v>
      </c>
      <c r="AN5" s="59">
        <f ca="1">AVERAGE(OFFSET($AM$3,0,0,'Données projet'!$E$10+1,1))-AVERAGE(OFFSET($H$3,0,0,'Données projet'!$E$10+1,1))</f>
        <v>252.44760109054914</v>
      </c>
      <c r="AO5" s="59">
        <f t="shared" ref="AO5:AO68" si="36">$AO$3</f>
        <v>121.75506329394773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6.9411764705882355</v>
      </c>
      <c r="BD5" s="12">
        <f>IF('Données projet'!$A$88&gt;35,BD4+BC5-BL4,IF(A5&lt;'Données projet'!$A$88,$BA$205^A5,IF(A5='Données projet'!$A$88,'Données projet'!$B$88,BD4+BC5-BL4)))</f>
        <v>1.7528745049502052</v>
      </c>
      <c r="BE5" s="13">
        <f>BD5*VLOOKUP('Données projet'!$B$11,Paramètres!$A$1:$I$89,3,0)*VLOOKUP('Données projet'!$B$11,Paramètres!$A$1:$I$89,5,0)</f>
        <v>1.0482189539602227</v>
      </c>
      <c r="BF5" s="13">
        <f t="shared" ref="BF5:BF68" si="37">EXP(-1.0587+0.8836*LN(BE5)+0.284)</f>
        <v>0.48042263342477459</v>
      </c>
      <c r="BG5" s="20">
        <f t="shared" si="7"/>
        <v>2.6623840980288702</v>
      </c>
      <c r="BH5" s="59">
        <f t="shared" si="8"/>
        <v>295.99571743136221</v>
      </c>
      <c r="BI5" s="59">
        <f ca="1">AVERAGE(OFFSET($BH$3,0,0,'Données projet'!$E$11+1,1))-AVERAGE(OFFSET($H$3,0,0,'Données projet'!$E$11+1,1))</f>
        <v>260.97162394079265</v>
      </c>
      <c r="BJ5" s="59">
        <f t="shared" ref="BJ5:BJ68" si="38">$BJ$3</f>
        <v>279.1836614199691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295.69646345569345</v>
      </c>
      <c r="CD5" s="59">
        <f ca="1">AVERAGE(OFFSET($CC$3,0,0,'Données projet'!$E$12+1,1))-AVERAGE(OFFSET($H$3,0,0,'Données projet'!$E$12+1,1))</f>
        <v>264.70281355687837</v>
      </c>
      <c r="CE5" s="59">
        <f t="shared" ref="CE5:CE68" si="40">$CE$3</f>
        <v>199.74194600786768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3.44</v>
      </c>
      <c r="CT5" s="12">
        <f>IF('Données projet'!$A$140&gt;35,CT4+CS5-DB4,IF(A5&lt;'Données projet'!$A$140,$CQ$205^A5,IF(A5='Données projet'!$A$140,'Données projet'!$B$140,CT4+CS5-DB4)))</f>
        <v>1.4281041332466045</v>
      </c>
      <c r="CU5" s="17">
        <f>CT5*VLOOKUP('Données projet'!$B$13,Paramètres!$A$1:$I$89,3,0)*VLOOKUP('Données projet'!$B$13,Paramètres!$A$1:$I$89,5,0)</f>
        <v>0.81687556421705776</v>
      </c>
      <c r="CV5" s="13">
        <f t="shared" ref="CV5:CV68" si="41">EXP(-1.0587+0.8836*LN(CU5)+0.284)</f>
        <v>0.38541891318053523</v>
      </c>
      <c r="CW5" s="20">
        <f t="shared" si="13"/>
        <v>2.093996214800808</v>
      </c>
      <c r="CX5" s="59">
        <f t="shared" si="14"/>
        <v>295.42732954813414</v>
      </c>
      <c r="CY5" s="59">
        <f ca="1">AVERAGE(OFFSET($CX$3,0,0,'Données projet'!$E$13+1,1))-AVERAGE(OFFSET($H$3,0,0,'Données projet'!$E$13+1,1))</f>
        <v>149.8619613776458</v>
      </c>
      <c r="CZ5" s="59">
        <f t="shared" ref="CZ5:CZ68" si="42">$CZ$3</f>
        <v>108.55560257938146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1">
        <f t="shared" si="32"/>
        <v>1.0112111626203175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67">
        <f t="shared" si="1"/>
        <v>299.33304610823035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10.8</v>
      </c>
      <c r="N6" s="13">
        <f>IF('Données projet'!$A$36&gt;35,N5+M6-V5,IF(A6&lt;'Données projet'!$A$36,$K$205^A6,IF(A6='Données projet'!$A$36,'Données projet'!$B$36,N5+M6-V5)))</f>
        <v>2.7663237344451828</v>
      </c>
      <c r="O6" s="13">
        <f>N6*VLOOKUP('Données projet'!$B$9,Paramètres!$A$1:$I$89,3,0)*VLOOKUP('Données projet'!$B$9,Paramètres!$A$1:$I$89,5,0)</f>
        <v>1.5463749675548573</v>
      </c>
      <c r="P6" s="13">
        <f t="shared" si="33"/>
        <v>0.6773772891448272</v>
      </c>
      <c r="Q6" s="20">
        <f t="shared" si="2"/>
        <v>3.8730351804186167</v>
      </c>
      <c r="R6" s="59">
        <f t="shared" si="0"/>
        <v>297.20636851375195</v>
      </c>
      <c r="S6" s="59">
        <f ca="1">AVERAGE(OFFSET($R$3,0,0,'Données projet'!$E$9+1,1))-AVERAGE(OFFSET($H$3,0,0,'Données projet'!$E$9+1,1))</f>
        <v>467.03705646400994</v>
      </c>
      <c r="T6" s="59">
        <f t="shared" si="34"/>
        <v>575.68119027684361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2.2000000000000002</v>
      </c>
      <c r="AI6" s="13">
        <f>IF('Données projet'!$A$62&gt;35,AI5+AH6-AQ5,IF(A6&lt;'Données projet'!$A$62,$AF$205^A6,IF(A6='Données projet'!$A$62,'Données projet'!$B$62,AI5+AH6-AQ5)))</f>
        <v>1.7640784777011635</v>
      </c>
      <c r="AJ6" s="13">
        <f>AI6*VLOOKUP('Données projet'!$B$10,Paramètres!$A$1:$I$89,3,0)*VLOOKUP('Données projet'!$B$10,Paramètres!$A$1:$I$89,5,0)</f>
        <v>1.1007849700855261</v>
      </c>
      <c r="AK6" s="13">
        <f t="shared" si="35"/>
        <v>0.50164950270088204</v>
      </c>
      <c r="AL6" s="20">
        <f t="shared" si="4"/>
        <v>2.7909067067696607</v>
      </c>
      <c r="AM6" s="59">
        <f t="shared" si="5"/>
        <v>296.12424004010296</v>
      </c>
      <c r="AN6" s="59">
        <f ca="1">AVERAGE(OFFSET($AM$3,0,0,'Données projet'!$E$10+1,1))-AVERAGE(OFFSET($H$3,0,0,'Données projet'!$E$10+1,1))</f>
        <v>252.44760109054914</v>
      </c>
      <c r="AO6" s="59">
        <f t="shared" si="36"/>
        <v>121.75506329394773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6.9411764705882355</v>
      </c>
      <c r="BD6" s="12">
        <f>IF('Données projet'!$A$88&gt;35,BD5+BC6-BL5,IF(A6&lt;'Données projet'!$A$88,$BA$205^A6,IF(A6='Données projet'!$A$88,'Données projet'!$B$88,BD5+BC6-BL5)))</f>
        <v>2.3207386577487843</v>
      </c>
      <c r="BE6" s="13">
        <f>BD6*VLOOKUP('Données projet'!$B$11,Paramètres!$A$1:$I$89,3,0)*VLOOKUP('Données projet'!$B$11,Paramètres!$A$1:$I$89,5,0)</f>
        <v>1.3878017173337731</v>
      </c>
      <c r="BF6" s="13">
        <f t="shared" si="37"/>
        <v>0.61561979180116611</v>
      </c>
      <c r="BG6" s="20">
        <f t="shared" si="7"/>
        <v>3.4892924617433518</v>
      </c>
      <c r="BH6" s="59">
        <f t="shared" si="8"/>
        <v>296.82262579507665</v>
      </c>
      <c r="BI6" s="59">
        <f ca="1">AVERAGE(OFFSET($BH$3,0,0,'Données projet'!$E$11+1,1))-AVERAGE(OFFSET($H$3,0,0,'Données projet'!$E$11+1,1))</f>
        <v>260.97162394079265</v>
      </c>
      <c r="BJ6" s="59">
        <f t="shared" si="38"/>
        <v>279.1836614199691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296.25078815720536</v>
      </c>
      <c r="CD6" s="59">
        <f ca="1">AVERAGE(OFFSET($CC$3,0,0,'Données projet'!$E$12+1,1))-AVERAGE(OFFSET($H$3,0,0,'Données projet'!$E$12+1,1))</f>
        <v>264.70281355687837</v>
      </c>
      <c r="CE6" s="59">
        <f t="shared" si="40"/>
        <v>199.74194600786768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3.44</v>
      </c>
      <c r="CT6" s="12">
        <f>IF('Données projet'!$A$140&gt;35,CT5+CS6-DB5,IF(A6&lt;'Données projet'!$A$140,$CQ$205^A6,IF(A6='Données projet'!$A$140,'Données projet'!$B$140,CT5+CS6-DB5)))</f>
        <v>1.7066317233096053</v>
      </c>
      <c r="CU6" s="17">
        <f>CT6*VLOOKUP('Données projet'!$B$13,Paramètres!$A$1:$I$89,3,0)*VLOOKUP('Données projet'!$B$13,Paramètres!$A$1:$I$89,5,0)</f>
        <v>0.97619334573309424</v>
      </c>
      <c r="CV6" s="13">
        <f t="shared" si="41"/>
        <v>0.4511343910812064</v>
      </c>
      <c r="CW6" s="20">
        <f t="shared" si="13"/>
        <v>2.4859291416182403</v>
      </c>
      <c r="CX6" s="59">
        <f t="shared" si="14"/>
        <v>295.81926247495153</v>
      </c>
      <c r="CY6" s="59">
        <f ca="1">AVERAGE(OFFSET($CX$3,0,0,'Données projet'!$E$13+1,1))-AVERAGE(OFFSET($H$3,0,0,'Données projet'!$E$13+1,1))</f>
        <v>149.8619613776458</v>
      </c>
      <c r="CZ6" s="59">
        <f t="shared" si="42"/>
        <v>108.55560257938146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1">
        <f t="shared" si="32"/>
        <v>1.303880297052002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67">
        <f t="shared" si="1"/>
        <v>301.25561818403224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10.8</v>
      </c>
      <c r="N7" s="13">
        <f>IF('Données projet'!$A$36&gt;35,N6+M7-V6,IF(A7&lt;'Données projet'!$A$36,$K$205^A7,IF(A7='Données projet'!$A$36,'Données projet'!$B$36,N6+M7-V6)))</f>
        <v>3.8833273713275762</v>
      </c>
      <c r="O7" s="13">
        <f>N7*VLOOKUP('Données projet'!$B$9,Paramètres!$A$1:$I$89,3,0)*VLOOKUP('Données projet'!$B$9,Paramètres!$A$1:$I$89,5,0)</f>
        <v>2.170780000572115</v>
      </c>
      <c r="P7" s="13">
        <f t="shared" si="33"/>
        <v>0.91408334535022773</v>
      </c>
      <c r="Q7" s="20">
        <f t="shared" si="2"/>
        <v>5.3728036608147471</v>
      </c>
      <c r="R7" s="59">
        <f t="shared" si="0"/>
        <v>298.70613699414804</v>
      </c>
      <c r="S7" s="59">
        <f ca="1">AVERAGE(OFFSET($R$3,0,0,'Données projet'!$E$9+1,1))-AVERAGE(OFFSET($H$3,0,0,'Données projet'!$E$9+1,1))</f>
        <v>467.03705646400994</v>
      </c>
      <c r="T7" s="59">
        <f t="shared" si="34"/>
        <v>575.68119027684361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2.2000000000000002</v>
      </c>
      <c r="AI7" s="13">
        <f>IF('Données projet'!$A$62&gt;35,AI6+AH7-AQ6,IF(A7&lt;'Données projet'!$A$62,$AF$205^A7,IF(A7='Données projet'!$A$62,'Données projet'!$B$62,AI6+AH7-AQ6)))</f>
        <v>2.1315255132709479</v>
      </c>
      <c r="AJ7" s="13">
        <f>AI7*VLOOKUP('Données projet'!$B$10,Paramètres!$A$1:$I$89,3,0)*VLOOKUP('Données projet'!$B$10,Paramètres!$A$1:$I$89,5,0)</f>
        <v>1.3300719202810716</v>
      </c>
      <c r="AK7" s="13">
        <f t="shared" si="35"/>
        <v>0.59293641784124318</v>
      </c>
      <c r="AL7" s="20">
        <f t="shared" si="4"/>
        <v>3.3492395222296985</v>
      </c>
      <c r="AM7" s="59">
        <f t="shared" si="5"/>
        <v>296.68257285556302</v>
      </c>
      <c r="AN7" s="59">
        <f ca="1">AVERAGE(OFFSET($AM$3,0,0,'Données projet'!$E$10+1,1))-AVERAGE(OFFSET($H$3,0,0,'Données projet'!$E$10+1,1))</f>
        <v>252.44760109054914</v>
      </c>
      <c r="AO7" s="59">
        <f t="shared" si="36"/>
        <v>121.75506329394773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6.9411764705882355</v>
      </c>
      <c r="BD7" s="12">
        <f>IF('Données projet'!$A$88&gt;35,BD6+BC7-BL6,IF(A7&lt;'Données projet'!$A$88,$BA$205^A7,IF(A7='Données projet'!$A$88,'Données projet'!$B$88,BD6+BC7-BL6)))</f>
        <v>3.0725690301044271</v>
      </c>
      <c r="BE7" s="13">
        <f>BD7*VLOOKUP('Données projet'!$B$11,Paramètres!$A$1:$I$89,3,0)*VLOOKUP('Données projet'!$B$11,Paramètres!$A$1:$I$89,5,0)</f>
        <v>1.8373962800024475</v>
      </c>
      <c r="BF7" s="13">
        <f t="shared" si="37"/>
        <v>0.78886318355909346</v>
      </c>
      <c r="BG7" s="20">
        <f t="shared" si="7"/>
        <v>4.5740685657030165</v>
      </c>
      <c r="BH7" s="59">
        <f t="shared" si="8"/>
        <v>297.90740189903636</v>
      </c>
      <c r="BI7" s="59">
        <f ca="1">AVERAGE(OFFSET($BH$3,0,0,'Données projet'!$E$11+1,1))-AVERAGE(OFFSET($H$3,0,0,'Données projet'!$E$11+1,1))</f>
        <v>260.97162394079265</v>
      </c>
      <c r="BJ7" s="59">
        <f t="shared" si="38"/>
        <v>279.1836614199691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296.93564317983407</v>
      </c>
      <c r="CD7" s="59">
        <f ca="1">AVERAGE(OFFSET($CC$3,0,0,'Données projet'!$E$12+1,1))-AVERAGE(OFFSET($H$3,0,0,'Données projet'!$E$12+1,1))</f>
        <v>264.70281355687837</v>
      </c>
      <c r="CE7" s="59">
        <f t="shared" si="40"/>
        <v>199.74194600786768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3.44</v>
      </c>
      <c r="CT7" s="12">
        <f>IF('Données projet'!$A$140&gt;35,CT6+CS7-DB6,IF(A7&lt;'Données projet'!$A$140,$CQ$205^A7,IF(A7='Données projet'!$A$140,'Données projet'!$B$140,CT6+CS7-DB6)))</f>
        <v>2.0394814153960352</v>
      </c>
      <c r="CU7" s="17">
        <f>CT7*VLOOKUP('Données projet'!$B$13,Paramètres!$A$1:$I$89,3,0)*VLOOKUP('Données projet'!$B$13,Paramètres!$A$1:$I$89,5,0)</f>
        <v>1.1665833696065322</v>
      </c>
      <c r="CV7" s="13">
        <f t="shared" si="41"/>
        <v>0.52805462279137916</v>
      </c>
      <c r="CW7" s="20">
        <f t="shared" si="13"/>
        <v>2.9514945034263622</v>
      </c>
      <c r="CX7" s="59">
        <f t="shared" si="14"/>
        <v>296.28482783675969</v>
      </c>
      <c r="CY7" s="59">
        <f ca="1">AVERAGE(OFFSET($CX$3,0,0,'Données projet'!$E$13+1,1))-AVERAGE(OFFSET($H$3,0,0,'Données projet'!$E$13+1,1))</f>
        <v>149.8619613776458</v>
      </c>
      <c r="CZ7" s="59">
        <f t="shared" si="42"/>
        <v>108.55560257938146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1">
        <f t="shared" si="32"/>
        <v>1.588061840572724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67">
        <f t="shared" si="1"/>
        <v>303.16340770566416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10.8</v>
      </c>
      <c r="N8" s="13">
        <f>IF('Données projet'!$A$36&gt;35,N7+M8-V7,IF(A8&lt;'Données projet'!$A$36,$K$205^A8,IF(A8='Données projet'!$A$36,'Données projet'!$B$36,N7+M8-V7)))</f>
        <v>5.451361778496417</v>
      </c>
      <c r="O8" s="13">
        <f>N8*VLOOKUP('Données projet'!$B$9,Paramètres!$A$1:$I$89,3,0)*VLOOKUP('Données projet'!$B$9,Paramètres!$A$1:$I$89,5,0)</f>
        <v>3.0473112341794972</v>
      </c>
      <c r="P8" s="13">
        <f t="shared" si="33"/>
        <v>1.2335051316844765</v>
      </c>
      <c r="Q8" s="20">
        <f t="shared" si="2"/>
        <v>7.4557551705464205</v>
      </c>
      <c r="R8" s="59">
        <f t="shared" si="0"/>
        <v>300.78908850387973</v>
      </c>
      <c r="S8" s="59">
        <f ca="1">AVERAGE(OFFSET($R$3,0,0,'Données projet'!$E$9+1,1))-AVERAGE(OFFSET($H$3,0,0,'Données projet'!$E$9+1,1))</f>
        <v>467.03705646400994</v>
      </c>
      <c r="T8" s="59">
        <f t="shared" si="34"/>
        <v>575.68119027684361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2.2000000000000002</v>
      </c>
      <c r="AI8" s="13">
        <f>IF('Données projet'!$A$62&gt;35,AI7+AH8-AQ7,IF(A8&lt;'Données projet'!$A$62,$AF$205^A8,IF(A8='Données projet'!$A$62,'Données projet'!$B$62,AI7+AH8-AQ7)))</f>
        <v>2.5755095769013936</v>
      </c>
      <c r="AJ8" s="13">
        <f>AI8*VLOOKUP('Données projet'!$B$10,Paramètres!$A$1:$I$89,3,0)*VLOOKUP('Données projet'!$B$10,Paramètres!$A$1:$I$89,5,0)</f>
        <v>1.6071179759864698</v>
      </c>
      <c r="AK8" s="13">
        <f t="shared" si="35"/>
        <v>0.70083513231754901</v>
      </c>
      <c r="AL8" s="20">
        <f t="shared" si="4"/>
        <v>4.0196849969628321</v>
      </c>
      <c r="AM8" s="59">
        <f t="shared" si="5"/>
        <v>297.35301833029615</v>
      </c>
      <c r="AN8" s="59">
        <f ca="1">AVERAGE(OFFSET($AM$3,0,0,'Données projet'!$E$10+1,1))-AVERAGE(OFFSET($H$3,0,0,'Données projet'!$E$10+1,1))</f>
        <v>252.44760109054914</v>
      </c>
      <c r="AO8" s="59">
        <f t="shared" si="36"/>
        <v>121.75506329394773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6.9411764705882355</v>
      </c>
      <c r="BD8" s="12">
        <f>IF('Données projet'!$A$88&gt;35,BD7+BC8-BL7,IF(A8&lt;'Données projet'!$A$88,$BA$205^A8,IF(A8='Données projet'!$A$88,'Données projet'!$B$88,BD7+BC8-BL7)))</f>
        <v>4.0679636258202043</v>
      </c>
      <c r="BE8" s="13">
        <f>BD8*VLOOKUP('Données projet'!$B$11,Paramètres!$A$1:$I$89,3,0)*VLOOKUP('Données projet'!$B$11,Paramètres!$A$1:$I$89,5,0)</f>
        <v>2.4326422482404824</v>
      </c>
      <c r="BF8" s="13">
        <f t="shared" si="37"/>
        <v>1.0108595120931088</v>
      </c>
      <c r="BG8" s="20">
        <f t="shared" si="7"/>
        <v>5.9974322325810041</v>
      </c>
      <c r="BH8" s="59">
        <f t="shared" si="8"/>
        <v>299.33076556591431</v>
      </c>
      <c r="BI8" s="59">
        <f ca="1">AVERAGE(OFFSET($BH$3,0,0,'Données projet'!$E$11+1,1))-AVERAGE(OFFSET($H$3,0,0,'Données projet'!$E$11+1,1))</f>
        <v>260.97162394079265</v>
      </c>
      <c r="BJ8" s="59">
        <f t="shared" si="38"/>
        <v>279.1836614199691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297.78187669303162</v>
      </c>
      <c r="CD8" s="59">
        <f ca="1">AVERAGE(OFFSET($CC$3,0,0,'Données projet'!$E$12+1,1))-AVERAGE(OFFSET($H$3,0,0,'Données projet'!$E$12+1,1))</f>
        <v>264.70281355687837</v>
      </c>
      <c r="CE8" s="59">
        <f t="shared" si="40"/>
        <v>199.74194600786768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3.44</v>
      </c>
      <c r="CT8" s="12">
        <f>IF('Données projet'!$A$140&gt;35,CT7+CS8-DB7,IF(A8&lt;'Données projet'!$A$140,$CQ$205^A8,IF(A8='Données projet'!$A$140,'Données projet'!$B$140,CT7+CS8-DB7)))</f>
        <v>2.4372478179882227</v>
      </c>
      <c r="CU8" s="17">
        <f>CT8*VLOOKUP('Données projet'!$B$13,Paramètres!$A$1:$I$89,3,0)*VLOOKUP('Données projet'!$B$13,Paramètres!$A$1:$I$89,5,0)</f>
        <v>1.3941057518892634</v>
      </c>
      <c r="CV8" s="13">
        <f t="shared" si="41"/>
        <v>0.61809006398971889</v>
      </c>
      <c r="CW8" s="20">
        <f t="shared" si="13"/>
        <v>3.5045743793225608</v>
      </c>
      <c r="CX8" s="59">
        <f t="shared" si="14"/>
        <v>296.83790771265586</v>
      </c>
      <c r="CY8" s="59">
        <f ca="1">AVERAGE(OFFSET($CX$3,0,0,'Données projet'!$E$13+1,1))-AVERAGE(OFFSET($H$3,0,0,'Données projet'!$E$13+1,1))</f>
        <v>149.8619613776458</v>
      </c>
      <c r="CZ8" s="59">
        <f t="shared" si="42"/>
        <v>108.55560257938146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1">
        <f t="shared" si="32"/>
        <v>1.8656576757326089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67">
        <f t="shared" si="1"/>
        <v>305.05972711856759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10.8</v>
      </c>
      <c r="N9" s="13">
        <f>IF('Données projet'!$A$36&gt;35,N8+M9-V8,IF(A9&lt;'Données projet'!$A$36,$K$205^A9,IF(A9='Données projet'!$A$36,'Données projet'!$B$36,N8+M9-V8)))</f>
        <v>7.6525470037547425</v>
      </c>
      <c r="O9" s="13">
        <f>N9*VLOOKUP('Données projet'!$B$9,Paramètres!$A$1:$I$89,3,0)*VLOOKUP('Données projet'!$B$9,Paramètres!$A$1:$I$89,5,0)</f>
        <v>4.2777737750989013</v>
      </c>
      <c r="P9" s="13">
        <f t="shared" si="33"/>
        <v>1.6645472402836166</v>
      </c>
      <c r="Q9" s="20">
        <f t="shared" si="2"/>
        <v>10.349542435124553</v>
      </c>
      <c r="R9" s="59">
        <f t="shared" si="0"/>
        <v>303.68287576845785</v>
      </c>
      <c r="S9" s="59">
        <f ca="1">AVERAGE(OFFSET($R$3,0,0,'Données projet'!$E$9+1,1))-AVERAGE(OFFSET($H$3,0,0,'Données projet'!$E$9+1,1))</f>
        <v>467.03705646400994</v>
      </c>
      <c r="T9" s="59">
        <f t="shared" si="34"/>
        <v>575.68119027684361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2.2000000000000002</v>
      </c>
      <c r="AI9" s="13">
        <f>IF('Données projet'!$A$62&gt;35,AI8+AH9-AQ8,IF(A9&lt;'Données projet'!$A$62,$AF$205^A9,IF(A9='Données projet'!$A$62,'Données projet'!$B$62,AI8+AH9-AQ8)))</f>
        <v>3.1119728754884544</v>
      </c>
      <c r="AJ9" s="13">
        <f>AI9*VLOOKUP('Données projet'!$B$10,Paramètres!$A$1:$I$89,3,0)*VLOOKUP('Données projet'!$B$10,Paramètres!$A$1:$I$89,5,0)</f>
        <v>1.9418710743047956</v>
      </c>
      <c r="AK9" s="13">
        <f t="shared" si="35"/>
        <v>0.8283685533750863</v>
      </c>
      <c r="AL9" s="20">
        <f t="shared" si="4"/>
        <v>4.8248340182091276</v>
      </c>
      <c r="AM9" s="59">
        <f t="shared" si="5"/>
        <v>298.15816735154243</v>
      </c>
      <c r="AN9" s="59">
        <f ca="1">AVERAGE(OFFSET($AM$3,0,0,'Données projet'!$E$10+1,1))-AVERAGE(OFFSET($H$3,0,0,'Données projet'!$E$10+1,1))</f>
        <v>252.44760109054914</v>
      </c>
      <c r="AO9" s="59">
        <f t="shared" si="36"/>
        <v>121.75506329394773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6.9411764705882355</v>
      </c>
      <c r="BD9" s="12">
        <f>IF('Données projet'!$A$88&gt;35,BD8+BC9-BL8,IF(A9&lt;'Données projet'!$A$88,$BA$205^A9,IF(A9='Données projet'!$A$88,'Données projet'!$B$88,BD8+BC9-BL8)))</f>
        <v>5.38582791756963</v>
      </c>
      <c r="BE9" s="13">
        <f>BD9*VLOOKUP('Données projet'!$B$11,Paramètres!$A$1:$I$89,3,0)*VLOOKUP('Données projet'!$B$11,Paramètres!$A$1:$I$89,5,0)</f>
        <v>3.2207250947066388</v>
      </c>
      <c r="BF9" s="13">
        <f t="shared" si="37"/>
        <v>1.2953284859599137</v>
      </c>
      <c r="BG9" s="20">
        <f t="shared" si="7"/>
        <v>7.8654599863275783</v>
      </c>
      <c r="BH9" s="59">
        <f t="shared" si="8"/>
        <v>301.19879331966087</v>
      </c>
      <c r="BI9" s="59">
        <f ca="1">AVERAGE(OFFSET($BH$3,0,0,'Données projet'!$E$11+1,1))-AVERAGE(OFFSET($H$3,0,0,'Données projet'!$E$11+1,1))</f>
        <v>260.97162394079265</v>
      </c>
      <c r="BJ9" s="59">
        <f t="shared" si="38"/>
        <v>279.1836614199691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298.82765185669996</v>
      </c>
      <c r="CD9" s="59">
        <f ca="1">AVERAGE(OFFSET($CC$3,0,0,'Données projet'!$E$12+1,1))-AVERAGE(OFFSET($H$3,0,0,'Données projet'!$E$12+1,1))</f>
        <v>264.70281355687837</v>
      </c>
      <c r="CE9" s="59">
        <f t="shared" si="40"/>
        <v>199.74194600786768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3.44</v>
      </c>
      <c r="CT9" s="12">
        <f>IF('Données projet'!$A$140&gt;35,CT8+CS9-DB8,IF(A9&lt;'Données projet'!$A$140,$CQ$205^A9,IF(A9='Données projet'!$A$140,'Données projet'!$B$140,CT8+CS9-DB8)))</f>
        <v>2.9125918390067129</v>
      </c>
      <c r="CU9" s="17">
        <f>CT9*VLOOKUP('Données projet'!$B$13,Paramètres!$A$1:$I$89,3,0)*VLOOKUP('Données projet'!$B$13,Paramètres!$A$1:$I$89,5,0)</f>
        <v>1.6660025319118399</v>
      </c>
      <c r="CV9" s="13">
        <f t="shared" si="41"/>
        <v>0.72347691074706721</v>
      </c>
      <c r="CW9" s="20">
        <f t="shared" si="13"/>
        <v>4.161676695964263</v>
      </c>
      <c r="CX9" s="59">
        <f t="shared" si="14"/>
        <v>297.49501002929759</v>
      </c>
      <c r="CY9" s="59">
        <f ca="1">AVERAGE(OFFSET($CX$3,0,0,'Données projet'!$E$13+1,1))-AVERAGE(OFFSET($H$3,0,0,'Données projet'!$E$13+1,1))</f>
        <v>149.8619613776458</v>
      </c>
      <c r="CZ9" s="59">
        <f t="shared" si="42"/>
        <v>108.55560257938146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1">
        <f t="shared" si="32"/>
        <v>2.1378938726743604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67">
        <f t="shared" si="1"/>
        <v>306.94671182824118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10.8</v>
      </c>
      <c r="N10" s="13">
        <f>IF('Données projet'!$A$36&gt;35,N9+M10-V9,IF(A10&lt;'Données projet'!$A$36,$K$205^A10,IF(A10='Données projet'!$A$36,'Données projet'!$B$36,N9+M10-V9)))</f>
        <v>10.742540675924095</v>
      </c>
      <c r="O10" s="13">
        <f>N10*VLOOKUP('Données projet'!$B$9,Paramètres!$A$1:$I$89,3,0)*VLOOKUP('Données projet'!$B$9,Paramètres!$A$1:$I$89,5,0)</f>
        <v>6.0050802378415691</v>
      </c>
      <c r="P10" s="13">
        <f t="shared" si="33"/>
        <v>2.2462148263235089</v>
      </c>
      <c r="Q10" s="20">
        <f t="shared" si="2"/>
        <v>14.37100557008751</v>
      </c>
      <c r="R10" s="59">
        <f t="shared" si="0"/>
        <v>307.70433890342082</v>
      </c>
      <c r="S10" s="59">
        <f ca="1">AVERAGE(OFFSET($R$3,0,0,'Données projet'!$E$9+1,1))-AVERAGE(OFFSET($H$3,0,0,'Données projet'!$E$9+1,1))</f>
        <v>467.03705646400994</v>
      </c>
      <c r="T10" s="59">
        <f t="shared" si="34"/>
        <v>575.68119027684361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2.2000000000000002</v>
      </c>
      <c r="AI10" s="13">
        <f>IF('Données projet'!$A$62&gt;35,AI9+AH10-AQ9,IF(A10&lt;'Données projet'!$A$62,$AF$205^A10,IF(A10='Données projet'!$A$62,'Données projet'!$B$62,AI9+AH10-AQ9)))</f>
        <v>3.760178282632205</v>
      </c>
      <c r="AJ10" s="13">
        <f>AI10*VLOOKUP('Données projet'!$B$10,Paramètres!$A$1:$I$89,3,0)*VLOOKUP('Données projet'!$B$10,Paramètres!$A$1:$I$89,5,0)</f>
        <v>2.3463512483624958</v>
      </c>
      <c r="AK10" s="13">
        <f t="shared" si="35"/>
        <v>0.97910967726688947</v>
      </c>
      <c r="AL10" s="20">
        <f t="shared" si="4"/>
        <v>5.7918444454711802</v>
      </c>
      <c r="AM10" s="59">
        <f t="shared" si="5"/>
        <v>299.12517777880447</v>
      </c>
      <c r="AN10" s="59">
        <f ca="1">AVERAGE(OFFSET($AM$3,0,0,'Données projet'!$E$10+1,1))-AVERAGE(OFFSET($H$3,0,0,'Données projet'!$E$10+1,1))</f>
        <v>252.44760109054914</v>
      </c>
      <c r="AO10" s="59">
        <f t="shared" si="36"/>
        <v>121.75506329394773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6.9411764705882355</v>
      </c>
      <c r="BD10" s="12">
        <f>IF('Données projet'!$A$88&gt;35,BD9+BC10-BL9,IF(A10&lt;'Données projet'!$A$88,$BA$205^A10,IF(A10='Données projet'!$A$88,'Données projet'!$B$88,BD9+BC10-BL9)))</f>
        <v>7.130629726765032</v>
      </c>
      <c r="BE10" s="13">
        <f>BD10*VLOOKUP('Données projet'!$B$11,Paramètres!$A$1:$I$89,3,0)*VLOOKUP('Données projet'!$B$11,Paramètres!$A$1:$I$89,5,0)</f>
        <v>4.26411657660549</v>
      </c>
      <c r="BF10" s="13">
        <f t="shared" si="37"/>
        <v>1.6598507175986843</v>
      </c>
      <c r="BG10" s="20">
        <f t="shared" si="7"/>
        <v>10.317576370738935</v>
      </c>
      <c r="BH10" s="59">
        <f t="shared" si="8"/>
        <v>303.65090970407226</v>
      </c>
      <c r="BI10" s="59">
        <f ca="1">AVERAGE(OFFSET($BH$3,0,0,'Données projet'!$E$11+1,1))-AVERAGE(OFFSET($H$3,0,0,'Données projet'!$E$11+1,1))</f>
        <v>260.97162394079265</v>
      </c>
      <c r="BJ10" s="59">
        <f t="shared" si="38"/>
        <v>279.1836614199691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300.12018685543694</v>
      </c>
      <c r="CD10" s="59">
        <f ca="1">AVERAGE(OFFSET($CC$3,0,0,'Données projet'!$E$12+1,1))-AVERAGE(OFFSET($H$3,0,0,'Données projet'!$E$12+1,1))</f>
        <v>264.70281355687837</v>
      </c>
      <c r="CE10" s="59">
        <f t="shared" si="40"/>
        <v>199.74194600786768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3.44</v>
      </c>
      <c r="CT10" s="12">
        <f>IF('Données projet'!$A$140&gt;35,CT9+CS10-DB9,IF(A10&lt;'Données projet'!$A$140,$CQ$205^A10,IF(A10='Données projet'!$A$140,'Données projet'!$B$140,CT9+CS10-DB9)))</f>
        <v>3.4806436826152485</v>
      </c>
      <c r="CU10" s="17">
        <f>CT10*VLOOKUP('Données projet'!$B$13,Paramètres!$A$1:$I$89,3,0)*VLOOKUP('Données projet'!$B$13,Paramètres!$A$1:$I$89,5,0)</f>
        <v>1.9909281864559223</v>
      </c>
      <c r="CV10" s="13">
        <f t="shared" si="41"/>
        <v>0.84683263957601196</v>
      </c>
      <c r="CW10" s="20">
        <f t="shared" si="13"/>
        <v>4.9424334386722846</v>
      </c>
      <c r="CX10" s="59">
        <f t="shared" si="14"/>
        <v>298.27576677200562</v>
      </c>
      <c r="CY10" s="59">
        <f ca="1">AVERAGE(OFFSET($CX$3,0,0,'Données projet'!$E$13+1,1))-AVERAGE(OFFSET($H$3,0,0,'Données projet'!$E$13+1,1))</f>
        <v>149.8619613776458</v>
      </c>
      <c r="CZ10" s="59">
        <f t="shared" si="42"/>
        <v>108.55560257938146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1">
        <f t="shared" si="32"/>
        <v>2.4056244376575933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67">
        <f t="shared" si="1"/>
        <v>308.82584922892028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10.8</v>
      </c>
      <c r="N11" s="13">
        <f>IF('Données projet'!$A$36&gt;35,N10+M11-V10,IF(A11&lt;'Données projet'!$A$36,$K$205^A11,IF(A11='Données projet'!$A$36,'Données projet'!$B$36,N10+M11-V10)))</f>
        <v>15.080231472901943</v>
      </c>
      <c r="O11" s="13">
        <f>N11*VLOOKUP('Données projet'!$B$9,Paramètres!$A$1:$I$89,3,0)*VLOOKUP('Données projet'!$B$9,Paramètres!$A$1:$I$89,5,0)</f>
        <v>8.4298493933521872</v>
      </c>
      <c r="P11" s="13">
        <f t="shared" si="33"/>
        <v>3.0311431985167756</v>
      </c>
      <c r="Q11" s="20">
        <f t="shared" si="2"/>
        <v>19.961228764171775</v>
      </c>
      <c r="R11" s="59">
        <f t="shared" si="0"/>
        <v>313.29456209750509</v>
      </c>
      <c r="S11" s="59">
        <f ca="1">AVERAGE(OFFSET($R$3,0,0,'Données projet'!$E$9+1,1))-AVERAGE(OFFSET($H$3,0,0,'Données projet'!$E$9+1,1))</f>
        <v>467.03705646400994</v>
      </c>
      <c r="T11" s="59">
        <f t="shared" si="34"/>
        <v>575.68119027684361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2.2000000000000002</v>
      </c>
      <c r="AI11" s="13">
        <f>IF('Données projet'!$A$62&gt;35,AI10+AH11-AQ10,IF(A11&lt;'Données projet'!$A$62,$AF$205^A11,IF(A11='Données projet'!$A$62,'Données projet'!$B$62,AI10+AH11-AQ10)))</f>
        <v>4.5434010137249778</v>
      </c>
      <c r="AJ11" s="13">
        <f>AI11*VLOOKUP('Données projet'!$B$10,Paramètres!$A$1:$I$89,3,0)*VLOOKUP('Données projet'!$B$10,Paramètres!$A$1:$I$89,5,0)</f>
        <v>2.8350822325643859</v>
      </c>
      <c r="AK11" s="13">
        <f t="shared" si="35"/>
        <v>1.1572816908750905</v>
      </c>
      <c r="AL11" s="20">
        <f t="shared" si="4"/>
        <v>6.9533671666570873</v>
      </c>
      <c r="AM11" s="59">
        <f t="shared" si="5"/>
        <v>300.28670049999039</v>
      </c>
      <c r="AN11" s="59">
        <f ca="1">AVERAGE(OFFSET($AM$3,0,0,'Données projet'!$E$10+1,1))-AVERAGE(OFFSET($H$3,0,0,'Données projet'!$E$10+1,1))</f>
        <v>252.44760109054914</v>
      </c>
      <c r="AO11" s="59">
        <f t="shared" si="36"/>
        <v>121.75506329394773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6.9411764705882355</v>
      </c>
      <c r="BD11" s="12">
        <f>IF('Données projet'!$A$88&gt;35,BD10+BC11-BL10,IF(A11&lt;'Données projet'!$A$88,$BA$205^A11,IF(A11='Données projet'!$A$88,'Données projet'!$B$88,BD10+BC11-BL10)))</f>
        <v>9.4406804447568593</v>
      </c>
      <c r="BE11" s="13">
        <f>BD11*VLOOKUP('Données projet'!$B$11,Paramètres!$A$1:$I$89,3,0)*VLOOKUP('Données projet'!$B$11,Paramètres!$A$1:$I$89,5,0)</f>
        <v>5.6455269059646023</v>
      </c>
      <c r="BF11" s="13">
        <f t="shared" si="37"/>
        <v>2.1269542317454508</v>
      </c>
      <c r="BG11" s="20">
        <f t="shared" si="7"/>
        <v>13.53707131484501</v>
      </c>
      <c r="BH11" s="59">
        <f t="shared" si="8"/>
        <v>306.87040464817835</v>
      </c>
      <c r="BI11" s="59">
        <f ca="1">AVERAGE(OFFSET($BH$3,0,0,'Données projet'!$E$11+1,1))-AVERAGE(OFFSET($H$3,0,0,'Données projet'!$E$11+1,1))</f>
        <v>260.97162394079265</v>
      </c>
      <c r="BJ11" s="59">
        <f t="shared" si="38"/>
        <v>279.1836614199691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301.71791003464585</v>
      </c>
      <c r="CD11" s="59">
        <f ca="1">AVERAGE(OFFSET($CC$3,0,0,'Données projet'!$E$12+1,1))-AVERAGE(OFFSET($H$3,0,0,'Données projet'!$E$12+1,1))</f>
        <v>264.70281355687837</v>
      </c>
      <c r="CE11" s="59">
        <f t="shared" si="40"/>
        <v>199.74194600786768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3.44</v>
      </c>
      <c r="CT11" s="12">
        <f>IF('Données projet'!$A$140&gt;35,CT10+CS11-DB10,IF(A11&lt;'Données projet'!$A$140,$CQ$205^A11,IF(A11='Données projet'!$A$140,'Données projet'!$B$140,CT10+CS11-DB10)))</f>
        <v>4.1594844437458152</v>
      </c>
      <c r="CU11" s="17">
        <f>CT11*VLOOKUP('Données projet'!$B$13,Paramètres!$A$1:$I$89,3,0)*VLOOKUP('Données projet'!$B$13,Paramètres!$A$1:$I$89,5,0)</f>
        <v>2.3792251018226063</v>
      </c>
      <c r="CV11" s="13">
        <f t="shared" si="41"/>
        <v>0.99122101728273115</v>
      </c>
      <c r="CW11" s="20">
        <f t="shared" si="13"/>
        <v>5.8701936574417957</v>
      </c>
      <c r="CX11" s="59">
        <f t="shared" si="14"/>
        <v>299.20352699077512</v>
      </c>
      <c r="CY11" s="59">
        <f ca="1">AVERAGE(OFFSET($CX$3,0,0,'Données projet'!$E$13+1,1))-AVERAGE(OFFSET($H$3,0,0,'Données projet'!$E$13+1,1))</f>
        <v>149.8619613776458</v>
      </c>
      <c r="CZ11" s="59">
        <f t="shared" si="42"/>
        <v>108.55560257938146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1">
        <f t="shared" si="32"/>
        <v>2.6694770761469542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67">
        <f t="shared" si="1"/>
        <v>310.69823257428925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10.8</v>
      </c>
      <c r="N12" s="13">
        <f>IF('Données projet'!$A$36&gt;35,N11+M12-V11,IF(A12&lt;'Données projet'!$A$36,$K$205^A12,IF(A12='Données projet'!$A$36,'Données projet'!$B$36,N11+M12-V11)))</f>
        <v>21.169422405444113</v>
      </c>
      <c r="O12" s="13">
        <f>N12*VLOOKUP('Données projet'!$B$9,Paramètres!$A$1:$I$89,3,0)*VLOOKUP('Données projet'!$B$9,Paramètres!$A$1:$I$89,5,0)</f>
        <v>11.83370712464326</v>
      </c>
      <c r="P12" s="13">
        <f t="shared" si="33"/>
        <v>4.0903608070972819</v>
      </c>
      <c r="Q12" s="20">
        <f t="shared" si="2"/>
        <v>27.734418314448106</v>
      </c>
      <c r="R12" s="59">
        <f t="shared" si="0"/>
        <v>321.06775164778139</v>
      </c>
      <c r="S12" s="59">
        <f ca="1">AVERAGE(OFFSET($R$3,0,0,'Données projet'!$E$9+1,1))-AVERAGE(OFFSET($H$3,0,0,'Données projet'!$E$9+1,1))</f>
        <v>467.03705646400994</v>
      </c>
      <c r="T12" s="59">
        <f t="shared" si="34"/>
        <v>575.68119027684361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2.2000000000000002</v>
      </c>
      <c r="AI12" s="13">
        <f>IF('Données projet'!$A$62&gt;35,AI11+AH12-AQ11,IF(A12&lt;'Données projet'!$A$62,$AF$205^A12,IF(A12='Données projet'!$A$62,'Données projet'!$B$62,AI11+AH12-AQ11)))</f>
        <v>5.4897643728389847</v>
      </c>
      <c r="AJ12" s="13">
        <f>AI12*VLOOKUP('Données projet'!$B$10,Paramètres!$A$1:$I$89,3,0)*VLOOKUP('Données projet'!$B$10,Paramètres!$A$1:$I$89,5,0)</f>
        <v>3.4256129686515262</v>
      </c>
      <c r="AK12" s="13">
        <f t="shared" si="35"/>
        <v>1.3678762891745342</v>
      </c>
      <c r="AL12" s="20">
        <f t="shared" si="4"/>
        <v>8.3486604573803884</v>
      </c>
      <c r="AM12" s="59">
        <f t="shared" si="5"/>
        <v>301.6819937907137</v>
      </c>
      <c r="AN12" s="59">
        <f ca="1">AVERAGE(OFFSET($AM$3,0,0,'Données projet'!$E$10+1,1))-AVERAGE(OFFSET($H$3,0,0,'Données projet'!$E$10+1,1))</f>
        <v>252.44760109054914</v>
      </c>
      <c r="AO12" s="59">
        <f t="shared" si="36"/>
        <v>121.75506329394773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6.9411764705882355</v>
      </c>
      <c r="BD12" s="12">
        <f>IF('Données projet'!$A$88&gt;35,BD11+BC12-BL11,IF(A12&lt;'Données projet'!$A$88,$BA$205^A12,IF(A12='Données projet'!$A$88,'Données projet'!$B$88,BD11+BC12-BL11)))</f>
        <v>12.499099052286473</v>
      </c>
      <c r="BE12" s="13">
        <f>BD12*VLOOKUP('Données projet'!$B$11,Paramètres!$A$1:$I$89,3,0)*VLOOKUP('Données projet'!$B$11,Paramètres!$A$1:$I$89,5,0)</f>
        <v>7.474461233267311</v>
      </c>
      <c r="BF12" s="13">
        <f t="shared" si="37"/>
        <v>2.7255067314033421</v>
      </c>
      <c r="BG12" s="20">
        <f t="shared" si="7"/>
        <v>17.764944205134721</v>
      </c>
      <c r="BH12" s="59">
        <f t="shared" si="8"/>
        <v>311.09827753846804</v>
      </c>
      <c r="BI12" s="59">
        <f ca="1">AVERAGE(OFFSET($BH$3,0,0,'Données projet'!$E$11+1,1))-AVERAGE(OFFSET($H$3,0,0,'Données projet'!$E$11+1,1))</f>
        <v>260.97162394079265</v>
      </c>
      <c r="BJ12" s="59">
        <f t="shared" si="38"/>
        <v>279.1836614199691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303.69312942710241</v>
      </c>
      <c r="CD12" s="59">
        <f ca="1">AVERAGE(OFFSET($CC$3,0,0,'Données projet'!$E$12+1,1))-AVERAGE(OFFSET($H$3,0,0,'Données projet'!$E$12+1,1))</f>
        <v>264.70281355687837</v>
      </c>
      <c r="CE12" s="59">
        <f t="shared" si="40"/>
        <v>199.74194600786768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3.44</v>
      </c>
      <c r="CT12" s="12">
        <f>IF('Données projet'!$A$140&gt;35,CT11+CS12-DB11,IF(A12&lt;'Données projet'!$A$140,$CQ$205^A12,IF(A12='Données projet'!$A$140,'Données projet'!$B$140,CT11+CS12-DB11)))</f>
        <v>4.9707216295015186</v>
      </c>
      <c r="CU12" s="17">
        <f>CT12*VLOOKUP('Données projet'!$B$13,Paramètres!$A$1:$I$89,3,0)*VLOOKUP('Données projet'!$B$13,Paramètres!$A$1:$I$89,5,0)</f>
        <v>2.843252772074869</v>
      </c>
      <c r="CV12" s="13">
        <f t="shared" si="41"/>
        <v>1.1602281952605602</v>
      </c>
      <c r="CW12" s="20">
        <f t="shared" si="13"/>
        <v>6.9727293514425392</v>
      </c>
      <c r="CX12" s="59">
        <f t="shared" si="14"/>
        <v>300.30606268477584</v>
      </c>
      <c r="CY12" s="59">
        <f ca="1">AVERAGE(OFFSET($CX$3,0,0,'Données projet'!$E$13+1,1))-AVERAGE(OFFSET($H$3,0,0,'Données projet'!$E$13+1,1))</f>
        <v>149.8619613776458</v>
      </c>
      <c r="CZ12" s="59">
        <f t="shared" si="42"/>
        <v>108.55560257938146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1">
        <f t="shared" si="32"/>
        <v>2.9299318202987461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67">
        <f t="shared" si="1"/>
        <v>312.56469792035364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10.8</v>
      </c>
      <c r="N13" s="13">
        <f>IF('Données projet'!$A$36&gt;35,N12+M13-V12,IF(A13&lt;'Données projet'!$A$36,$K$205^A13,IF(A13='Données projet'!$A$36,'Données projet'!$B$36,N12+M13-V12)))</f>
        <v>29.717345240051621</v>
      </c>
      <c r="O13" s="13">
        <f>N13*VLOOKUP('Données projet'!$B$9,Paramètres!$A$1:$I$89,3,0)*VLOOKUP('Données projet'!$B$9,Paramètres!$A$1:$I$89,5,0)</f>
        <v>16.611995989188856</v>
      </c>
      <c r="P13" s="13">
        <f t="shared" si="33"/>
        <v>5.5197166337850669</v>
      </c>
      <c r="Q13" s="20">
        <f t="shared" si="2"/>
        <v>38.546066151679575</v>
      </c>
      <c r="R13" s="59">
        <f t="shared" si="0"/>
        <v>331.87939948501287</v>
      </c>
      <c r="S13" s="59">
        <f ca="1">AVERAGE(OFFSET($R$3,0,0,'Données projet'!$E$9+1,1))-AVERAGE(OFFSET($H$3,0,0,'Données projet'!$E$9+1,1))</f>
        <v>467.03705646400994</v>
      </c>
      <c r="T13" s="59">
        <f t="shared" si="34"/>
        <v>575.68119027684361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2.2000000000000002</v>
      </c>
      <c r="AI13" s="13">
        <f>IF('Données projet'!$A$62&gt;35,AI12+AH13-AQ12,IF(A13&lt;'Données projet'!$A$62,$AF$205^A13,IF(A13='Données projet'!$A$62,'Données projet'!$B$62,AI12+AH13-AQ12)))</f>
        <v>6.6332495807107952</v>
      </c>
      <c r="AJ13" s="13">
        <f>AI13*VLOOKUP('Données projet'!$B$10,Paramètres!$A$1:$I$89,3,0)*VLOOKUP('Données projet'!$B$10,Paramètres!$A$1:$I$89,5,0)</f>
        <v>4.139147738363536</v>
      </c>
      <c r="AK13" s="13">
        <f t="shared" si="35"/>
        <v>1.6167935233392083</v>
      </c>
      <c r="AL13" s="20">
        <f t="shared" si="4"/>
        <v>10.024931030798948</v>
      </c>
      <c r="AM13" s="59">
        <f t="shared" si="5"/>
        <v>303.35826436413225</v>
      </c>
      <c r="AN13" s="59">
        <f ca="1">AVERAGE(OFFSET($AM$3,0,0,'Données projet'!$E$10+1,1))-AVERAGE(OFFSET($H$3,0,0,'Données projet'!$E$10+1,1))</f>
        <v>252.44760109054914</v>
      </c>
      <c r="AO13" s="59">
        <f t="shared" si="36"/>
        <v>121.75506329394773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6.9411764705882355</v>
      </c>
      <c r="BD13" s="12">
        <f>IF('Données projet'!$A$88&gt;35,BD12+BC13-BL12,IF(A13&lt;'Données projet'!$A$88,$BA$205^A13,IF(A13='Données projet'!$A$88,'Données projet'!$B$88,BD12+BC13-BL12)))</f>
        <v>16.548328060996262</v>
      </c>
      <c r="BE13" s="13">
        <f>BD13*VLOOKUP('Données projet'!$B$11,Paramètres!$A$1:$I$89,3,0)*VLOOKUP('Données projet'!$B$11,Paramètres!$A$1:$I$89,5,0)</f>
        <v>9.8959001804757651</v>
      </c>
      <c r="BF13" s="13">
        <f t="shared" si="37"/>
        <v>3.4924996655094662</v>
      </c>
      <c r="BG13" s="20">
        <f t="shared" si="7"/>
        <v>23.318129731757608</v>
      </c>
      <c r="BH13" s="59">
        <f t="shared" si="8"/>
        <v>316.65146306509092</v>
      </c>
      <c r="BI13" s="59">
        <f ca="1">AVERAGE(OFFSET($BH$3,0,0,'Données projet'!$E$11+1,1))-AVERAGE(OFFSET($H$3,0,0,'Données projet'!$E$11+1,1))</f>
        <v>260.97162394079265</v>
      </c>
      <c r="BJ13" s="59">
        <f t="shared" si="38"/>
        <v>279.1836614199691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306.13533976477066</v>
      </c>
      <c r="CD13" s="59">
        <f ca="1">AVERAGE(OFFSET($CC$3,0,0,'Données projet'!$E$12+1,1))-AVERAGE(OFFSET($H$3,0,0,'Données projet'!$E$12+1,1))</f>
        <v>264.70281355687837</v>
      </c>
      <c r="CE13" s="59">
        <f t="shared" si="40"/>
        <v>199.74194600786768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3.44</v>
      </c>
      <c r="CT13" s="12">
        <f>IF('Données projet'!$A$140&gt;35,CT12+CS13-DB12,IF(A13&lt;'Données projet'!$A$140,$CQ$205^A13,IF(A13='Données projet'!$A$140,'Données projet'!$B$140,CT12+CS13-DB12)))</f>
        <v>5.9401769262883519</v>
      </c>
      <c r="CU13" s="17">
        <f>CT13*VLOOKUP('Données projet'!$B$13,Paramètres!$A$1:$I$89,3,0)*VLOOKUP('Données projet'!$B$13,Paramètres!$A$1:$I$89,5,0)</f>
        <v>3.3977812018369375</v>
      </c>
      <c r="CV13" s="13">
        <f t="shared" si="41"/>
        <v>1.358051778167263</v>
      </c>
      <c r="CW13" s="20">
        <f t="shared" si="13"/>
        <v>8.2830757735073153</v>
      </c>
      <c r="CX13" s="59">
        <f t="shared" si="14"/>
        <v>301.61640910684065</v>
      </c>
      <c r="CY13" s="59">
        <f ca="1">AVERAGE(OFFSET($CX$3,0,0,'Données projet'!$E$13+1,1))-AVERAGE(OFFSET($H$3,0,0,'Données projet'!$E$13+1,1))</f>
        <v>149.8619613776458</v>
      </c>
      <c r="CZ13" s="59">
        <f t="shared" si="42"/>
        <v>108.55560257938146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1">
        <f t="shared" si="32"/>
        <v>3.187367140202428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67">
        <f t="shared" si="1"/>
        <v>314.42590443585254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41.716802244415881</v>
      </c>
      <c r="O14" s="13">
        <f>N14*VLOOKUP('Données projet'!$B$9,Paramètres!$A$1:$I$89,3,0)*VLOOKUP('Données projet'!$B$9,Paramètres!$A$1:$I$89,5,0)</f>
        <v>23.319692454628481</v>
      </c>
      <c r="P14" s="13">
        <f t="shared" si="33"/>
        <v>7.4485536005574575</v>
      </c>
      <c r="Q14" s="20">
        <f t="shared" si="2"/>
        <v>53.58802854611551</v>
      </c>
      <c r="R14" s="59">
        <f t="shared" si="0"/>
        <v>346.9213618794488</v>
      </c>
      <c r="S14" s="59">
        <f ca="1">AVERAGE(OFFSET($R$3,0,0,'Données projet'!$E$9+1,1))-AVERAGE(OFFSET($H$3,0,0,'Données projet'!$E$9+1,1))</f>
        <v>467.03705646400994</v>
      </c>
      <c r="T14" s="59">
        <f t="shared" si="34"/>
        <v>575.68119027684361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2.2000000000000002</v>
      </c>
      <c r="AI14" s="13">
        <f>IF('Données projet'!$A$62&gt;35,AI13+AH14-AQ13,IF(A14&lt;'Données projet'!$A$62,$AF$205^A14,IF(A14='Données projet'!$A$62,'Données projet'!$B$62,AI13+AH14-AQ13)))</f>
        <v>8.0149159438778828</v>
      </c>
      <c r="AJ14" s="13">
        <f>AI14*VLOOKUP('Données projet'!$B$10,Paramètres!$A$1:$I$89,3,0)*VLOOKUP('Données projet'!$B$10,Paramètres!$A$1:$I$89,5,0)</f>
        <v>5.0013075489797991</v>
      </c>
      <c r="AK14" s="13">
        <f t="shared" si="35"/>
        <v>1.9110070974978903</v>
      </c>
      <c r="AL14" s="20">
        <f t="shared" si="4"/>
        <v>12.038948009281976</v>
      </c>
      <c r="AM14" s="59">
        <f t="shared" si="5"/>
        <v>305.37228134261528</v>
      </c>
      <c r="AN14" s="59">
        <f ca="1">AVERAGE(OFFSET($AM$3,0,0,'Données projet'!$E$10+1,1))-AVERAGE(OFFSET($H$3,0,0,'Données projet'!$E$10+1,1))</f>
        <v>252.44760109054914</v>
      </c>
      <c r="AO14" s="59">
        <f t="shared" si="36"/>
        <v>121.75506329394773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6.9411764705882355</v>
      </c>
      <c r="BD14" s="12">
        <f>IF('Données projet'!$A$88&gt;35,BD13+BC14-BL13,IF(A14&lt;'Données projet'!$A$88,$BA$205^A14,IF(A14='Données projet'!$A$88,'Données projet'!$B$88,BD13+BC14-BL13)))</f>
        <v>21.909352063600231</v>
      </c>
      <c r="BE14" s="13">
        <f>BD14*VLOOKUP('Données projet'!$B$11,Paramètres!$A$1:$I$89,3,0)*VLOOKUP('Données projet'!$B$11,Paramètres!$A$1:$I$89,5,0)</f>
        <v>13.101792534032938</v>
      </c>
      <c r="BF14" s="13">
        <f t="shared" si="37"/>
        <v>4.4753343563761101</v>
      </c>
      <c r="BG14" s="20">
        <f t="shared" si="7"/>
        <v>30.613496000795752</v>
      </c>
      <c r="BH14" s="59">
        <f t="shared" si="8"/>
        <v>323.94682933412906</v>
      </c>
      <c r="BI14" s="59">
        <f ca="1">AVERAGE(OFFSET($BH$3,0,0,'Données projet'!$E$11+1,1))-AVERAGE(OFFSET($H$3,0,0,'Données projet'!$E$11+1,1))</f>
        <v>260.97162394079265</v>
      </c>
      <c r="BJ14" s="59">
        <f t="shared" si="38"/>
        <v>279.1836614199691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309.15531959729486</v>
      </c>
      <c r="CD14" s="59">
        <f ca="1">AVERAGE(OFFSET($CC$3,0,0,'Données projet'!$E$12+1,1))-AVERAGE(OFFSET($H$3,0,0,'Données projet'!$E$12+1,1))</f>
        <v>264.70281355687837</v>
      </c>
      <c r="CE14" s="59">
        <f t="shared" si="40"/>
        <v>199.74194600786768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3.44</v>
      </c>
      <c r="CT14" s="12">
        <f>IF('Données projet'!$A$140&gt;35,CT13+CS14-DB13,IF(A14&lt;'Données projet'!$A$140,$CQ$205^A14,IF(A14='Données projet'!$A$140,'Données projet'!$B$140,CT13+CS14-DB13)))</f>
        <v>7.0987081043094156</v>
      </c>
      <c r="CU14" s="17">
        <f>CT14*VLOOKUP('Données projet'!$B$13,Paramètres!$A$1:$I$89,3,0)*VLOOKUP('Données projet'!$B$13,Paramètres!$A$1:$I$89,5,0)</f>
        <v>4.0604610356649857</v>
      </c>
      <c r="CV14" s="13">
        <f t="shared" si="41"/>
        <v>1.5896050791707201</v>
      </c>
      <c r="CW14" s="20">
        <f t="shared" si="13"/>
        <v>9.840531816672188</v>
      </c>
      <c r="CX14" s="59">
        <f t="shared" si="14"/>
        <v>303.1738651500055</v>
      </c>
      <c r="CY14" s="59">
        <f ca="1">AVERAGE(OFFSET($CX$3,0,0,'Données projet'!$E$13+1,1))-AVERAGE(OFFSET($H$3,0,0,'Données projet'!$E$13+1,1))</f>
        <v>149.8619613776458</v>
      </c>
      <c r="CZ14" s="59">
        <f t="shared" si="42"/>
        <v>108.55560257938146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1">
        <f t="shared" si="32"/>
        <v>3.442088746331315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67">
        <f t="shared" si="1"/>
        <v>316.28238456652701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58.561475644675681</v>
      </c>
      <c r="O15" s="13">
        <f>N15*VLOOKUP('Données projet'!$B$9,Paramètres!$A$1:$I$89,3,0)*VLOOKUP('Données projet'!$B$9,Paramètres!$A$1:$I$89,5,0)</f>
        <v>32.735864885373708</v>
      </c>
      <c r="P15" s="13">
        <f t="shared" si="33"/>
        <v>10.051412857100269</v>
      </c>
      <c r="Q15" s="20">
        <f t="shared" si="2"/>
        <v>74.521175401475503</v>
      </c>
      <c r="R15" s="59">
        <f t="shared" si="0"/>
        <v>367.8545087348088</v>
      </c>
      <c r="S15" s="59">
        <f ca="1">AVERAGE(OFFSET($R$3,0,0,'Données projet'!$E$9+1,1))-AVERAGE(OFFSET($H$3,0,0,'Données projet'!$E$9+1,1))</f>
        <v>467.03705646400994</v>
      </c>
      <c r="T15" s="59">
        <f t="shared" si="34"/>
        <v>575.68119027684361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2.2000000000000002</v>
      </c>
      <c r="AI15" s="13">
        <f>IF('Données projet'!$A$62&gt;35,AI14+AH15-AQ14,IF(A15&lt;'Données projet'!$A$62,$AF$205^A15,IF(A15='Données projet'!$A$62,'Données projet'!$B$62,AI14+AH15-AQ14)))</f>
        <v>9.6843751777758786</v>
      </c>
      <c r="AJ15" s="13">
        <f>AI15*VLOOKUP('Données projet'!$B$10,Paramètres!$A$1:$I$89,3,0)*VLOOKUP('Données projet'!$B$10,Paramètres!$A$1:$I$89,5,0)</f>
        <v>6.0430501109321479</v>
      </c>
      <c r="AK15" s="13">
        <f t="shared" si="35"/>
        <v>2.2587597451187462</v>
      </c>
      <c r="AL15" s="20">
        <f t="shared" si="4"/>
        <v>14.458985499288643</v>
      </c>
      <c r="AM15" s="59">
        <f t="shared" si="5"/>
        <v>307.79231883262196</v>
      </c>
      <c r="AN15" s="59">
        <f ca="1">AVERAGE(OFFSET($AM$3,0,0,'Données projet'!$E$10+1,1))-AVERAGE(OFFSET($H$3,0,0,'Données projet'!$E$10+1,1))</f>
        <v>252.44760109054914</v>
      </c>
      <c r="AO15" s="59">
        <f t="shared" si="36"/>
        <v>121.75506329394773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6.9411764705882355</v>
      </c>
      <c r="BD15" s="12">
        <f>IF('Données projet'!$A$88&gt;35,BD14+BC15-BL14,IF(A15&lt;'Données projet'!$A$88,$BA$205^A15,IF(A15='Données projet'!$A$88,'Données projet'!$B$88,BD14+BC15-BL14)))</f>
        <v>29.007142357672414</v>
      </c>
      <c r="BE15" s="13">
        <f>BD15*VLOOKUP('Données projet'!$B$11,Paramètres!$A$1:$I$89,3,0)*VLOOKUP('Données projet'!$B$11,Paramètres!$A$1:$I$89,5,0)</f>
        <v>17.346271129888105</v>
      </c>
      <c r="BF15" s="13">
        <f t="shared" si="37"/>
        <v>5.7347514730366376</v>
      </c>
      <c r="BG15" s="20">
        <f t="shared" si="7"/>
        <v>40.19944770009392</v>
      </c>
      <c r="BH15" s="59">
        <f t="shared" si="8"/>
        <v>333.53278103342723</v>
      </c>
      <c r="BI15" s="59">
        <f ca="1">AVERAGE(OFFSET($BH$3,0,0,'Données projet'!$E$11+1,1))-AVERAGE(OFFSET($H$3,0,0,'Données projet'!$E$11+1,1))</f>
        <v>260.97162394079265</v>
      </c>
      <c r="BJ15" s="59">
        <f t="shared" si="38"/>
        <v>279.1836614199691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312.8902077629582</v>
      </c>
      <c r="CD15" s="59">
        <f ca="1">AVERAGE(OFFSET($CC$3,0,0,'Données projet'!$E$12+1,1))-AVERAGE(OFFSET($H$3,0,0,'Données projet'!$E$12+1,1))</f>
        <v>264.70281355687837</v>
      </c>
      <c r="CE15" s="59">
        <f t="shared" si="40"/>
        <v>199.74194600786768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3.44</v>
      </c>
      <c r="CT15" s="12">
        <f>IF('Données projet'!$A$140&gt;35,CT14+CS15-DB14,IF(A15&lt;'Données projet'!$A$140,$CQ$205^A15,IF(A15='Données projet'!$A$140,'Données projet'!$B$140,CT14+CS15-DB14)))</f>
        <v>8.4831912206485054</v>
      </c>
      <c r="CU15" s="17">
        <f>CT15*VLOOKUP('Données projet'!$B$13,Paramètres!$A$1:$I$89,3,0)*VLOOKUP('Données projet'!$B$13,Paramètres!$A$1:$I$89,5,0)</f>
        <v>4.8523853782109452</v>
      </c>
      <c r="CV15" s="13">
        <f t="shared" si="41"/>
        <v>1.8606391511341447</v>
      </c>
      <c r="CW15" s="20">
        <f t="shared" si="13"/>
        <v>11.691851055276031</v>
      </c>
      <c r="CX15" s="59">
        <f t="shared" si="14"/>
        <v>305.02518438860932</v>
      </c>
      <c r="CY15" s="59">
        <f ca="1">AVERAGE(OFFSET($CX$3,0,0,'Données projet'!$E$13+1,1))-AVERAGE(OFFSET($H$3,0,0,'Données projet'!$E$13+1,1))</f>
        <v>149.8619613776458</v>
      </c>
      <c r="CZ15" s="59">
        <f t="shared" si="42"/>
        <v>108.55560257938146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1">
        <f t="shared" si="32"/>
        <v>3.6943484919296665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67">
        <f t="shared" si="1"/>
        <v>318.13457695677749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82.20779746225638</v>
      </c>
      <c r="O16" s="13">
        <f>N16*VLOOKUP('Données projet'!$B$9,Paramètres!$A$1:$I$89,3,0)*VLOOKUP('Données projet'!$B$9,Paramètres!$A$1:$I$89,5,0)</f>
        <v>45.954158781401318</v>
      </c>
      <c r="P16" s="13">
        <f t="shared" si="33"/>
        <v>13.563828072113143</v>
      </c>
      <c r="Q16" s="20">
        <f t="shared" si="2"/>
        <v>103.66049376987102</v>
      </c>
      <c r="R16" s="59">
        <f t="shared" si="0"/>
        <v>396.99382710320435</v>
      </c>
      <c r="S16" s="59">
        <f ca="1">AVERAGE(OFFSET($R$3,0,0,'Données projet'!$E$9+1,1))-AVERAGE(OFFSET($H$3,0,0,'Données projet'!$E$9+1,1))</f>
        <v>467.03705646400994</v>
      </c>
      <c r="T16" s="59">
        <f t="shared" si="34"/>
        <v>575.68119027684361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2.2000000000000002</v>
      </c>
      <c r="AI16" s="13">
        <f>IF('Données projet'!$A$62&gt;35,AI15+AH16-AQ15,IF(A16&lt;'Données projet'!$A$62,$AF$205^A16,IF(A16='Données projet'!$A$62,'Données projet'!$B$62,AI15+AH16-AQ15)))</f>
        <v>11.70157282255218</v>
      </c>
      <c r="AJ16" s="13">
        <f>AI16*VLOOKUP('Données projet'!$B$10,Paramètres!$A$1:$I$89,3,0)*VLOOKUP('Données projet'!$B$10,Paramètres!$A$1:$I$89,5,0)</f>
        <v>7.3017814412725599</v>
      </c>
      <c r="AK16" s="13">
        <f t="shared" si="35"/>
        <v>2.6697941587182075</v>
      </c>
      <c r="AL16" s="20">
        <f t="shared" si="4"/>
        <v>17.367160836650587</v>
      </c>
      <c r="AM16" s="59">
        <f t="shared" si="5"/>
        <v>310.70049416998393</v>
      </c>
      <c r="AN16" s="59">
        <f ca="1">AVERAGE(OFFSET($AM$3,0,0,'Données projet'!$E$10+1,1))-AVERAGE(OFFSET($H$3,0,0,'Données projet'!$E$10+1,1))</f>
        <v>252.44760109054914</v>
      </c>
      <c r="AO16" s="59">
        <f t="shared" si="36"/>
        <v>121.75506329394773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6.9411764705882355</v>
      </c>
      <c r="BD16" s="12">
        <f>IF('Données projet'!$A$88&gt;35,BD15+BC16-BL15,IF(A16&lt;'Données projet'!$A$88,$BA$205^A16,IF(A16='Données projet'!$A$88,'Données projet'!$B$88,BD15+BC16-BL15)))</f>
        <v>38.404344652263013</v>
      </c>
      <c r="BE16" s="13">
        <f>BD16*VLOOKUP('Données projet'!$B$11,Paramètres!$A$1:$I$89,3,0)*VLOOKUP('Données projet'!$B$11,Paramètres!$A$1:$I$89,5,0)</f>
        <v>22.965798102053284</v>
      </c>
      <c r="BF16" s="13">
        <f t="shared" si="37"/>
        <v>7.3485848963755025</v>
      </c>
      <c r="BG16" s="20">
        <f t="shared" si="7"/>
        <v>52.797550388930141</v>
      </c>
      <c r="BH16" s="59">
        <f t="shared" si="8"/>
        <v>346.13088372226343</v>
      </c>
      <c r="BI16" s="59">
        <f ca="1">AVERAGE(OFFSET($BH$3,0,0,'Données projet'!$E$11+1,1))-AVERAGE(OFFSET($H$3,0,0,'Données projet'!$E$11+1,1))</f>
        <v>260.97162394079265</v>
      </c>
      <c r="BJ16" s="59">
        <f t="shared" si="38"/>
        <v>279.1836614199691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317.50979388947383</v>
      </c>
      <c r="CD16" s="59">
        <f ca="1">AVERAGE(OFFSET($CC$3,0,0,'Données projet'!$E$12+1,1))-AVERAGE(OFFSET($H$3,0,0,'Données projet'!$E$12+1,1))</f>
        <v>264.70281355687837</v>
      </c>
      <c r="CE16" s="59">
        <f t="shared" si="40"/>
        <v>199.74194600786768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3.44</v>
      </c>
      <c r="CT16" s="12">
        <f>IF('Données projet'!$A$140&gt;35,CT15+CS16-DB15,IF(A16&lt;'Données projet'!$A$140,$CQ$205^A16,IF(A16='Données projet'!$A$140,'Données projet'!$B$140,CT15+CS16-DB15)))</f>
        <v>10.137694384475443</v>
      </c>
      <c r="CU16" s="17">
        <f>CT16*VLOOKUP('Données projet'!$B$13,Paramètres!$A$1:$I$89,3,0)*VLOOKUP('Données projet'!$B$13,Paramètres!$A$1:$I$89,5,0)</f>
        <v>5.7987611879199532</v>
      </c>
      <c r="CV16" s="13">
        <f t="shared" si="41"/>
        <v>2.1778856246101492</v>
      </c>
      <c r="CW16" s="20">
        <f t="shared" si="13"/>
        <v>13.892659865156595</v>
      </c>
      <c r="CX16" s="59">
        <f t="shared" si="14"/>
        <v>307.2259931984899</v>
      </c>
      <c r="CY16" s="59">
        <f ca="1">AVERAGE(OFFSET($CX$3,0,0,'Données projet'!$E$13+1,1))-AVERAGE(OFFSET($H$3,0,0,'Données projet'!$E$13+1,1))</f>
        <v>149.8619613776458</v>
      </c>
      <c r="CZ16" s="59">
        <f t="shared" si="42"/>
        <v>108.55560257938146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1">
        <f t="shared" si="32"/>
        <v>3.9443572825295607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67">
        <f t="shared" si="1"/>
        <v>319.98284893373898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115.40218017388374</v>
      </c>
      <c r="O17" s="13">
        <f>N17*VLOOKUP('Données projet'!$B$9,Paramètres!$A$1:$I$89,3,0)*VLOOKUP('Données projet'!$B$9,Paramètres!$A$1:$I$89,5,0)</f>
        <v>64.509818717201014</v>
      </c>
      <c r="P17" s="13">
        <f t="shared" si="33"/>
        <v>18.303638959560171</v>
      </c>
      <c r="Q17" s="20">
        <f t="shared" si="2"/>
        <v>144.23343878702573</v>
      </c>
      <c r="R17" s="59">
        <f t="shared" si="0"/>
        <v>437.56677212035902</v>
      </c>
      <c r="S17" s="59">
        <f ca="1">AVERAGE(OFFSET($R$3,0,0,'Données projet'!$E$9+1,1))-AVERAGE(OFFSET($H$3,0,0,'Données projet'!$E$9+1,1))</f>
        <v>467.03705646400994</v>
      </c>
      <c r="T17" s="59">
        <f t="shared" si="34"/>
        <v>575.68119027684361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2.2000000000000002</v>
      </c>
      <c r="AI17" s="13">
        <f>IF('Données projet'!$A$62&gt;35,AI16+AH17-AQ16,IF(A17&lt;'Données projet'!$A$62,$AF$205^A17,IF(A17='Données projet'!$A$62,'Données projet'!$B$62,AI16+AH17-AQ16)))</f>
        <v>14.138940717178878</v>
      </c>
      <c r="AJ17" s="13">
        <f>AI17*VLOOKUP('Données projet'!$B$10,Paramètres!$A$1:$I$89,3,0)*VLOOKUP('Données projet'!$B$10,Paramètres!$A$1:$I$89,5,0)</f>
        <v>8.8226990075196206</v>
      </c>
      <c r="AK17" s="13">
        <f t="shared" si="35"/>
        <v>3.1556259426569269</v>
      </c>
      <c r="AL17" s="20">
        <f t="shared" si="4"/>
        <v>20.862249288224152</v>
      </c>
      <c r="AM17" s="59">
        <f t="shared" si="5"/>
        <v>314.19558262155749</v>
      </c>
      <c r="AN17" s="59">
        <f ca="1">AVERAGE(OFFSET($AM$3,0,0,'Données projet'!$E$10+1,1))-AVERAGE(OFFSET($H$3,0,0,'Données projet'!$E$10+1,1))</f>
        <v>252.44760109054914</v>
      </c>
      <c r="AO17" s="59">
        <f t="shared" si="36"/>
        <v>121.75506329394773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6.9411764705882355</v>
      </c>
      <c r="BD17" s="12">
        <f>IF('Données projet'!$A$88&gt;35,BD16+BC17-BL16,IF(A17&lt;'Données projet'!$A$88,$BA$205^A17,IF(A17='Données projet'!$A$88,'Données projet'!$B$88,BD16+BC17-BL16)))</f>
        <v>50.845880300225161</v>
      </c>
      <c r="BE17" s="13">
        <f>BD17*VLOOKUP('Données projet'!$B$11,Paramètres!$A$1:$I$89,3,0)*VLOOKUP('Données projet'!$B$11,Paramètres!$A$1:$I$89,5,0)</f>
        <v>30.405836419534648</v>
      </c>
      <c r="BF17" s="13">
        <f t="shared" si="37"/>
        <v>9.4165719705798292</v>
      </c>
      <c r="BG17" s="20">
        <f t="shared" si="7"/>
        <v>69.357361279449364</v>
      </c>
      <c r="BH17" s="59">
        <f t="shared" si="8"/>
        <v>362.69069461278269</v>
      </c>
      <c r="BI17" s="59">
        <f ca="1">AVERAGE(OFFSET($BH$3,0,0,'Données projet'!$E$11+1,1))-AVERAGE(OFFSET($H$3,0,0,'Données projet'!$E$11+1,1))</f>
        <v>260.97162394079265</v>
      </c>
      <c r="BJ17" s="59">
        <f t="shared" si="38"/>
        <v>279.1836614199691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323.2243139626886</v>
      </c>
      <c r="CD17" s="59">
        <f ca="1">AVERAGE(OFFSET($CC$3,0,0,'Données projet'!$E$12+1,1))-AVERAGE(OFFSET($H$3,0,0,'Données projet'!$E$12+1,1))</f>
        <v>264.70281355687837</v>
      </c>
      <c r="CE17" s="59">
        <f t="shared" si="40"/>
        <v>199.74194600786768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3.44</v>
      </c>
      <c r="CT17" s="12">
        <f>IF('Données projet'!$A$140&gt;35,CT16+CS17-DB16,IF(A17&lt;'Données projet'!$A$140,$CQ$205^A17,IF(A17='Données projet'!$A$140,'Données projet'!$B$140,CT16+CS17-DB16)))</f>
        <v>12.114880445329439</v>
      </c>
      <c r="CU17" s="17">
        <f>CT17*VLOOKUP('Données projet'!$B$13,Paramètres!$A$1:$I$89,3,0)*VLOOKUP('Données projet'!$B$13,Paramètres!$A$1:$I$89,5,0)</f>
        <v>6.9297116147284399</v>
      </c>
      <c r="CV17" s="13">
        <f t="shared" si="41"/>
        <v>2.5492239002884327</v>
      </c>
      <c r="CW17" s="20">
        <f t="shared" si="13"/>
        <v>16.509146021987714</v>
      </c>
      <c r="CX17" s="59">
        <f t="shared" si="14"/>
        <v>309.84247935532102</v>
      </c>
      <c r="CY17" s="59">
        <f ca="1">AVERAGE(OFFSET($CX$3,0,0,'Données projet'!$E$13+1,1))-AVERAGE(OFFSET($H$3,0,0,'Données projet'!$E$13+1,1))</f>
        <v>149.8619613776458</v>
      </c>
      <c r="CZ17" s="59">
        <f t="shared" si="42"/>
        <v>108.55560257938146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1">
        <f t="shared" si="32"/>
        <v>4.1922941870296242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67">
        <f t="shared" si="1"/>
        <v>321.82751237574325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162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162</v>
      </c>
      <c r="O18" s="13">
        <f>N18*VLOOKUP('Données projet'!$B$9,Paramètres!$A$1:$I$89,3,0)*VLOOKUP('Données projet'!$B$9,Paramètres!$A$1:$I$89,5,0)</f>
        <v>90.557999999999993</v>
      </c>
      <c r="P18" s="13">
        <f t="shared" si="33"/>
        <v>24.699752708509138</v>
      </c>
      <c r="Q18" s="20">
        <f t="shared" si="2"/>
        <v>200.74058596732007</v>
      </c>
      <c r="R18" s="59">
        <f t="shared" si="0"/>
        <v>494.07391930065342</v>
      </c>
      <c r="S18" s="59">
        <f ca="1">AVERAGE(OFFSET($R$3,0,0,'Données projet'!$E$9+1,1))-AVERAGE(OFFSET($H$3,0,0,'Données projet'!$E$9+1,1))</f>
        <v>467.03705646400994</v>
      </c>
      <c r="T18" s="59">
        <f t="shared" si="34"/>
        <v>575.68119027684361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2.2000000000000002</v>
      </c>
      <c r="AI18" s="13">
        <f>IF('Données projet'!$A$62&gt;35,AI17+AH18-AQ17,IF(A18&lt;'Données projet'!$A$62,$AF$205^A18,IF(A18='Données projet'!$A$62,'Données projet'!$B$62,AI17+AH18-AQ17)))</f>
        <v>17.083997821097807</v>
      </c>
      <c r="AJ18" s="13">
        <f>AI18*VLOOKUP('Données projet'!$B$10,Paramètres!$A$1:$I$89,3,0)*VLOOKUP('Données projet'!$B$10,Paramètres!$A$1:$I$89,5,0)</f>
        <v>10.660414640365032</v>
      </c>
      <c r="AK18" s="13">
        <f t="shared" si="35"/>
        <v>3.7298662361110004</v>
      </c>
      <c r="AL18" s="20">
        <f t="shared" si="4"/>
        <v>25.063072526529087</v>
      </c>
      <c r="AM18" s="59">
        <f t="shared" si="5"/>
        <v>318.3964058598624</v>
      </c>
      <c r="AN18" s="59">
        <f ca="1">AVERAGE(OFFSET($AM$3,0,0,'Données projet'!$E$10+1,1))-AVERAGE(OFFSET($H$3,0,0,'Données projet'!$E$10+1,1))</f>
        <v>252.44760109054914</v>
      </c>
      <c r="AO18" s="59">
        <f t="shared" si="36"/>
        <v>121.75506329394773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6.9411764705882355</v>
      </c>
      <c r="BD18" s="12">
        <f>IF('Données projet'!$A$88&gt;35,BD17+BC18-BL17,IF(A18&lt;'Données projet'!$A$88,$BA$205^A18,IF(A18='Données projet'!$A$88,'Données projet'!$B$88,BD17+BC18-BL17)))</f>
        <v>67.317996620272581</v>
      </c>
      <c r="BE18" s="13">
        <f>BD18*VLOOKUP('Données projet'!$B$11,Paramètres!$A$1:$I$89,3,0)*VLOOKUP('Données projet'!$B$11,Paramètres!$A$1:$I$89,5,0)</f>
        <v>40.256161978923011</v>
      </c>
      <c r="BF18" s="13">
        <f t="shared" si="37"/>
        <v>12.066517421720839</v>
      </c>
      <c r="BG18" s="20">
        <f t="shared" si="7"/>
        <v>91.128666622788032</v>
      </c>
      <c r="BH18" s="59">
        <f t="shared" si="8"/>
        <v>384.46199995612136</v>
      </c>
      <c r="BI18" s="59">
        <f ca="1">AVERAGE(OFFSET($BH$3,0,0,'Données projet'!$E$11+1,1))-AVERAGE(OFFSET($H$3,0,0,'Données projet'!$E$11+1,1))</f>
        <v>260.97162394079265</v>
      </c>
      <c r="BJ18" s="59">
        <f t="shared" si="38"/>
        <v>279.1836614199691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330.29411192516659</v>
      </c>
      <c r="CD18" s="59">
        <f ca="1">AVERAGE(OFFSET($CC$3,0,0,'Données projet'!$E$12+1,1))-AVERAGE(OFFSET($H$3,0,0,'Données projet'!$E$12+1,1))</f>
        <v>264.70281355687837</v>
      </c>
      <c r="CE18" s="59">
        <f t="shared" si="40"/>
        <v>199.74194600786768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3.44</v>
      </c>
      <c r="CT18" s="12">
        <f>IF('Données projet'!$A$140&gt;35,CT17+CS18-DB17,IF(A18&lt;'Données projet'!$A$140,$CQ$205^A18,IF(A18='Données projet'!$A$140,'Données projet'!$B$140,CT17+CS18-DB17)))</f>
        <v>14.477683252060272</v>
      </c>
      <c r="CU18" s="17">
        <f>CT18*VLOOKUP('Données projet'!$B$13,Paramètres!$A$1:$I$89,3,0)*VLOOKUP('Données projet'!$B$13,Paramètres!$A$1:$I$89,5,0)</f>
        <v>8.2812348201784758</v>
      </c>
      <c r="CV18" s="13">
        <f t="shared" si="41"/>
        <v>2.9838768484295555</v>
      </c>
      <c r="CW18" s="20">
        <f t="shared" si="13"/>
        <v>19.62006948949232</v>
      </c>
      <c r="CX18" s="59">
        <f t="shared" si="14"/>
        <v>312.95340282282564</v>
      </c>
      <c r="CY18" s="59">
        <f ca="1">AVERAGE(OFFSET($CX$3,0,0,'Données projet'!$E$13+1,1))-AVERAGE(OFFSET($H$3,0,0,'Données projet'!$E$13+1,1))</f>
        <v>149.8619613776458</v>
      </c>
      <c r="CZ18" s="59">
        <f t="shared" si="42"/>
        <v>108.55560257938146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1">
        <f t="shared" si="32"/>
        <v>4.4383130477080952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67">
        <f t="shared" si="1"/>
        <v>323.66883522475825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28.2</v>
      </c>
      <c r="N19" s="13">
        <f>IF('Données projet'!$A$36&gt;35,N18+M19-V18,IF(A19&lt;'Données projet'!$A$36,$K$205^A19,IF(A19='Données projet'!$A$36,'Données projet'!$B$36,N18+M19-V18)))</f>
        <v>190.2</v>
      </c>
      <c r="O19" s="13">
        <f>N19*VLOOKUP('Données projet'!$B$9,Paramètres!$A$1:$I$89,3,0)*VLOOKUP('Données projet'!$B$9,Paramètres!$A$1:$I$89,5,0)</f>
        <v>106.32179999999998</v>
      </c>
      <c r="P19" s="13">
        <f t="shared" si="33"/>
        <v>28.462664081653866</v>
      </c>
      <c r="Q19" s="20">
        <f t="shared" si="2"/>
        <v>234.7496082755471</v>
      </c>
      <c r="R19" s="59">
        <f t="shared" si="0"/>
        <v>528.08294160888045</v>
      </c>
      <c r="S19" s="59">
        <f ca="1">AVERAGE(OFFSET($R$3,0,0,'Données projet'!$E$9+1,1))-AVERAGE(OFFSET($H$3,0,0,'Données projet'!$E$9+1,1))</f>
        <v>467.03705646400994</v>
      </c>
      <c r="T19" s="59">
        <f t="shared" si="34"/>
        <v>575.68119027684361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2.2000000000000002</v>
      </c>
      <c r="AI19" s="13">
        <f>IF('Données projet'!$A$62&gt;35,AI18+AH19-AQ18,IF(A19&lt;'Données projet'!$A$62,$AF$205^A19,IF(A19='Données projet'!$A$62,'Données projet'!$B$62,AI18+AH19-AQ18)))</f>
        <v>20.642492771517155</v>
      </c>
      <c r="AJ19" s="13">
        <f>AI19*VLOOKUP('Données projet'!$B$10,Paramètres!$A$1:$I$89,3,0)*VLOOKUP('Données projet'!$B$10,Paramètres!$A$1:$I$89,5,0)</f>
        <v>12.880915489426705</v>
      </c>
      <c r="AK19" s="13">
        <f t="shared" si="35"/>
        <v>4.4086030448740408</v>
      </c>
      <c r="AL19" s="20">
        <f t="shared" si="4"/>
        <v>30.112578113907134</v>
      </c>
      <c r="AM19" s="59">
        <f t="shared" si="5"/>
        <v>323.44591144724046</v>
      </c>
      <c r="AN19" s="59">
        <f ca="1">AVERAGE(OFFSET($AM$3,0,0,'Données projet'!$E$10+1,1))-AVERAGE(OFFSET($H$3,0,0,'Données projet'!$E$10+1,1))</f>
        <v>252.44760109054914</v>
      </c>
      <c r="AO19" s="59">
        <f t="shared" si="36"/>
        <v>121.75506329394773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6.9411764705882355</v>
      </c>
      <c r="BD19" s="12">
        <f>IF('Données projet'!$A$88&gt;35,BD18+BC19-BL18,IF(A19&lt;'Données projet'!$A$88,$BA$205^A19,IF(A19='Données projet'!$A$88,'Données projet'!$B$88,BD18+BC19-BL18)))</f>
        <v>89.126447260014572</v>
      </c>
      <c r="BE19" s="13">
        <f>BD19*VLOOKUP('Données projet'!$B$11,Paramètres!$A$1:$I$89,3,0)*VLOOKUP('Données projet'!$B$11,Paramètres!$A$1:$I$89,5,0)</f>
        <v>53.297615461488718</v>
      </c>
      <c r="BF19" s="13">
        <f t="shared" si="37"/>
        <v>15.46219188294774</v>
      </c>
      <c r="BG19" s="20">
        <f t="shared" si="7"/>
        <v>119.75666445822681</v>
      </c>
      <c r="BH19" s="59">
        <f t="shared" si="8"/>
        <v>413.08999779156011</v>
      </c>
      <c r="BI19" s="59">
        <f ca="1">AVERAGE(OFFSET($BH$3,0,0,'Données projet'!$E$11+1,1))-AVERAGE(OFFSET($H$3,0,0,'Données projet'!$E$11+1,1))</f>
        <v>260.97162394079265</v>
      </c>
      <c r="BJ19" s="59">
        <f t="shared" si="38"/>
        <v>279.1836614199691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339.04161502361472</v>
      </c>
      <c r="CD19" s="59">
        <f ca="1">AVERAGE(OFFSET($CC$3,0,0,'Données projet'!$E$12+1,1))-AVERAGE(OFFSET($H$3,0,0,'Données projet'!$E$12+1,1))</f>
        <v>264.70281355687837</v>
      </c>
      <c r="CE19" s="59">
        <f t="shared" si="40"/>
        <v>199.74194600786768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3.44</v>
      </c>
      <c r="CT19" s="12">
        <f>IF('Données projet'!$A$140&gt;35,CT18+CS19-DB18,IF(A19&lt;'Données projet'!$A$140,$CQ$205^A19,IF(A19='Données projet'!$A$140,'Données projet'!$B$140,CT18+CS19-DB18)))</f>
        <v>17.301310837763435</v>
      </c>
      <c r="CU19" s="17">
        <f>CT19*VLOOKUP('Données projet'!$B$13,Paramètres!$A$1:$I$89,3,0)*VLOOKUP('Données projet'!$B$13,Paramètres!$A$1:$I$89,5,0)</f>
        <v>9.896349799200685</v>
      </c>
      <c r="CV19" s="13">
        <f t="shared" si="41"/>
        <v>3.4926398758408417</v>
      </c>
      <c r="CW19" s="20">
        <f t="shared" si="13"/>
        <v>23.319157017363992</v>
      </c>
      <c r="CX19" s="59">
        <f t="shared" si="14"/>
        <v>316.65249035069729</v>
      </c>
      <c r="CY19" s="59">
        <f ca="1">AVERAGE(OFFSET($CX$3,0,0,'Données projet'!$E$13+1,1))-AVERAGE(OFFSET($H$3,0,0,'Données projet'!$E$13+1,1))</f>
        <v>149.8619613776458</v>
      </c>
      <c r="CZ19" s="59">
        <f t="shared" si="42"/>
        <v>108.55560257938146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1">
        <f t="shared" si="32"/>
        <v>4.6825473896592289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67">
        <f t="shared" si="1"/>
        <v>325.50705003698982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28.2</v>
      </c>
      <c r="N20" s="13">
        <f>IF('Données projet'!$A$36&gt;35,N19+M20-V19,IF(A20&lt;'Données projet'!$A$36,$K$205^A20,IF(A20='Données projet'!$A$36,'Données projet'!$B$36,N19+M20-V19)))</f>
        <v>218.39999999999998</v>
      </c>
      <c r="O20" s="13">
        <f>N20*VLOOKUP('Données projet'!$B$9,Paramètres!$A$1:$I$89,3,0)*VLOOKUP('Données projet'!$B$9,Paramètres!$A$1:$I$89,5,0)</f>
        <v>122.0856</v>
      </c>
      <c r="P20" s="13">
        <f t="shared" si="33"/>
        <v>32.160942364346717</v>
      </c>
      <c r="Q20" s="20">
        <f t="shared" si="2"/>
        <v>268.64606128457052</v>
      </c>
      <c r="R20" s="59">
        <f t="shared" si="0"/>
        <v>561.97939461790384</v>
      </c>
      <c r="S20" s="59">
        <f ca="1">AVERAGE(OFFSET($R$3,0,0,'Données projet'!$E$9+1,1))-AVERAGE(OFFSET($H$3,0,0,'Données projet'!$E$9+1,1))</f>
        <v>467.03705646400994</v>
      </c>
      <c r="T20" s="59">
        <f t="shared" si="34"/>
        <v>575.68119027684361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2.2000000000000002</v>
      </c>
      <c r="AI20" s="13">
        <f>IF('Données projet'!$A$62&gt;35,AI19+AH20-AQ19,IF(A20&lt;'Données projet'!$A$62,$AF$205^A20,IF(A20='Données projet'!$A$62,'Données projet'!$B$62,AI19+AH20-AQ19)))</f>
        <v>24.942201016667909</v>
      </c>
      <c r="AJ20" s="13">
        <f>AI20*VLOOKUP('Données projet'!$B$10,Paramètres!$A$1:$I$89,3,0)*VLOOKUP('Données projet'!$B$10,Paramètres!$A$1:$I$89,5,0)</f>
        <v>15.563933434400775</v>
      </c>
      <c r="AK20" s="13">
        <f t="shared" si="35"/>
        <v>5.210851965441436</v>
      </c>
      <c r="AL20" s="20">
        <f t="shared" si="4"/>
        <v>36.182751238058522</v>
      </c>
      <c r="AM20" s="59">
        <f t="shared" si="5"/>
        <v>329.51608457139184</v>
      </c>
      <c r="AN20" s="59">
        <f ca="1">AVERAGE(OFFSET($AM$3,0,0,'Données projet'!$E$10+1,1))-AVERAGE(OFFSET($H$3,0,0,'Données projet'!$E$10+1,1))</f>
        <v>252.44760109054914</v>
      </c>
      <c r="AO20" s="59">
        <f t="shared" si="36"/>
        <v>121.75506329394773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118</v>
      </c>
      <c r="BB20" s="12">
        <f>VLOOKUP(A20,'Données projet'!$A$87:$I$107,9,0)</f>
        <v>6.9411764705882355</v>
      </c>
      <c r="BC20" s="12">
        <f t="array" ref="BC20">INDEX(BB:BB,MIN(IF(ISNUMBER(BB20:BB216),ROW(BB20:BB216),"")))</f>
        <v>6.9411764705882355</v>
      </c>
      <c r="BD20" s="12">
        <f>IF('Données projet'!$A$88&gt;35,BD19+BC20-BL19,IF(A20&lt;'Données projet'!$A$88,$BA$205^A20,IF(A20='Données projet'!$A$88,'Données projet'!$B$88,BD19+BC20-BL19)))</f>
        <v>118</v>
      </c>
      <c r="BE20" s="13">
        <f>BD20*VLOOKUP('Données projet'!$B$11,Paramètres!$A$1:$I$89,3,0)*VLOOKUP('Données projet'!$B$11,Paramètres!$A$1:$I$89,5,0)</f>
        <v>70.564000000000007</v>
      </c>
      <c r="BF20" s="13">
        <f t="shared" si="37"/>
        <v>19.813453167086163</v>
      </c>
      <c r="BG20" s="20">
        <f t="shared" si="7"/>
        <v>157.40739759934175</v>
      </c>
      <c r="BH20" s="59">
        <f t="shared" si="8"/>
        <v>450.74073093267509</v>
      </c>
      <c r="BI20" s="59">
        <f ca="1">AVERAGE(OFFSET($BH$3,0,0,'Données projet'!$E$11+1,1))-AVERAGE(OFFSET($H$3,0,0,'Données projet'!$E$11+1,1))</f>
        <v>260.97162394079265</v>
      </c>
      <c r="BJ20" s="59">
        <f t="shared" si="38"/>
        <v>279.1836614199691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349.8661782737675</v>
      </c>
      <c r="CD20" s="59">
        <f ca="1">AVERAGE(OFFSET($CC$3,0,0,'Données projet'!$E$12+1,1))-AVERAGE(OFFSET($H$3,0,0,'Données projet'!$E$12+1,1))</f>
        <v>264.70281355687837</v>
      </c>
      <c r="CE20" s="59">
        <f t="shared" si="40"/>
        <v>199.74194600786768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3.44</v>
      </c>
      <c r="CT20" s="12">
        <f>IF('Données projet'!$A$140&gt;35,CT19+CS20-DB19,IF(A20&lt;'Données projet'!$A$140,$CQ$205^A20,IF(A20='Données projet'!$A$140,'Données projet'!$B$140,CT19+CS20-DB19)))</f>
        <v>20.675639292102417</v>
      </c>
      <c r="CU20" s="17">
        <f>CT20*VLOOKUP('Données projet'!$B$13,Paramètres!$A$1:$I$89,3,0)*VLOOKUP('Données projet'!$B$13,Paramètres!$A$1:$I$89,5,0)</f>
        <v>11.826465675082584</v>
      </c>
      <c r="CV20" s="13">
        <f t="shared" si="41"/>
        <v>4.0881490496947759</v>
      </c>
      <c r="CW20" s="20">
        <f t="shared" si="13"/>
        <v>27.717953978987236</v>
      </c>
      <c r="CX20" s="59">
        <f t="shared" si="14"/>
        <v>321.05128731232054</v>
      </c>
      <c r="CY20" s="59">
        <f ca="1">AVERAGE(OFFSET($CX$3,0,0,'Données projet'!$E$13+1,1))-AVERAGE(OFFSET($H$3,0,0,'Données projet'!$E$13+1,1))</f>
        <v>149.8619613776458</v>
      </c>
      <c r="CZ20" s="59">
        <f t="shared" si="42"/>
        <v>108.55560257938146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1">
        <f t="shared" si="32"/>
        <v>4.9251141417391402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67">
        <f t="shared" si="1"/>
        <v>327.34236046352896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28.2</v>
      </c>
      <c r="N21" s="13">
        <f>IF('Données projet'!$A$36&gt;35,N20+M21-V20,IF(A21&lt;'Données projet'!$A$36,$K$205^A21,IF(A21='Données projet'!$A$36,'Données projet'!$B$36,N20+M21-V20)))</f>
        <v>246.59999999999997</v>
      </c>
      <c r="O21" s="13">
        <f>N21*VLOOKUP('Données projet'!$B$9,Paramètres!$A$1:$I$89,3,0)*VLOOKUP('Données projet'!$B$9,Paramètres!$A$1:$I$89,5,0)</f>
        <v>137.84939999999997</v>
      </c>
      <c r="P21" s="13">
        <f t="shared" si="33"/>
        <v>35.803890229822542</v>
      </c>
      <c r="Q21" s="20">
        <f t="shared" si="2"/>
        <v>302.44614715027416</v>
      </c>
      <c r="R21" s="59">
        <f t="shared" si="0"/>
        <v>595.77948048360747</v>
      </c>
      <c r="S21" s="59">
        <f ca="1">AVERAGE(OFFSET($R$3,0,0,'Données projet'!$E$9+1,1))-AVERAGE(OFFSET($H$3,0,0,'Données projet'!$E$9+1,1))</f>
        <v>467.03705646400994</v>
      </c>
      <c r="T21" s="59">
        <f t="shared" si="34"/>
        <v>575.68119027684361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2.2000000000000002</v>
      </c>
      <c r="AI21" s="13">
        <f>IF('Données projet'!$A$62&gt;35,AI20+AH21-AQ20,IF(A21&lt;'Données projet'!$A$62,$AF$205^A21,IF(A21='Données projet'!$A$62,'Données projet'!$B$62,AI20+AH21-AQ20)))</f>
        <v>30.137512869292209</v>
      </c>
      <c r="AJ21" s="13">
        <f>AI21*VLOOKUP('Données projet'!$B$10,Paramètres!$A$1:$I$89,3,0)*VLOOKUP('Données projet'!$B$10,Paramètres!$A$1:$I$89,5,0)</f>
        <v>18.805808030438339</v>
      </c>
      <c r="AK21" s="13">
        <f t="shared" si="35"/>
        <v>6.1590889289332003</v>
      </c>
      <c r="AL21" s="20">
        <f t="shared" si="4"/>
        <v>43.480528870905431</v>
      </c>
      <c r="AM21" s="59">
        <f t="shared" si="5"/>
        <v>336.81386220423872</v>
      </c>
      <c r="AN21" s="59">
        <f ca="1">AVERAGE(OFFSET($AM$3,0,0,'Données projet'!$E$10+1,1))-AVERAGE(OFFSET($H$3,0,0,'Données projet'!$E$10+1,1))</f>
        <v>252.44760109054914</v>
      </c>
      <c r="AO21" s="59">
        <f t="shared" si="36"/>
        <v>121.75506329394773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6.333333333333333</v>
      </c>
      <c r="BD21" s="12">
        <f>IF('Données projet'!$A$88&gt;35,BD20+BC21-BL20,IF(A21&lt;'Données projet'!$A$88,$BA$205^A21,IF(A21='Données projet'!$A$88,'Données projet'!$B$88,BD20+BC21-BL20)))</f>
        <v>124.33333333333333</v>
      </c>
      <c r="BE21" s="13">
        <f>BD21*VLOOKUP('Données projet'!$B$11,Paramètres!$A$1:$I$89,3,0)*VLOOKUP('Données projet'!$B$11,Paramètres!$A$1:$I$89,5,0)</f>
        <v>74.351333333333343</v>
      </c>
      <c r="BF21" s="13">
        <f t="shared" si="37"/>
        <v>20.750225187185354</v>
      </c>
      <c r="BG21" s="20">
        <f t="shared" si="7"/>
        <v>165.63521442323673</v>
      </c>
      <c r="BH21" s="59">
        <f t="shared" si="8"/>
        <v>458.96854775657005</v>
      </c>
      <c r="BI21" s="59">
        <f ca="1">AVERAGE(OFFSET($BH$3,0,0,'Données projet'!$E$11+1,1))-AVERAGE(OFFSET($H$3,0,0,'Données projet'!$E$11+1,1))</f>
        <v>260.97162394079265</v>
      </c>
      <c r="BJ21" s="59">
        <f t="shared" si="38"/>
        <v>279.1836614199691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363.26248699382734</v>
      </c>
      <c r="CD21" s="59">
        <f ca="1">AVERAGE(OFFSET($CC$3,0,0,'Données projet'!$E$12+1,1))-AVERAGE(OFFSET($H$3,0,0,'Données projet'!$E$12+1,1))</f>
        <v>264.70281355687837</v>
      </c>
      <c r="CE21" s="59">
        <f t="shared" si="40"/>
        <v>199.74194600786768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3.44</v>
      </c>
      <c r="CT21" s="12">
        <f>IF('Données projet'!$A$140&gt;35,CT20+CS21-DB20,IF(A21&lt;'Données projet'!$A$140,$CQ$205^A21,IF(A21='Données projet'!$A$140,'Données projet'!$B$140,CT20+CS21-DB20)))</f>
        <v>24.708073517994233</v>
      </c>
      <c r="CU21" s="17">
        <f>CT21*VLOOKUP('Données projet'!$B$13,Paramètres!$A$1:$I$89,3,0)*VLOOKUP('Données projet'!$B$13,Paramètres!$A$1:$I$89,5,0)</f>
        <v>14.133018052292703</v>
      </c>
      <c r="CV21" s="13">
        <f t="shared" si="41"/>
        <v>4.78519493753896</v>
      </c>
      <c r="CW21" s="20">
        <f t="shared" si="13"/>
        <v>32.949220957290144</v>
      </c>
      <c r="CX21" s="59">
        <f t="shared" si="14"/>
        <v>326.28255429062347</v>
      </c>
      <c r="CY21" s="59">
        <f ca="1">AVERAGE(OFFSET($CX$3,0,0,'Données projet'!$E$13+1,1))-AVERAGE(OFFSET($H$3,0,0,'Données projet'!$E$13+1,1))</f>
        <v>149.8619613776458</v>
      </c>
      <c r="CZ21" s="59">
        <f t="shared" si="42"/>
        <v>108.55560257938146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1">
        <f t="shared" si="32"/>
        <v>5.1661165069289936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67">
        <f t="shared" si="1"/>
        <v>329.17494624956799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28.2</v>
      </c>
      <c r="N22" s="13">
        <f>IF('Données projet'!$A$36&gt;35,N21+M22-V21,IF(A22&lt;'Données projet'!$A$36,$K$205^A22,IF(A22='Données projet'!$A$36,'Données projet'!$B$36,N21+M22-V21)))</f>
        <v>274.79999999999995</v>
      </c>
      <c r="O22" s="13">
        <f>N22*VLOOKUP('Données projet'!$B$9,Paramètres!$A$1:$I$89,3,0)*VLOOKUP('Données projet'!$B$9,Paramètres!$A$1:$I$89,5,0)</f>
        <v>153.61319999999998</v>
      </c>
      <c r="P22" s="13">
        <f t="shared" si="33"/>
        <v>39.398557339898318</v>
      </c>
      <c r="Q22" s="20">
        <f t="shared" si="2"/>
        <v>336.16214403365615</v>
      </c>
      <c r="R22" s="59">
        <f t="shared" si="0"/>
        <v>629.49547736698946</v>
      </c>
      <c r="S22" s="59">
        <f ca="1">AVERAGE(OFFSET($R$3,0,0,'Données projet'!$E$9+1,1))-AVERAGE(OFFSET($H$3,0,0,'Données projet'!$E$9+1,1))</f>
        <v>467.03705646400994</v>
      </c>
      <c r="T22" s="59">
        <f t="shared" si="34"/>
        <v>575.68119027684361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2.2000000000000002</v>
      </c>
      <c r="AI22" s="13">
        <f>IF('Données projet'!$A$62&gt;35,AI21+AH22-AQ21,IF(A22&lt;'Données projet'!$A$62,$AF$205^A22,IF(A22='Données projet'!$A$62,'Données projet'!$B$62,AI21+AH22-AQ21)))</f>
        <v>36.414977224335253</v>
      </c>
      <c r="AJ22" s="13">
        <f>AI22*VLOOKUP('Données projet'!$B$10,Paramètres!$A$1:$I$89,3,0)*VLOOKUP('Données projet'!$B$10,Paramètres!$A$1:$I$89,5,0)</f>
        <v>22.722945787985196</v>
      </c>
      <c r="AK22" s="13">
        <f t="shared" si="35"/>
        <v>7.2798798902923503</v>
      </c>
      <c r="AL22" s="20">
        <f t="shared" si="4"/>
        <v>52.25492138966672</v>
      </c>
      <c r="AM22" s="59">
        <f t="shared" si="5"/>
        <v>345.58825472300003</v>
      </c>
      <c r="AN22" s="59">
        <f ca="1">AVERAGE(OFFSET($AM$3,0,0,'Données projet'!$E$10+1,1))-AVERAGE(OFFSET($H$3,0,0,'Données projet'!$E$10+1,1))</f>
        <v>252.44760109054914</v>
      </c>
      <c r="AO22" s="59">
        <f t="shared" si="36"/>
        <v>121.75506329394773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6.333333333333333</v>
      </c>
      <c r="BD22" s="12">
        <f>IF('Données projet'!$A$88&gt;35,BD21+BC22-BL21,IF(A22&lt;'Données projet'!$A$88,$BA$205^A22,IF(A22='Données projet'!$A$88,'Données projet'!$B$88,BD21+BC22-BL21)))</f>
        <v>130.66666666666666</v>
      </c>
      <c r="BE22" s="13">
        <f>BD22*VLOOKUP('Données projet'!$B$11,Paramètres!$A$1:$I$89,3,0)*VLOOKUP('Données projet'!$B$11,Paramètres!$A$1:$I$89,5,0)</f>
        <v>78.138666666666666</v>
      </c>
      <c r="BF22" s="13">
        <f t="shared" si="37"/>
        <v>21.681456781960883</v>
      </c>
      <c r="BG22" s="20">
        <f t="shared" si="7"/>
        <v>173.85338167302632</v>
      </c>
      <c r="BH22" s="59">
        <f t="shared" si="8"/>
        <v>467.18671500635963</v>
      </c>
      <c r="BI22" s="59">
        <f ca="1">AVERAGE(OFFSET($BH$3,0,0,'Données projet'!$E$11+1,1))-AVERAGE(OFFSET($H$3,0,0,'Données projet'!$E$11+1,1))</f>
        <v>260.97162394079265</v>
      </c>
      <c r="BJ22" s="59">
        <f t="shared" si="38"/>
        <v>279.1836614199691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379.84337213080869</v>
      </c>
      <c r="CD22" s="59">
        <f ca="1">AVERAGE(OFFSET($CC$3,0,0,'Données projet'!$E$12+1,1))-AVERAGE(OFFSET($H$3,0,0,'Données projet'!$E$12+1,1))</f>
        <v>264.70281355687837</v>
      </c>
      <c r="CE22" s="59">
        <f t="shared" si="40"/>
        <v>199.74194600786768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3.44</v>
      </c>
      <c r="CT22" s="12">
        <f>IF('Données projet'!$A$140&gt;35,CT21+CS22-DB21,IF(A22&lt;'Données projet'!$A$140,$CQ$205^A22,IF(A22='Données projet'!$A$140,'Données projet'!$B$140,CT21+CS22-DB21)))</f>
        <v>29.526965930567361</v>
      </c>
      <c r="CU22" s="17">
        <f>CT22*VLOOKUP('Données projet'!$B$13,Paramètres!$A$1:$I$89,3,0)*VLOOKUP('Données projet'!$B$13,Paramètres!$A$1:$I$89,5,0)</f>
        <v>16.889424512284531</v>
      </c>
      <c r="CV22" s="13">
        <f t="shared" si="41"/>
        <v>5.6010899582925138</v>
      </c>
      <c r="CW22" s="20">
        <f t="shared" si="13"/>
        <v>39.170979369588352</v>
      </c>
      <c r="CX22" s="59">
        <f t="shared" si="14"/>
        <v>332.50431270292165</v>
      </c>
      <c r="CY22" s="59">
        <f ca="1">AVERAGE(OFFSET($CX$3,0,0,'Données projet'!$E$13+1,1))-AVERAGE(OFFSET($H$3,0,0,'Données projet'!$E$13+1,1))</f>
        <v>149.8619613776458</v>
      </c>
      <c r="CZ22" s="59">
        <f t="shared" si="42"/>
        <v>108.55560257938146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1">
        <f t="shared" si="32"/>
        <v>5.4056462111722139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67">
        <f t="shared" si="1"/>
        <v>331.0049671511249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303</v>
      </c>
      <c r="L23" s="12">
        <f>VLOOKUP(A23,'Données projet'!$A$35:$I$55,9,0)</f>
        <v>28.2</v>
      </c>
      <c r="M23" s="12">
        <f t="array" ref="M23">INDEX(L:L,MIN(IF(ISNUMBER(L23:L219),ROW(L23:L219),"")))</f>
        <v>28.2</v>
      </c>
      <c r="N23" s="13">
        <f>IF('Données projet'!$A$36&gt;35,N22+M23-V22,IF(A23&lt;'Données projet'!$A$36,$K$205^A23,IF(A23='Données projet'!$A$36,'Données projet'!$B$36,N22+M23-V22)))</f>
        <v>302.99999999999994</v>
      </c>
      <c r="O23" s="13">
        <f>N23*VLOOKUP('Données projet'!$B$9,Paramètres!$A$1:$I$89,3,0)*VLOOKUP('Données projet'!$B$9,Paramètres!$A$1:$I$89,5,0)</f>
        <v>169.37699999999995</v>
      </c>
      <c r="P23" s="13">
        <f t="shared" si="33"/>
        <v>42.950462509094685</v>
      </c>
      <c r="Q23" s="20">
        <f t="shared" si="2"/>
        <v>369.80366387000646</v>
      </c>
      <c r="R23" s="59">
        <f t="shared" si="0"/>
        <v>663.13699720333977</v>
      </c>
      <c r="S23" s="59">
        <f ca="1">AVERAGE(OFFSET($R$3,0,0,'Données projet'!$E$9+1,1))-AVERAGE(OFFSET($H$3,0,0,'Données projet'!$E$9+1,1))</f>
        <v>467.03705646400994</v>
      </c>
      <c r="T23" s="59">
        <f t="shared" si="34"/>
        <v>575.68119027684361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0.30800000000000005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9.782412641250021</v>
      </c>
      <c r="AB23" s="21">
        <f>EXP(-LN(2)/2)*AB22+(1-EXP(-LN(2)/2))/(LN(2)/2)*V23*Y23*VLOOKUP('Données projet'!$B$9,Paramètres!$A$1:$I$89,3,0)*0.475*44/12</f>
        <v>11.974805803683211</v>
      </c>
      <c r="AC23" s="22">
        <f t="shared" si="3"/>
        <v>21.75721844493323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44</v>
      </c>
      <c r="AG23" s="12">
        <f>VLOOKUP(A23,'Données projet'!$A$61:$I$81,9,0)</f>
        <v>2.2000000000000002</v>
      </c>
      <c r="AH23" s="12">
        <f t="array" ref="AH23">INDEX(AG:AG,MIN(IF(ISNUMBER(AG23:AG219),ROW(AG23:AG219),"")))</f>
        <v>2.2000000000000002</v>
      </c>
      <c r="AI23" s="13">
        <f>IF('Données projet'!$A$62&gt;35,AI22+AH23-AQ22,IF(A23&lt;'Données projet'!$A$62,$AF$205^A23,IF(A23='Données projet'!$A$62,'Données projet'!$B$62,AI22+AH23-AQ22)))</f>
        <v>44</v>
      </c>
      <c r="AJ23" s="13">
        <f>AI23*VLOOKUP('Données projet'!$B$10,Paramètres!$A$1:$I$89,3,0)*VLOOKUP('Données projet'!$B$10,Paramètres!$A$1:$I$89,5,0)</f>
        <v>27.455999999999996</v>
      </c>
      <c r="AK23" s="13">
        <f t="shared" si="35"/>
        <v>8.6046251042298927</v>
      </c>
      <c r="AL23" s="20">
        <f t="shared" si="4"/>
        <v>62.80558872320038</v>
      </c>
      <c r="AM23" s="59">
        <f t="shared" si="5"/>
        <v>356.13892205653372</v>
      </c>
      <c r="AN23" s="59">
        <f ca="1">AVERAGE(OFFSET($AM$3,0,0,'Données projet'!$E$10+1,1))-AVERAGE(OFFSET($H$3,0,0,'Données projet'!$E$10+1,1))</f>
        <v>252.44760109054914</v>
      </c>
      <c r="AO23" s="59">
        <f t="shared" si="36"/>
        <v>121.75506329394773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137</v>
      </c>
      <c r="BB23" s="12">
        <f>VLOOKUP(A23,'Données projet'!$A$87:$I$107,9,0)</f>
        <v>6.333333333333333</v>
      </c>
      <c r="BC23" s="12">
        <f t="array" ref="BC23">INDEX(BB:BB,MIN(IF(ISNUMBER(BB23:BB219),ROW(BB23:BB219),"")))</f>
        <v>6.333333333333333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81.926000000000002</v>
      </c>
      <c r="BF23" s="13">
        <f t="shared" si="37"/>
        <v>22.607447146245146</v>
      </c>
      <c r="BG23" s="20">
        <f t="shared" si="7"/>
        <v>182.06242044637693</v>
      </c>
      <c r="BH23" s="59">
        <f t="shared" si="8"/>
        <v>475.39575377971028</v>
      </c>
      <c r="BI23" s="59">
        <f ca="1">AVERAGE(OFFSET($BH$3,0,0,'Données projet'!$E$11+1,1))-AVERAGE(OFFSET($H$3,0,0,'Données projet'!$E$11+1,1))</f>
        <v>260.97162394079265</v>
      </c>
      <c r="BJ23" s="59">
        <f t="shared" si="38"/>
        <v>279.1836614199691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0.25200000000000006</v>
      </c>
      <c r="BO23" s="16">
        <f>IF(ISNA(VLOOKUP(A23,'Données projet'!$A$87:$I$107,7,0)),0%,VLOOKUP(A23,'Données projet'!$A$87:$I$107,7,0))</f>
        <v>0.44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2.9868126506791217</v>
      </c>
      <c r="BR23" s="21">
        <f>EXP(-LN(2)/2)*BR22+(1-EXP(-LN(2)/2))/(LN(2)/2)*BL23*BO23*VLOOKUP('Données projet'!$B$11,Paramètres!$A$1:$I$89,3,0)*0.475*44/12</f>
        <v>4.4686944318774549</v>
      </c>
      <c r="BS23" s="22">
        <f t="shared" si="9"/>
        <v>7.4555070825565766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400.36809883857921</v>
      </c>
      <c r="CD23" s="59">
        <f ca="1">AVERAGE(OFFSET($CC$3,0,0,'Données projet'!$E$12+1,1))-AVERAGE(OFFSET($H$3,0,0,'Données projet'!$E$12+1,1))</f>
        <v>264.70281355687837</v>
      </c>
      <c r="CE23" s="59">
        <f t="shared" si="40"/>
        <v>199.74194600786768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3.44</v>
      </c>
      <c r="CT23" s="12">
        <f>IF('Données projet'!$A$140&gt;35,CT22+CS23-DB22,IF(A23&lt;'Données projet'!$A$140,$CQ$205^A23,IF(A23='Données projet'!$A$140,'Données projet'!$B$140,CT22+CS23-DB22)))</f>
        <v>35.285701915608534</v>
      </c>
      <c r="CU23" s="17">
        <f>CT23*VLOOKUP('Données projet'!$B$13,Paramètres!$A$1:$I$89,3,0)*VLOOKUP('Données projet'!$B$13,Paramètres!$A$1:$I$89,5,0)</f>
        <v>20.183421495728084</v>
      </c>
      <c r="CV23" s="13">
        <f t="shared" si="41"/>
        <v>6.5560983680677474</v>
      </c>
      <c r="CW23" s="20">
        <f t="shared" si="13"/>
        <v>46.571330429444401</v>
      </c>
      <c r="CX23" s="59">
        <f t="shared" si="14"/>
        <v>339.90466376277772</v>
      </c>
      <c r="CY23" s="59">
        <f ca="1">AVERAGE(OFFSET($CX$3,0,0,'Données projet'!$E$13+1,1))-AVERAGE(OFFSET($H$3,0,0,'Données projet'!$E$13+1,1))</f>
        <v>149.8619613776458</v>
      </c>
      <c r="CZ23" s="59">
        <f t="shared" si="42"/>
        <v>108.55560257938146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1">
        <f t="shared" si="32"/>
        <v>5.6437852896626746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67">
        <f t="shared" si="1"/>
        <v>332.83256604616247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31.8</v>
      </c>
      <c r="N24" s="13">
        <f>IF('Données projet'!$A$36&gt;35,N23+M24-V23,IF(A24&lt;'Données projet'!$A$36,$K$205^A24,IF(A24='Données projet'!$A$36,'Données projet'!$B$36,N23+M24-V23)))</f>
        <v>291.79999999999995</v>
      </c>
      <c r="O24" s="13">
        <f>N24*VLOOKUP('Données projet'!$B$9,Paramètres!$A$1:$I$89,3,0)*VLOOKUP('Données projet'!$B$9,Paramètres!$A$1:$I$89,5,0)</f>
        <v>163.11619999999996</v>
      </c>
      <c r="P24" s="13">
        <f t="shared" si="33"/>
        <v>41.544592017733109</v>
      </c>
      <c r="Q24" s="20">
        <f t="shared" si="2"/>
        <v>356.4508794308851</v>
      </c>
      <c r="R24" s="59">
        <f t="shared" si="0"/>
        <v>649.78421276421841</v>
      </c>
      <c r="S24" s="59">
        <f ca="1">AVERAGE(OFFSET($R$3,0,0,'Données projet'!$E$9+1,1))-AVERAGE(OFFSET($H$3,0,0,'Données projet'!$E$9+1,1))</f>
        <v>467.03705646400994</v>
      </c>
      <c r="T24" s="59">
        <f t="shared" si="34"/>
        <v>575.68119027684361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9.514912053140316</v>
      </c>
      <c r="AB24" s="21">
        <f>EXP(-LN(2)/2)*AB23+(1-EXP(-LN(2)/2))/(LN(2)/2)*V24*Y24*VLOOKUP('Données projet'!$B$9,Paramètres!$A$1:$I$89,3,0)*0.475*44/12</f>
        <v>8.4674663871764242</v>
      </c>
      <c r="AC24" s="22">
        <f t="shared" si="3"/>
        <v>17.98237844031674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</v>
      </c>
      <c r="AI24" s="13">
        <f>IF('Données projet'!$A$62&gt;35,AI23+AH24-AQ23,IF(A24&lt;'Données projet'!$A$62,$AF$205^A24,IF(A24='Données projet'!$A$62,'Données projet'!$B$62,AI23+AH24-AQ23)))</f>
        <v>52</v>
      </c>
      <c r="AJ24" s="13">
        <f>AI24*VLOOKUP('Données projet'!$B$10,Paramètres!$A$1:$I$89,3,0)*VLOOKUP('Données projet'!$B$10,Paramètres!$A$1:$I$89,5,0)</f>
        <v>32.448</v>
      </c>
      <c r="AK24" s="13">
        <f t="shared" si="35"/>
        <v>9.9732733567093899</v>
      </c>
      <c r="AL24" s="20">
        <f t="shared" si="4"/>
        <v>73.883717762935518</v>
      </c>
      <c r="AM24" s="59">
        <f t="shared" si="5"/>
        <v>367.21705109626885</v>
      </c>
      <c r="AN24" s="59">
        <f ca="1">AVERAGE(OFFSET($AM$3,0,0,'Données projet'!$E$10+1,1))-AVERAGE(OFFSET($H$3,0,0,'Données projet'!$E$10+1,1))</f>
        <v>252.44760109054914</v>
      </c>
      <c r="AO24" s="59">
        <f t="shared" si="36"/>
        <v>121.75506329394773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138.4</v>
      </c>
      <c r="BE24" s="13">
        <f>BD24*VLOOKUP('Données projet'!$B$11,Paramètres!$A$1:$I$89,3,0)*VLOOKUP('Données projet'!$B$11,Paramètres!$A$1:$I$89,5,0)</f>
        <v>82.763200000000012</v>
      </c>
      <c r="BF24" s="13">
        <f t="shared" si="37"/>
        <v>22.811459894537176</v>
      </c>
      <c r="BG24" s="20">
        <f t="shared" si="7"/>
        <v>183.8758659829856</v>
      </c>
      <c r="BH24" s="59">
        <f t="shared" si="8"/>
        <v>477.20919931631892</v>
      </c>
      <c r="BI24" s="59">
        <f ca="1">AVERAGE(OFFSET($BH$3,0,0,'Données projet'!$E$11+1,1))-AVERAGE(OFFSET($H$3,0,0,'Données projet'!$E$11+1,1))</f>
        <v>260.97162394079265</v>
      </c>
      <c r="BJ24" s="59">
        <f t="shared" si="38"/>
        <v>279.1836614199691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2.9051381016766502</v>
      </c>
      <c r="BR24" s="21">
        <f>EXP(-LN(2)/2)*BR23+(1-EXP(-LN(2)/2))/(LN(2)/2)*BL24*BO24*VLOOKUP('Données projet'!$B$11,Paramètres!$A$1:$I$89,3,0)*0.475*44/12</f>
        <v>3.1598441358311149</v>
      </c>
      <c r="BS24" s="22">
        <f t="shared" si="9"/>
        <v>6.0649822375077651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425.77744411092726</v>
      </c>
      <c r="CD24" s="59">
        <f ca="1">AVERAGE(OFFSET($CC$3,0,0,'Données projet'!$E$12+1,1))-AVERAGE(OFFSET($H$3,0,0,'Données projet'!$E$12+1,1))</f>
        <v>264.70281355687837</v>
      </c>
      <c r="CE24" s="59">
        <f t="shared" si="40"/>
        <v>199.74194600786768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3.44</v>
      </c>
      <c r="CT24" s="12">
        <f>IF('Données projet'!$A$140&gt;35,CT23+CS24-DB23,IF(A24&lt;'Données projet'!$A$140,$CQ$205^A24,IF(A24='Données projet'!$A$140,'Données projet'!$B$140,CT23+CS24-DB23)))</f>
        <v>42.167582087674923</v>
      </c>
      <c r="CU24" s="17">
        <f>CT24*VLOOKUP('Données projet'!$B$13,Paramètres!$A$1:$I$89,3,0)*VLOOKUP('Données projet'!$B$13,Paramètres!$A$1:$I$89,5,0)</f>
        <v>24.119856954150059</v>
      </c>
      <c r="CV24" s="13">
        <f t="shared" si="41"/>
        <v>7.6739395603072502</v>
      </c>
      <c r="CW24" s="20">
        <f t="shared" si="13"/>
        <v>55.374195596013145</v>
      </c>
      <c r="CX24" s="59">
        <f t="shared" si="14"/>
        <v>348.70752892934644</v>
      </c>
      <c r="CY24" s="59">
        <f ca="1">AVERAGE(OFFSET($CX$3,0,0,'Données projet'!$E$13+1,1))-AVERAGE(OFFSET($H$3,0,0,'Données projet'!$E$13+1,1))</f>
        <v>149.8619613776458</v>
      </c>
      <c r="CZ24" s="59">
        <f t="shared" si="42"/>
        <v>108.55560257938146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1">
        <f t="shared" si="32"/>
        <v>5.8806075232471633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67">
        <f t="shared" si="1"/>
        <v>334.65787143632213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31.8</v>
      </c>
      <c r="N25" s="13">
        <f>IF('Données projet'!$A$36&gt;35,N24+M25-V24,IF(A25&lt;'Données projet'!$A$36,$K$205^A25,IF(A25='Données projet'!$A$36,'Données projet'!$B$36,N24+M25-V24)))</f>
        <v>323.59999999999997</v>
      </c>
      <c r="O25" s="13">
        <f>N25*VLOOKUP('Données projet'!$B$9,Paramètres!$A$1:$I$89,3,0)*VLOOKUP('Données projet'!$B$9,Paramètres!$A$1:$I$89,5,0)</f>
        <v>180.89240000000001</v>
      </c>
      <c r="P25" s="13">
        <f t="shared" si="33"/>
        <v>45.520671542487669</v>
      </c>
      <c r="Q25" s="20">
        <f t="shared" si="2"/>
        <v>394.33609960316602</v>
      </c>
      <c r="R25" s="59">
        <f t="shared" si="0"/>
        <v>687.66943293649933</v>
      </c>
      <c r="S25" s="59">
        <f ca="1">AVERAGE(OFFSET($R$3,0,0,'Données projet'!$E$9+1,1))-AVERAGE(OFFSET($H$3,0,0,'Données projet'!$E$9+1,1))</f>
        <v>467.03705646400994</v>
      </c>
      <c r="T25" s="59">
        <f t="shared" si="34"/>
        <v>575.68119027684361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9.2547262826797159</v>
      </c>
      <c r="AB25" s="21">
        <f>EXP(-LN(2)/2)*AB24+(1-EXP(-LN(2)/2))/(LN(2)/2)*V25*Y25*VLOOKUP('Données projet'!$B$9,Paramètres!$A$1:$I$89,3,0)*0.475*44/12</f>
        <v>5.9874029018416062</v>
      </c>
      <c r="AC25" s="22">
        <f t="shared" si="3"/>
        <v>15.242129184521321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</v>
      </c>
      <c r="AI25" s="13">
        <f>IF('Données projet'!$A$62&gt;35,AI24+AH25-AQ24,IF(A25&lt;'Données projet'!$A$62,$AF$205^A25,IF(A25='Données projet'!$A$62,'Données projet'!$B$62,AI24+AH25-AQ24)))</f>
        <v>60</v>
      </c>
      <c r="AJ25" s="13">
        <f>AI25*VLOOKUP('Données projet'!$B$10,Paramètres!$A$1:$I$89,3,0)*VLOOKUP('Données projet'!$B$10,Paramètres!$A$1:$I$89,5,0)</f>
        <v>37.44</v>
      </c>
      <c r="AK25" s="13">
        <f t="shared" si="35"/>
        <v>11.31752892568918</v>
      </c>
      <c r="AL25" s="20">
        <f t="shared" si="4"/>
        <v>84.919362878908643</v>
      </c>
      <c r="AM25" s="59">
        <f t="shared" si="5"/>
        <v>378.25269621224197</v>
      </c>
      <c r="AN25" s="59">
        <f ca="1">AVERAGE(OFFSET($AM$3,0,0,'Données projet'!$E$10+1,1))-AVERAGE(OFFSET($H$3,0,0,'Données projet'!$E$10+1,1))</f>
        <v>252.44760109054914</v>
      </c>
      <c r="AO25" s="59">
        <f t="shared" si="36"/>
        <v>121.75506329394773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154.80000000000001</v>
      </c>
      <c r="BE25" s="13">
        <f>BD25*VLOOKUP('Données projet'!$B$11,Paramètres!$A$1:$I$89,3,0)*VLOOKUP('Données projet'!$B$11,Paramètres!$A$1:$I$89,5,0)</f>
        <v>92.570400000000021</v>
      </c>
      <c r="BF25" s="13">
        <f t="shared" si="37"/>
        <v>25.184123943972491</v>
      </c>
      <c r="BG25" s="20">
        <f t="shared" si="7"/>
        <v>205.0891292024188</v>
      </c>
      <c r="BH25" s="59">
        <f t="shared" si="8"/>
        <v>498.42246253575212</v>
      </c>
      <c r="BI25" s="59">
        <f ca="1">AVERAGE(OFFSET($BH$3,0,0,'Données projet'!$E$11+1,1))-AVERAGE(OFFSET($H$3,0,0,'Données projet'!$E$11+1,1))</f>
        <v>260.97162394079265</v>
      </c>
      <c r="BJ25" s="59">
        <f t="shared" si="38"/>
        <v>279.1836614199691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2.8256969475117293</v>
      </c>
      <c r="BR25" s="21">
        <f>EXP(-LN(2)/2)*BR24+(1-EXP(-LN(2)/2))/(LN(2)/2)*BL25*BO25*VLOOKUP('Données projet'!$B$11,Paramètres!$A$1:$I$89,3,0)*0.475*44/12</f>
        <v>2.2343472159387279</v>
      </c>
      <c r="BS25" s="22">
        <f t="shared" si="9"/>
        <v>5.0600441634504572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457.23719620976442</v>
      </c>
      <c r="CD25" s="59">
        <f ca="1">AVERAGE(OFFSET($CC$3,0,0,'Données projet'!$E$12+1,1))-AVERAGE(OFFSET($H$3,0,0,'Données projet'!$E$12+1,1))</f>
        <v>264.70281355687837</v>
      </c>
      <c r="CE25" s="59">
        <f t="shared" si="40"/>
        <v>199.74194600786768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3.44</v>
      </c>
      <c r="CT25" s="12">
        <f>IF('Données projet'!$A$140&gt;35,CT24+CS25-DB24,IF(A25&lt;'Données projet'!$A$140,$CQ$205^A25,IF(A25='Données projet'!$A$140,'Données projet'!$B$140,CT24+CS25-DB24)))</f>
        <v>50.391656750188176</v>
      </c>
      <c r="CU25" s="17">
        <f>CT25*VLOOKUP('Données projet'!$B$13,Paramètres!$A$1:$I$89,3,0)*VLOOKUP('Données projet'!$B$13,Paramètres!$A$1:$I$89,5,0)</f>
        <v>28.824027661107639</v>
      </c>
      <c r="CV25" s="13">
        <f t="shared" si="41"/>
        <v>8.9823771806225725</v>
      </c>
      <c r="CW25" s="20">
        <f t="shared" si="13"/>
        <v>65.846155099346788</v>
      </c>
      <c r="CX25" s="59">
        <f t="shared" si="14"/>
        <v>359.1794884326801</v>
      </c>
      <c r="CY25" s="59">
        <f ca="1">AVERAGE(OFFSET($CX$3,0,0,'Données projet'!$E$13+1,1))-AVERAGE(OFFSET($H$3,0,0,'Données projet'!$E$13+1,1))</f>
        <v>149.8619613776458</v>
      </c>
      <c r="CZ25" s="59">
        <f t="shared" si="42"/>
        <v>108.55560257938146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1">
        <f t="shared" si="32"/>
        <v>6.1161796062812925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67">
        <f t="shared" si="1"/>
        <v>336.48099948093989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31.8</v>
      </c>
      <c r="N26" s="13">
        <f>IF('Données projet'!$A$36&gt;35,N25+M26-V25,IF(A26&lt;'Données projet'!$A$36,$K$205^A26,IF(A26='Données projet'!$A$36,'Données projet'!$B$36,N25+M26-V25)))</f>
        <v>355.4</v>
      </c>
      <c r="O26" s="13">
        <f>N26*VLOOKUP('Données projet'!$B$9,Paramètres!$A$1:$I$89,3,0)*VLOOKUP('Données projet'!$B$9,Paramètres!$A$1:$I$89,5,0)</f>
        <v>198.66859999999997</v>
      </c>
      <c r="P26" s="13">
        <f t="shared" si="33"/>
        <v>49.451452656287465</v>
      </c>
      <c r="Q26" s="20">
        <f t="shared" si="2"/>
        <v>432.14242504303394</v>
      </c>
      <c r="R26" s="59">
        <f t="shared" si="0"/>
        <v>725.47575837636725</v>
      </c>
      <c r="S26" s="59">
        <f ca="1">AVERAGE(OFFSET($R$3,0,0,'Données projet'!$E$9+1,1))-AVERAGE(OFFSET($H$3,0,0,'Données projet'!$E$9+1,1))</f>
        <v>467.03705646400994</v>
      </c>
      <c r="T26" s="59">
        <f t="shared" si="34"/>
        <v>575.68119027684361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9.0016553057949356</v>
      </c>
      <c r="AB26" s="21">
        <f>EXP(-LN(2)/2)*AB25+(1-EXP(-LN(2)/2))/(LN(2)/2)*V26*Y26*VLOOKUP('Données projet'!$B$9,Paramètres!$A$1:$I$89,3,0)*0.475*44/12</f>
        <v>4.233733193588213</v>
      </c>
      <c r="AC26" s="22">
        <f t="shared" si="3"/>
        <v>13.235388499383149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</v>
      </c>
      <c r="AI26" s="13">
        <f>IF('Données projet'!$A$62&gt;35,AI25+AH26-AQ25,IF(A26&lt;'Données projet'!$A$62,$AF$205^A26,IF(A26='Données projet'!$A$62,'Données projet'!$B$62,AI25+AH26-AQ25)))</f>
        <v>68</v>
      </c>
      <c r="AJ26" s="13">
        <f>AI26*VLOOKUP('Données projet'!$B$10,Paramètres!$A$1:$I$89,3,0)*VLOOKUP('Données projet'!$B$10,Paramètres!$A$1:$I$89,5,0)</f>
        <v>42.432000000000002</v>
      </c>
      <c r="AK26" s="13">
        <f t="shared" si="35"/>
        <v>12.641017820824082</v>
      </c>
      <c r="AL26" s="20">
        <f t="shared" si="4"/>
        <v>95.918839371268618</v>
      </c>
      <c r="AM26" s="59">
        <f t="shared" si="5"/>
        <v>389.25217270460195</v>
      </c>
      <c r="AN26" s="59">
        <f ca="1">AVERAGE(OFFSET($AM$3,0,0,'Données projet'!$E$10+1,1))-AVERAGE(OFFSET($H$3,0,0,'Données projet'!$E$10+1,1))</f>
        <v>252.44760109054914</v>
      </c>
      <c r="AO26" s="59">
        <f t="shared" si="36"/>
        <v>121.75506329394773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171.20000000000002</v>
      </c>
      <c r="BE26" s="13">
        <f>BD26*VLOOKUP('Données projet'!$B$11,Paramètres!$A$1:$I$89,3,0)*VLOOKUP('Données projet'!$B$11,Paramètres!$A$1:$I$89,5,0)</f>
        <v>102.37760000000002</v>
      </c>
      <c r="BF26" s="13">
        <f t="shared" si="37"/>
        <v>27.527651005505614</v>
      </c>
      <c r="BG26" s="20">
        <f t="shared" si="7"/>
        <v>226.25164550125564</v>
      </c>
      <c r="BH26" s="59">
        <f t="shared" si="8"/>
        <v>519.58497883458892</v>
      </c>
      <c r="BI26" s="59">
        <f ca="1">AVERAGE(OFFSET($BH$3,0,0,'Données projet'!$E$11+1,1))-AVERAGE(OFFSET($H$3,0,0,'Données projet'!$E$11+1,1))</f>
        <v>260.97162394079265</v>
      </c>
      <c r="BJ26" s="59">
        <f t="shared" si="38"/>
        <v>279.1836614199691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2.7484281158850767</v>
      </c>
      <c r="BR26" s="21">
        <f>EXP(-LN(2)/2)*BR25+(1-EXP(-LN(2)/2))/(LN(2)/2)*BL26*BO26*VLOOKUP('Données projet'!$B$11,Paramètres!$A$1:$I$89,3,0)*0.475*44/12</f>
        <v>1.5799220679155579</v>
      </c>
      <c r="BS26" s="22">
        <f t="shared" si="9"/>
        <v>4.3283501838006346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</v>
      </c>
      <c r="BY26" s="12">
        <f>IF('Données projet'!$A$114&gt;35,BY25+BX26-CG25,IF(A26&lt;'Données projet'!$A$114,$BV$205^A26,IF(A26='Données projet'!$A$114,'Données projet'!$B$114,BY25+BX26-CG25)))</f>
        <v>130</v>
      </c>
      <c r="BZ26" s="13">
        <f>BY26*VLOOKUP('Données projet'!$B$12,Paramètres!$A$1:$I$89,3,0)*VLOOKUP('Données projet'!$B$12,Paramètres!$A$1:$I$89,5,0)</f>
        <v>77.740000000000009</v>
      </c>
      <c r="CA26" s="13">
        <f t="shared" si="39"/>
        <v>21.583684155853913</v>
      </c>
      <c r="CB26" s="20">
        <f t="shared" si="10"/>
        <v>172.98874990477893</v>
      </c>
      <c r="CC26" s="59">
        <f t="shared" si="11"/>
        <v>466.32208323811221</v>
      </c>
      <c r="CD26" s="59">
        <f ca="1">AVERAGE(OFFSET($CC$3,0,0,'Données projet'!$E$12+1,1))-AVERAGE(OFFSET($H$3,0,0,'Données projet'!$E$12+1,1))</f>
        <v>264.70281355687837</v>
      </c>
      <c r="CE26" s="59">
        <f t="shared" si="40"/>
        <v>199.74194600786768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3.44</v>
      </c>
      <c r="CT26" s="12">
        <f>IF('Données projet'!$A$140&gt;35,CT25+CS26-DB25,IF(A26&lt;'Données projet'!$A$140,$CQ$205^A26,IF(A26='Données projet'!$A$140,'Données projet'!$B$140,CT25+CS26-DB25)))</f>
        <v>60.219698268424033</v>
      </c>
      <c r="CU26" s="17">
        <f>CT26*VLOOKUP('Données projet'!$B$13,Paramètres!$A$1:$I$89,3,0)*VLOOKUP('Données projet'!$B$13,Paramètres!$A$1:$I$89,5,0)</f>
        <v>34.445667409538551</v>
      </c>
      <c r="CV26" s="13">
        <f t="shared" si="41"/>
        <v>10.513908688087017</v>
      </c>
      <c r="CW26" s="20">
        <f t="shared" si="13"/>
        <v>78.304595036697876</v>
      </c>
      <c r="CX26" s="59">
        <f t="shared" si="14"/>
        <v>371.6379283700312</v>
      </c>
      <c r="CY26" s="59">
        <f ca="1">AVERAGE(OFFSET($CX$3,0,0,'Données projet'!$E$13+1,1))-AVERAGE(OFFSET($H$3,0,0,'Données projet'!$E$13+1,1))</f>
        <v>149.8619613776458</v>
      </c>
      <c r="CZ26" s="59">
        <f t="shared" si="42"/>
        <v>108.55560257938146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1">
        <f t="shared" si="32"/>
        <v>6.3505621056489936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67">
        <f t="shared" si="1"/>
        <v>338.30205566733866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31.8</v>
      </c>
      <c r="N27" s="13">
        <f>IF('Données projet'!$A$36&gt;35,N26+M27-V26,IF(A27&lt;'Données projet'!$A$36,$K$205^A27,IF(A27='Données projet'!$A$36,'Données projet'!$B$36,N26+M27-V26)))</f>
        <v>387.2</v>
      </c>
      <c r="O27" s="13">
        <f>N27*VLOOKUP('Données projet'!$B$9,Paramètres!$A$1:$I$89,3,0)*VLOOKUP('Données projet'!$B$9,Paramètres!$A$1:$I$89,5,0)</f>
        <v>216.44479999999999</v>
      </c>
      <c r="P27" s="13">
        <f t="shared" si="33"/>
        <v>53.341449419561528</v>
      </c>
      <c r="Q27" s="20">
        <f t="shared" si="2"/>
        <v>469.87771773906962</v>
      </c>
      <c r="R27" s="59">
        <f t="shared" si="0"/>
        <v>763.21105107240294</v>
      </c>
      <c r="S27" s="59">
        <f ca="1">AVERAGE(OFFSET($R$3,0,0,'Données projet'!$E$9+1,1))-AVERAGE(OFFSET($H$3,0,0,'Données projet'!$E$9+1,1))</f>
        <v>467.03705646400994</v>
      </c>
      <c r="T27" s="59">
        <f t="shared" si="34"/>
        <v>575.68119027684361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8.7555045680814949</v>
      </c>
      <c r="AB27" s="21">
        <f>EXP(-LN(2)/2)*AB26+(1-EXP(-LN(2)/2))/(LN(2)/2)*V27*Y27*VLOOKUP('Données projet'!$B$9,Paramètres!$A$1:$I$89,3,0)*0.475*44/12</f>
        <v>2.993701450920804</v>
      </c>
      <c r="AC27" s="22">
        <f t="shared" si="3"/>
        <v>11.749206019002299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</v>
      </c>
      <c r="AI27" s="13">
        <f>IF('Données projet'!$A$62&gt;35,AI26+AH27-AQ26,IF(A27&lt;'Données projet'!$A$62,$AF$205^A27,IF(A27='Données projet'!$A$62,'Données projet'!$B$62,AI26+AH27-AQ26)))</f>
        <v>76</v>
      </c>
      <c r="AJ27" s="13">
        <f>AI27*VLOOKUP('Données projet'!$B$10,Paramètres!$A$1:$I$89,3,0)*VLOOKUP('Données projet'!$B$10,Paramètres!$A$1:$I$89,5,0)</f>
        <v>47.423999999999999</v>
      </c>
      <c r="AK27" s="13">
        <f t="shared" si="35"/>
        <v>13.946462340725059</v>
      </c>
      <c r="AL27" s="20">
        <f t="shared" si="4"/>
        <v>106.88688857676279</v>
      </c>
      <c r="AM27" s="59">
        <f t="shared" si="5"/>
        <v>400.22022191009609</v>
      </c>
      <c r="AN27" s="59">
        <f ca="1">AVERAGE(OFFSET($AM$3,0,0,'Données projet'!$E$10+1,1))-AVERAGE(OFFSET($H$3,0,0,'Données projet'!$E$10+1,1))</f>
        <v>252.44760109054914</v>
      </c>
      <c r="AO27" s="59">
        <f t="shared" si="36"/>
        <v>121.75506329394773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187.60000000000002</v>
      </c>
      <c r="BE27" s="13">
        <f>BD27*VLOOKUP('Données projet'!$B$11,Paramètres!$A$1:$I$89,3,0)*VLOOKUP('Données projet'!$B$11,Paramètres!$A$1:$I$89,5,0)</f>
        <v>112.18480000000002</v>
      </c>
      <c r="BF27" s="13">
        <f t="shared" si="37"/>
        <v>29.845149809641946</v>
      </c>
      <c r="BG27" s="20">
        <f t="shared" si="7"/>
        <v>247.36882925179307</v>
      </c>
      <c r="BH27" s="59">
        <f t="shared" si="8"/>
        <v>540.70216258512642</v>
      </c>
      <c r="BI27" s="59">
        <f ca="1">AVERAGE(OFFSET($BH$3,0,0,'Données projet'!$E$11+1,1))-AVERAGE(OFFSET($H$3,0,0,'Données projet'!$E$11+1,1))</f>
        <v>260.97162394079265</v>
      </c>
      <c r="BJ27" s="59">
        <f t="shared" si="38"/>
        <v>279.1836614199691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2.6732722045226462</v>
      </c>
      <c r="BR27" s="21">
        <f>EXP(-LN(2)/2)*BR26+(1-EXP(-LN(2)/2))/(LN(2)/2)*BL27*BO27*VLOOKUP('Données projet'!$B$11,Paramètres!$A$1:$I$89,3,0)*0.475*44/12</f>
        <v>1.1171736079693642</v>
      </c>
      <c r="BS27" s="22">
        <f t="shared" si="9"/>
        <v>3.7904458124920106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</v>
      </c>
      <c r="BY27" s="12">
        <f>IF('Données projet'!$A$114&gt;35,BY26+BX27-CG26,IF(A27&lt;'Données projet'!$A$114,$BV$205^A27,IF(A27='Données projet'!$A$114,'Données projet'!$B$114,BY26+BX27-CG26)))</f>
        <v>137</v>
      </c>
      <c r="BZ27" s="13">
        <f>BY27*VLOOKUP('Données projet'!$B$12,Paramètres!$A$1:$I$89,3,0)*VLOOKUP('Données projet'!$B$12,Paramètres!$A$1:$I$89,5,0)</f>
        <v>81.926000000000002</v>
      </c>
      <c r="CA27" s="13">
        <f t="shared" si="39"/>
        <v>22.607447146245146</v>
      </c>
      <c r="CB27" s="20">
        <f t="shared" si="10"/>
        <v>182.06242044637693</v>
      </c>
      <c r="CC27" s="59">
        <f t="shared" si="11"/>
        <v>475.39575377971028</v>
      </c>
      <c r="CD27" s="59">
        <f ca="1">AVERAGE(OFFSET($CC$3,0,0,'Données projet'!$E$12+1,1))-AVERAGE(OFFSET($H$3,0,0,'Données projet'!$E$12+1,1))</f>
        <v>264.70281355687837</v>
      </c>
      <c r="CE27" s="59">
        <f t="shared" si="40"/>
        <v>199.74194600786768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3.44</v>
      </c>
      <c r="CT27" s="12">
        <f>IF('Données projet'!$A$140&gt;35,CT26+CS27-DB26,IF(A27&lt;'Données projet'!$A$140,$CQ$205^A27,IF(A27='Données projet'!$A$140,'Données projet'!$B$140,CT26+CS27-DB26)))</f>
        <v>71.964533286087885</v>
      </c>
      <c r="CU27" s="17">
        <f>CT27*VLOOKUP('Données projet'!$B$13,Paramètres!$A$1:$I$89,3,0)*VLOOKUP('Données projet'!$B$13,Paramètres!$A$1:$I$89,5,0)</f>
        <v>41.163713039642275</v>
      </c>
      <c r="CV27" s="13">
        <f t="shared" si="41"/>
        <v>12.306572489507728</v>
      </c>
      <c r="CW27" s="20">
        <f t="shared" si="13"/>
        <v>93.127413963269589</v>
      </c>
      <c r="CX27" s="59">
        <f t="shared" si="14"/>
        <v>386.4607472966029</v>
      </c>
      <c r="CY27" s="59">
        <f ca="1">AVERAGE(OFFSET($CX$3,0,0,'Données projet'!$E$13+1,1))-AVERAGE(OFFSET($H$3,0,0,'Données projet'!$E$13+1,1))</f>
        <v>149.8619613776458</v>
      </c>
      <c r="CZ27" s="59">
        <f t="shared" si="42"/>
        <v>108.55560257938146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1">
        <f t="shared" si="32"/>
        <v>6.5838102554415281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67">
        <f t="shared" si="1"/>
        <v>340.12113619489395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419</v>
      </c>
      <c r="L28" s="12">
        <f>VLOOKUP(A28,'Données projet'!$A$35:$I$55,9,0)</f>
        <v>31.8</v>
      </c>
      <c r="M28" s="12">
        <f t="array" ref="M28">INDEX(L:L,MIN(IF(ISNUMBER(L28:L224),ROW(L28:L224),"")))</f>
        <v>31.8</v>
      </c>
      <c r="N28" s="13">
        <f>IF('Données projet'!$A$36&gt;35,N27+M28-V27,IF(A28&lt;'Données projet'!$A$36,$K$205^A28,IF(A28='Données projet'!$A$36,'Données projet'!$B$36,N27+M28-V27)))</f>
        <v>419</v>
      </c>
      <c r="O28" s="13">
        <f>N28*VLOOKUP('Données projet'!$B$9,Paramètres!$A$1:$I$89,3,0)*VLOOKUP('Données projet'!$B$9,Paramètres!$A$1:$I$89,5,0)</f>
        <v>234.221</v>
      </c>
      <c r="P28" s="13">
        <f t="shared" si="33"/>
        <v>57.194392182630075</v>
      </c>
      <c r="Q28" s="20">
        <f t="shared" si="2"/>
        <v>507.54847471808063</v>
      </c>
      <c r="R28" s="59">
        <f t="shared" si="0"/>
        <v>800.88180805141394</v>
      </c>
      <c r="S28" s="59">
        <f ca="1">AVERAGE(OFFSET($R$3,0,0,'Données projet'!$E$9+1,1))-AVERAGE(OFFSET($H$3,0,0,'Données projet'!$E$9+1,1))</f>
        <v>467.03705646400994</v>
      </c>
      <c r="T28" s="59">
        <f t="shared" si="34"/>
        <v>575.68119027684361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60</v>
      </c>
      <c r="W28" s="16">
        <f>IF(ISNA(VLOOKUP(A28,'Données projet'!$A$35:$I$55,5,0)),0%,VLOOKUP(A28,'Données projet'!$A$35:$I$55,5,0)*VLOOKUP('Données projet'!$B$9,Paramètres!$A$1:$I$89,7,0))</f>
        <v>0.38500000000000001</v>
      </c>
      <c r="X28" s="16">
        <f>IF(ISNA(VLOOKUP(A28,'Données projet'!$A$35:$I$55,6,0)),0%,VLOOKUP(A28,'Données projet'!$A$35:$I$55,6,0)*VLOOKUP('Données projet'!$B$9,Paramètres!$A$1:$I$89,7,0))</f>
        <v>9.3500000000000014E-2</v>
      </c>
      <c r="Y28" s="16">
        <f>IF(ISNA(VLOOKUP(A28,'Données projet'!$A$35:$I$55,7,0)),0%,VLOOKUP(A28,'Données projet'!$A$35:$I$55,7,0))</f>
        <v>0.13</v>
      </c>
      <c r="Z28" s="21">
        <f>EXP(-LN(2)/35)*Z27+(1-EXP(-LN(2)/35))/(LN(2)/35)*V28*W28*VLOOKUP('Données projet'!$B$9,Paramètres!$A$1:$I$89,3,0)*0.475*44/12</f>
        <v>17.129794156645243</v>
      </c>
      <c r="AA28" s="21">
        <f>EXP(-LN(2)/25)*AA27+(1-EXP(-LN(2)/25))/(LN(2)/25)*Calculateur!V28*Calculateur!X28*VLOOKUP('Données projet'!$B$9,Paramètres!$A$1:$I$89,3,0)*0.475*44/12</f>
        <v>12.659797831113664</v>
      </c>
      <c r="AB28" s="21">
        <f>EXP(-LN(2)/2)*AB27+(1-EXP(-LN(2)/2))/(LN(2)/2)*V28*Y28*VLOOKUP('Données projet'!$B$9,Paramètres!$A$1:$I$89,3,0)*0.475*44/12</f>
        <v>7.053625860469003</v>
      </c>
      <c r="AC28" s="22">
        <f t="shared" si="3"/>
        <v>36.843217848227908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84</v>
      </c>
      <c r="AG28" s="12">
        <f>VLOOKUP(A28,'Données projet'!$A$61:$I$81,9,0)</f>
        <v>8</v>
      </c>
      <c r="AH28" s="12">
        <f t="array" ref="AH28">INDEX(AG:AG,MIN(IF(ISNUMBER(AG28:AG224),ROW(AG28:AG224),"")))</f>
        <v>8</v>
      </c>
      <c r="AI28" s="13">
        <f>IF('Données projet'!$A$62&gt;35,AI27+AH28-AQ27,IF(A28&lt;'Données projet'!$A$62,$AF$205^A28,IF(A28='Données projet'!$A$62,'Données projet'!$B$62,AI27+AH28-AQ27)))</f>
        <v>84</v>
      </c>
      <c r="AJ28" s="13">
        <f>AI28*VLOOKUP('Données projet'!$B$10,Paramètres!$A$1:$I$89,3,0)*VLOOKUP('Données projet'!$B$10,Paramètres!$A$1:$I$89,5,0)</f>
        <v>52.416000000000004</v>
      </c>
      <c r="AK28" s="13">
        <f t="shared" si="35"/>
        <v>15.235978301273029</v>
      </c>
      <c r="AL28" s="20">
        <f t="shared" si="4"/>
        <v>117.82719554138386</v>
      </c>
      <c r="AM28" s="59">
        <f t="shared" si="5"/>
        <v>411.16052887471716</v>
      </c>
      <c r="AN28" s="59">
        <f ca="1">AVERAGE(OFFSET($AM$3,0,0,'Données projet'!$E$10+1,1))-AVERAGE(OFFSET($H$3,0,0,'Données projet'!$E$10+1,1))</f>
        <v>252.44760109054914</v>
      </c>
      <c r="AO28" s="59">
        <f t="shared" si="36"/>
        <v>121.75506329394773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0.33600000000000002</v>
      </c>
      <c r="AT28" s="16">
        <f>IF(ISNA(VLOOKUP(A28,'Données projet'!$A$61:$I$81,7,0)),0%,VLOOKUP(A28,'Données projet'!$A$61:$I$81,7,0))</f>
        <v>0.44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4.155565427031819</v>
      </c>
      <c r="AW28" s="21">
        <f>EXP(-LN(2)/2)*AW27+(1-EXP(-LN(2)/2))/(LN(2)/2)*AQ28*AT28*VLOOKUP('Données projet'!$B$10,Paramètres!$A$1:$I$89,3,0)*0.475*44/12</f>
        <v>4.6629854941329967</v>
      </c>
      <c r="AX28" s="21">
        <f t="shared" si="6"/>
        <v>8.8185509211648156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204</v>
      </c>
      <c r="BB28" s="12">
        <f>VLOOKUP(A28,'Données projet'!$A$87:$I$107,9,0)</f>
        <v>16.399999999999999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204.00000000000003</v>
      </c>
      <c r="BE28" s="13">
        <f>BD28*VLOOKUP('Données projet'!$B$11,Paramètres!$A$1:$I$89,3,0)*VLOOKUP('Données projet'!$B$11,Paramètres!$A$1:$I$89,5,0)</f>
        <v>121.99200000000003</v>
      </c>
      <c r="BF28" s="13">
        <f t="shared" si="37"/>
        <v>32.139154469866327</v>
      </c>
      <c r="BG28" s="20">
        <f t="shared" si="7"/>
        <v>268.44509403501723</v>
      </c>
      <c r="BH28" s="59">
        <f t="shared" si="8"/>
        <v>561.77842736835055</v>
      </c>
      <c r="BI28" s="59">
        <f ca="1">AVERAGE(OFFSET($BH$3,0,0,'Données projet'!$E$11+1,1))-AVERAGE(OFFSET($H$3,0,0,'Données projet'!$E$11+1,1))</f>
        <v>260.97162394079265</v>
      </c>
      <c r="BJ28" s="59">
        <f t="shared" si="38"/>
        <v>279.1836614199691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36</v>
      </c>
      <c r="BM28" s="16">
        <f>IF(ISNA(VLOOKUP(A28,'Données projet'!$A$87:$I$107,5,0)),0%,VLOOKUP(A28,'Données projet'!$A$87:$I$107,5,0)*VLOOKUP('Données projet'!$B$11,Paramètres!$A$1:$I$89,7,0))</f>
        <v>0.315</v>
      </c>
      <c r="BN28" s="16">
        <f>IF(ISNA(VLOOKUP(A28,'Données projet'!$A$87:$I$107,6,0)),0%,VLOOKUP(A28,'Données projet'!$A$87:$I$107,6,0)*VLOOKUP('Données projet'!$B$11,Paramètres!$A$1:$I$89,7,0))</f>
        <v>7.6500000000000012E-2</v>
      </c>
      <c r="BO28" s="16">
        <f>IF(ISNA(VLOOKUP(A28,'Données projet'!$A$87:$I$107,7,0)),0%,VLOOKUP(A28,'Données projet'!$A$87:$I$107,7,0))</f>
        <v>0.13</v>
      </c>
      <c r="BP28" s="21">
        <f>EXP(-LN(2)/35)*BP27+(1-EXP(-LN(2)/35))/(LN(2)/35)*BL28*BM28*VLOOKUP('Données projet'!$B$11,Paramètres!$A$1:$I$89,3,0)*0.475*44/12</f>
        <v>8.9958580729612621</v>
      </c>
      <c r="BQ28" s="21">
        <f>EXP(-LN(2)/25)*BQ27+(1-EXP(-LN(2)/25))/(LN(2)/25)*Calculateur!BL28*Calculateur!BN28*VLOOKUP('Données projet'!$B$11,Paramètres!$A$1:$I$89,3,0)*0.475*44/12</f>
        <v>4.7762777952892019</v>
      </c>
      <c r="BR28" s="21">
        <f>EXP(-LN(2)/2)*BR27+(1-EXP(-LN(2)/2))/(LN(2)/2)*BL28*BO28*VLOOKUP('Données projet'!$B$11,Paramètres!$A$1:$I$89,3,0)*0.475*44/12</f>
        <v>3.9586716311072476</v>
      </c>
      <c r="BS28" s="22">
        <f t="shared" si="9"/>
        <v>17.730807499357713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144</v>
      </c>
      <c r="BW28" s="12">
        <f>VLOOKUP(A28,'Données projet'!$A$113:$I$133,9,0)</f>
        <v>7</v>
      </c>
      <c r="BX28" s="12">
        <f t="array" ref="BX28">INDEX(BW:BW,MIN(IF(ISNUMBER(BW28:BW224),ROW(BW28:BW224),"")))</f>
        <v>7</v>
      </c>
      <c r="BY28" s="12">
        <f>IF('Données projet'!$A$114&gt;35,BY27+BX28-CG27,IF(A28&lt;'Données projet'!$A$114,$BV$205^A28,IF(A28='Données projet'!$A$114,'Données projet'!$B$114,BY27+BX28-CG27)))</f>
        <v>144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484.4588463196344</v>
      </c>
      <c r="CD28" s="59">
        <f ca="1">AVERAGE(OFFSET($CC$3,0,0,'Données projet'!$E$12+1,1))-AVERAGE(OFFSET($H$3,0,0,'Données projet'!$E$12+1,1))</f>
        <v>264.70281355687837</v>
      </c>
      <c r="CE28" s="59">
        <f t="shared" si="40"/>
        <v>199.74194600786768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0.25200000000000006</v>
      </c>
      <c r="CJ28" s="16">
        <f>IF(ISNA(VLOOKUP(A28,'Données projet'!$A$113:$I$133,7,0)),0%,VLOOKUP(A28,'Données projet'!$A$113:$I$133,7,0))</f>
        <v>0.44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3.3850543374363382</v>
      </c>
      <c r="CM28" s="21">
        <f>EXP(-LN(2)/2)*CM27+(1-EXP(-LN(2)/2))/(LN(2)/2)*CG28*CJ28*VLOOKUP('Données projet'!$B$12,Paramètres!$A$1:$I$89,3,0)*0.475*44/12</f>
        <v>5.0645203561277832</v>
      </c>
      <c r="CN28" s="22">
        <f t="shared" si="12"/>
        <v>8.4495746935641218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3.44</v>
      </c>
      <c r="CS28" s="12">
        <f t="array" ref="CS28">INDEX(CR:CR,MIN(IF(ISNUMBER(CR28:CR224),ROW(CR28:CR224),"")))</f>
        <v>3.44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49.192000000000007</v>
      </c>
      <c r="CV28" s="13">
        <f t="shared" si="41"/>
        <v>14.404892693343825</v>
      </c>
      <c r="CW28" s="20">
        <f t="shared" si="13"/>
        <v>110.76458810757384</v>
      </c>
      <c r="CX28" s="59">
        <f t="shared" si="14"/>
        <v>404.09792144090716</v>
      </c>
      <c r="CY28" s="59">
        <f ca="1">AVERAGE(OFFSET($CX$3,0,0,'Données projet'!$E$13+1,1))-AVERAGE(OFFSET($H$3,0,0,'Données projet'!$E$13+1,1))</f>
        <v>149.8619613776458</v>
      </c>
      <c r="CZ28" s="59">
        <f t="shared" si="42"/>
        <v>108.55560257938146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12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0.25200000000000006</v>
      </c>
      <c r="DE28" s="16">
        <f>IF(ISNA(VLOOKUP(A28,'Données projet'!$A$139:$I$159,7,0)),0%,VLOOKUP(A28,'Données projet'!$A$139:$I$159,7,0))</f>
        <v>0.44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2.2855609848675016</v>
      </c>
      <c r="DH28" s="21">
        <f>EXP(-LN(2)/2)*DH27+(1-EXP(-LN(2)/2))/(LN(2)/2)*DB28*DE28*VLOOKUP('Données projet'!$B$13,Paramètres!$A$1:$I$89,3,0)*0.475*44/12</f>
        <v>3.4195226956975309</v>
      </c>
      <c r="DI28" s="22">
        <f t="shared" si="15"/>
        <v>5.705083680565032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1">
        <f t="shared" si="32"/>
        <v>6.8159746209088015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67">
        <f t="shared" si="1"/>
        <v>341.93832913141614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33</v>
      </c>
      <c r="N29" s="13">
        <f>IF('Données projet'!$A$36&gt;35,N28+M29-V28,IF(A29&lt;'Données projet'!$A$36,$K$205^A29,IF(A29='Données projet'!$A$36,'Données projet'!$B$36,N28+M29-V28)))</f>
        <v>392</v>
      </c>
      <c r="O29" s="13">
        <f>N29*VLOOKUP('Données projet'!$B$9,Paramètres!$A$1:$I$89,3,0)*VLOOKUP('Données projet'!$B$9,Paramètres!$A$1:$I$89,5,0)</f>
        <v>219.12800000000001</v>
      </c>
      <c r="P29" s="13">
        <f t="shared" si="33"/>
        <v>53.925317044064428</v>
      </c>
      <c r="Q29" s="20">
        <f t="shared" si="2"/>
        <v>475.56786051841215</v>
      </c>
      <c r="R29" s="59">
        <f t="shared" si="0"/>
        <v>768.90119385174546</v>
      </c>
      <c r="S29" s="59">
        <f ca="1">AVERAGE(OFFSET($R$3,0,0,'Données projet'!$E$9+1,1))-AVERAGE(OFFSET($H$3,0,0,'Données projet'!$E$9+1,1))</f>
        <v>467.03705646400994</v>
      </c>
      <c r="T29" s="59">
        <f t="shared" si="34"/>
        <v>575.68119027684361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16.793889341376197</v>
      </c>
      <c r="AA29" s="21">
        <f>EXP(-LN(2)/25)*AA28+(1-EXP(-LN(2)/25))/(LN(2)/25)*Calculateur!V29*Calculateur!X29*VLOOKUP('Données projet'!$B$9,Paramètres!$A$1:$I$89,3,0)*0.475*44/12</f>
        <v>12.313614993672028</v>
      </c>
      <c r="AB29" s="21">
        <f>EXP(-LN(2)/2)*AB28+(1-EXP(-LN(2)/2))/(LN(2)/2)*V29*Y29*VLOOKUP('Données projet'!$B$9,Paramètres!$A$1:$I$89,3,0)*0.475*44/12</f>
        <v>4.9876666778904291</v>
      </c>
      <c r="AC29" s="22">
        <f t="shared" si="3"/>
        <v>34.095171012938657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80.8</v>
      </c>
      <c r="AJ29" s="13">
        <f>AI29*VLOOKUP('Données projet'!$B$10,Paramètres!$A$1:$I$89,3,0)*VLOOKUP('Données projet'!$B$10,Paramètres!$A$1:$I$89,5,0)</f>
        <v>50.419200000000004</v>
      </c>
      <c r="AK29" s="13">
        <f t="shared" si="35"/>
        <v>14.721967230127575</v>
      </c>
      <c r="AL29" s="20">
        <f t="shared" si="4"/>
        <v>113.45419959247219</v>
      </c>
      <c r="AM29" s="59">
        <f t="shared" si="5"/>
        <v>406.78753292580552</v>
      </c>
      <c r="AN29" s="59">
        <f ca="1">AVERAGE(OFFSET($AM$3,0,0,'Données projet'!$E$10+1,1))-AVERAGE(OFFSET($H$3,0,0,'Données projet'!$E$10+1,1))</f>
        <v>252.44760109054914</v>
      </c>
      <c r="AO29" s="59">
        <f t="shared" si="36"/>
        <v>121.75506329394773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4.0419312718979459</v>
      </c>
      <c r="AW29" s="21">
        <f>EXP(-LN(2)/2)*AW28+(1-EXP(-LN(2)/2))/(LN(2)/2)*AQ29*AT29*VLOOKUP('Données projet'!$B$10,Paramètres!$A$1:$I$89,3,0)*0.475*44/12</f>
        <v>3.2972286634759462</v>
      </c>
      <c r="AX29" s="21">
        <f t="shared" si="6"/>
        <v>7.3391599353738926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17.600000000000001</v>
      </c>
      <c r="BD29" s="12">
        <f>IF('Données projet'!$A$88&gt;35,BD28+BC29-BL28,IF(A29&lt;'Données projet'!$A$88,$BA$205^A29,IF(A29='Données projet'!$A$88,'Données projet'!$B$88,BD28+BC29-BL28)))</f>
        <v>185.60000000000002</v>
      </c>
      <c r="BE29" s="13">
        <f>BD29*VLOOKUP('Données projet'!$B$11,Paramètres!$A$1:$I$89,3,0)*VLOOKUP('Données projet'!$B$11,Paramètres!$A$1:$I$89,5,0)</f>
        <v>110.98880000000003</v>
      </c>
      <c r="BF29" s="13">
        <f t="shared" si="37"/>
        <v>29.56383208945169</v>
      </c>
      <c r="BG29" s="20">
        <f t="shared" si="7"/>
        <v>244.79583422246174</v>
      </c>
      <c r="BH29" s="59">
        <f t="shared" si="8"/>
        <v>538.12916755579499</v>
      </c>
      <c r="BI29" s="59">
        <f ca="1">AVERAGE(OFFSET($BH$3,0,0,'Données projet'!$E$11+1,1))-AVERAGE(OFFSET($H$3,0,0,'Données projet'!$E$11+1,1))</f>
        <v>260.97162394079265</v>
      </c>
      <c r="BJ29" s="59">
        <f t="shared" si="38"/>
        <v>279.1836614199691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8.8194547830821275</v>
      </c>
      <c r="BQ29" s="21">
        <f>EXP(-LN(2)/25)*BQ28+(1-EXP(-LN(2)/25))/(LN(2)/25)*Calculateur!BL29*Calculateur!BN29*VLOOKUP('Données projet'!$B$11,Paramètres!$A$1:$I$89,3,0)*0.475*44/12</f>
        <v>4.6456702278034854</v>
      </c>
      <c r="BR29" s="21">
        <f>EXP(-LN(2)/2)*BR28+(1-EXP(-LN(2)/2))/(LN(2)/2)*BL29*BO29*VLOOKUP('Données projet'!$B$11,Paramètres!$A$1:$I$89,3,0)*0.475*44/12</f>
        <v>2.7992035548467458</v>
      </c>
      <c r="BS29" s="22">
        <f t="shared" si="9"/>
        <v>16.26432856573236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</v>
      </c>
      <c r="BZ29" s="13">
        <f>BY29*VLOOKUP('Données projet'!$B$12,Paramètres!$A$1:$I$89,3,0)*VLOOKUP('Données projet'!$B$12,Paramètres!$A$1:$I$89,5,0)</f>
        <v>83.95920000000001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479.79911161741188</v>
      </c>
      <c r="CD29" s="59">
        <f ca="1">AVERAGE(OFFSET($CC$3,0,0,'Données projet'!$E$12+1,1))-AVERAGE(OFFSET($H$3,0,0,'Données projet'!$E$12+1,1))</f>
        <v>264.70281355687837</v>
      </c>
      <c r="CE29" s="59">
        <f t="shared" si="40"/>
        <v>199.74194600786768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3.2924898485668708</v>
      </c>
      <c r="CM29" s="21">
        <f>EXP(-LN(2)/2)*CM28+(1-EXP(-LN(2)/2))/(LN(2)/2)*CG29*CJ29*VLOOKUP('Données projet'!$B$12,Paramètres!$A$1:$I$89,3,0)*0.475*44/12</f>
        <v>3.5811566872752643</v>
      </c>
      <c r="CN29" s="22">
        <f t="shared" si="12"/>
        <v>6.873646535842135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</v>
      </c>
      <c r="CT29" s="12">
        <f>IF('Données projet'!$A$140&gt;35,CT28+CS29-DB28,IF(A29&lt;'Données projet'!$A$140,$CQ$205^A29,IF(A29='Données projet'!$A$140,'Données projet'!$B$140,CT28+CS29-DB28)))</f>
        <v>85</v>
      </c>
      <c r="CU29" s="17">
        <f>CT29*VLOOKUP('Données projet'!$B$13,Paramètres!$A$1:$I$89,3,0)*VLOOKUP('Données projet'!$B$13,Paramètres!$A$1:$I$89,5,0)</f>
        <v>48.62</v>
      </c>
      <c r="CV29" s="13">
        <f t="shared" si="41"/>
        <v>14.256790200344732</v>
      </c>
      <c r="CW29" s="20">
        <f t="shared" si="13"/>
        <v>109.51040959893373</v>
      </c>
      <c r="CX29" s="59">
        <f t="shared" si="14"/>
        <v>402.84374293226705</v>
      </c>
      <c r="CY29" s="59">
        <f ca="1">AVERAGE(OFFSET($CX$3,0,0,'Données projet'!$E$13+1,1))-AVERAGE(OFFSET($H$3,0,0,'Données projet'!$E$13+1,1))</f>
        <v>149.8619613776458</v>
      </c>
      <c r="CZ29" s="59">
        <f t="shared" si="42"/>
        <v>108.55560257938146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2.2230621995438713</v>
      </c>
      <c r="DH29" s="21">
        <f>EXP(-LN(2)/2)*DH28+(1-EXP(-LN(2)/2))/(LN(2)/2)*DB29*DE29*VLOOKUP('Données projet'!$B$13,Paramètres!$A$1:$I$89,3,0)*0.475*44/12</f>
        <v>2.4179676865490274</v>
      </c>
      <c r="DI29" s="22">
        <f t="shared" si="15"/>
        <v>4.6410298860928982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1">
        <f t="shared" si="32"/>
        <v>7.047101657391166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67">
        <f t="shared" si="1"/>
        <v>343.7537153866229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33</v>
      </c>
      <c r="N30" s="13">
        <f>IF('Données projet'!$A$36&gt;35,N29+M30-V29,IF(A30&lt;'Données projet'!$A$36,$K$205^A30,IF(A30='Données projet'!$A$36,'Données projet'!$B$36,N29+M30-V29)))</f>
        <v>425</v>
      </c>
      <c r="O30" s="13">
        <f>N30*VLOOKUP('Données projet'!$B$9,Paramètres!$A$1:$I$89,3,0)*VLOOKUP('Données projet'!$B$9,Paramètres!$A$1:$I$89,5,0)</f>
        <v>237.57500000000002</v>
      </c>
      <c r="P30" s="13">
        <f t="shared" si="33"/>
        <v>57.917471937261162</v>
      </c>
      <c r="Q30" s="20">
        <f t="shared" si="2"/>
        <v>514.64938862406325</v>
      </c>
      <c r="R30" s="59">
        <f t="shared" si="0"/>
        <v>807.98272195739651</v>
      </c>
      <c r="S30" s="59">
        <f ca="1">AVERAGE(OFFSET($R$3,0,0,'Données projet'!$E$9+1,1))-AVERAGE(OFFSET($H$3,0,0,'Données projet'!$E$9+1,1))</f>
        <v>467.03705646400994</v>
      </c>
      <c r="T30" s="59">
        <f t="shared" si="34"/>
        <v>575.68119027684361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16.46457141465287</v>
      </c>
      <c r="AA30" s="21">
        <f>EXP(-LN(2)/25)*AA29+(1-EXP(-LN(2)/25))/(LN(2)/25)*Calculateur!V30*Calculateur!X30*VLOOKUP('Données projet'!$B$9,Paramètres!$A$1:$I$89,3,0)*0.475*44/12</f>
        <v>11.976898544125197</v>
      </c>
      <c r="AB30" s="21">
        <f>EXP(-LN(2)/2)*AB29+(1-EXP(-LN(2)/2))/(LN(2)/2)*V30*Y30*VLOOKUP('Données projet'!$B$9,Paramètres!$A$1:$I$89,3,0)*0.475*44/12</f>
        <v>3.5268129302345024</v>
      </c>
      <c r="AC30" s="22">
        <f t="shared" si="3"/>
        <v>31.968282889012567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92.6</v>
      </c>
      <c r="AJ30" s="13">
        <f>AI30*VLOOKUP('Données projet'!$B$10,Paramètres!$A$1:$I$89,3,0)*VLOOKUP('Données projet'!$B$10,Paramètres!$A$1:$I$89,5,0)</f>
        <v>57.782399999999996</v>
      </c>
      <c r="AK30" s="13">
        <f t="shared" si="35"/>
        <v>16.606367174452974</v>
      </c>
      <c r="AL30" s="20">
        <f t="shared" si="4"/>
        <v>129.56043616217224</v>
      </c>
      <c r="AM30" s="59">
        <f t="shared" si="5"/>
        <v>422.89376949550558</v>
      </c>
      <c r="AN30" s="59">
        <f ca="1">AVERAGE(OFFSET($AM$3,0,0,'Données projet'!$E$10+1,1))-AVERAGE(OFFSET($H$3,0,0,'Données projet'!$E$10+1,1))</f>
        <v>252.44760109054914</v>
      </c>
      <c r="AO30" s="59">
        <f t="shared" si="36"/>
        <v>121.75506329394773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3.931404448711969</v>
      </c>
      <c r="AW30" s="21">
        <f>EXP(-LN(2)/2)*AW29+(1-EXP(-LN(2)/2))/(LN(2)/2)*AQ30*AT30*VLOOKUP('Données projet'!$B$10,Paramètres!$A$1:$I$89,3,0)*0.475*44/12</f>
        <v>2.3314927470664988</v>
      </c>
      <c r="AX30" s="21">
        <f t="shared" si="6"/>
        <v>6.2628971957784678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17.600000000000001</v>
      </c>
      <c r="BD30" s="12">
        <f>IF('Données projet'!$A$88&gt;35,BD29+BC30-BL29,IF(A30&lt;'Données projet'!$A$88,$BA$205^A30,IF(A30='Données projet'!$A$88,'Données projet'!$B$88,BD29+BC30-BL29)))</f>
        <v>203.20000000000002</v>
      </c>
      <c r="BE30" s="13">
        <f>BD30*VLOOKUP('Données projet'!$B$11,Paramètres!$A$1:$I$89,3,0)*VLOOKUP('Données projet'!$B$11,Paramètres!$A$1:$I$89,5,0)</f>
        <v>121.51360000000001</v>
      </c>
      <c r="BF30" s="13">
        <f t="shared" si="37"/>
        <v>32.027763694063836</v>
      </c>
      <c r="BG30" s="20">
        <f t="shared" si="7"/>
        <v>267.41787510049454</v>
      </c>
      <c r="BH30" s="59">
        <f t="shared" si="8"/>
        <v>560.75120843382786</v>
      </c>
      <c r="BI30" s="59">
        <f ca="1">AVERAGE(OFFSET($BH$3,0,0,'Données projet'!$E$11+1,1))-AVERAGE(OFFSET($H$3,0,0,'Données projet'!$E$11+1,1))</f>
        <v>260.97162394079265</v>
      </c>
      <c r="BJ30" s="59">
        <f t="shared" si="38"/>
        <v>279.1836614199691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8.6465106541221388</v>
      </c>
      <c r="BQ30" s="21">
        <f>EXP(-LN(2)/25)*BQ29+(1-EXP(-LN(2)/25))/(LN(2)/25)*Calculateur!BL30*Calculateur!BN30*VLOOKUP('Données projet'!$B$11,Paramètres!$A$1:$I$89,3,0)*0.475*44/12</f>
        <v>4.5186341311190192</v>
      </c>
      <c r="BR30" s="21">
        <f>EXP(-LN(2)/2)*BR29+(1-EXP(-LN(2)/2))/(LN(2)/2)*BL30*BO30*VLOOKUP('Données projet'!$B$11,Paramètres!$A$1:$I$89,3,0)*0.475*44/12</f>
        <v>1.979335815553624</v>
      </c>
      <c r="BS30" s="22">
        <f t="shared" si="9"/>
        <v>15.144480600794781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153.80000000000001</v>
      </c>
      <c r="BZ30" s="13">
        <f>BY30*VLOOKUP('Données projet'!$B$12,Paramètres!$A$1:$I$89,3,0)*VLOOKUP('Données projet'!$B$12,Paramètres!$A$1:$I$89,5,0)</f>
        <v>91.972400000000007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497.13048476928668</v>
      </c>
      <c r="CD30" s="59">
        <f ca="1">AVERAGE(OFFSET($CC$3,0,0,'Données projet'!$E$12+1,1))-AVERAGE(OFFSET($H$3,0,0,'Données projet'!$E$12+1,1))</f>
        <v>264.70281355687837</v>
      </c>
      <c r="CE30" s="59">
        <f t="shared" si="40"/>
        <v>199.74194600786768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3.2024565405132934</v>
      </c>
      <c r="CM30" s="21">
        <f>EXP(-LN(2)/2)*CM29+(1-EXP(-LN(2)/2))/(LN(2)/2)*CG30*CJ30*VLOOKUP('Données projet'!$B$12,Paramètres!$A$1:$I$89,3,0)*0.475*44/12</f>
        <v>2.532260178063892</v>
      </c>
      <c r="CN30" s="22">
        <f t="shared" si="12"/>
        <v>5.7347167185771859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</v>
      </c>
      <c r="CT30" s="12">
        <f>IF('Données projet'!$A$140&gt;35,CT29+CS30-DB29,IF(A30&lt;'Données projet'!$A$140,$CQ$205^A30,IF(A30='Données projet'!$A$140,'Données projet'!$B$140,CT29+CS30-DB29)))</f>
        <v>96</v>
      </c>
      <c r="CU30" s="17">
        <f>CT30*VLOOKUP('Données projet'!$B$13,Paramètres!$A$1:$I$89,3,0)*VLOOKUP('Données projet'!$B$13,Paramètres!$A$1:$I$89,5,0)</f>
        <v>54.912000000000006</v>
      </c>
      <c r="CV30" s="13">
        <f t="shared" si="41"/>
        <v>15.875304254859749</v>
      </c>
      <c r="CW30" s="20">
        <f t="shared" si="13"/>
        <v>123.28788824388072</v>
      </c>
      <c r="CX30" s="59">
        <f t="shared" si="14"/>
        <v>416.62122157721404</v>
      </c>
      <c r="CY30" s="59">
        <f ca="1">AVERAGE(OFFSET($CX$3,0,0,'Données projet'!$E$13+1,1))-AVERAGE(OFFSET($H$3,0,0,'Données projet'!$E$13+1,1))</f>
        <v>149.8619613776458</v>
      </c>
      <c r="CZ30" s="59">
        <f t="shared" si="42"/>
        <v>108.55560257938146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2.1622724467915839</v>
      </c>
      <c r="DH30" s="21">
        <f>EXP(-LN(2)/2)*DH29+(1-EXP(-LN(2)/2))/(LN(2)/2)*DB30*DE30*VLOOKUP('Données projet'!$B$13,Paramètres!$A$1:$I$89,3,0)*0.475*44/12</f>
        <v>1.7097613478487657</v>
      </c>
      <c r="DI30" s="22">
        <f t="shared" si="15"/>
        <v>3.8720337946403496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1">
        <f t="shared" si="32"/>
        <v>7.2772341841187966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67">
        <f t="shared" si="1"/>
        <v>345.5673695373402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33</v>
      </c>
      <c r="N31" s="13">
        <f>IF('Données projet'!$A$36&gt;35,N30+M31-V30,IF(A31&lt;'Données projet'!$A$36,$K$205^A31,IF(A31='Données projet'!$A$36,'Données projet'!$B$36,N30+M31-V30)))</f>
        <v>458</v>
      </c>
      <c r="O31" s="13">
        <f>N31*VLOOKUP('Données projet'!$B$9,Paramètres!$A$1:$I$89,3,0)*VLOOKUP('Données projet'!$B$9,Paramètres!$A$1:$I$89,5,0)</f>
        <v>256.02199999999999</v>
      </c>
      <c r="P31" s="13">
        <f t="shared" si="33"/>
        <v>61.873669712051253</v>
      </c>
      <c r="Q31" s="20">
        <f t="shared" si="2"/>
        <v>553.66829141515586</v>
      </c>
      <c r="R31" s="59">
        <f t="shared" si="0"/>
        <v>847.00162474848912</v>
      </c>
      <c r="S31" s="59">
        <f ca="1">AVERAGE(OFFSET($R$3,0,0,'Données projet'!$E$9+1,1))-AVERAGE(OFFSET($H$3,0,0,'Données projet'!$E$9+1,1))</f>
        <v>467.03705646400994</v>
      </c>
      <c r="T31" s="59">
        <f t="shared" si="34"/>
        <v>575.68119027684361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16.141711211608484</v>
      </c>
      <c r="AA31" s="21">
        <f>EXP(-LN(2)/25)*AA30+(1-EXP(-LN(2)/25))/(LN(2)/25)*Calculateur!V31*Calculateur!X31*VLOOKUP('Données projet'!$B$9,Paramètres!$A$1:$I$89,3,0)*0.475*44/12</f>
        <v>11.649389623598372</v>
      </c>
      <c r="AB31" s="21">
        <f>EXP(-LN(2)/2)*AB30+(1-EXP(-LN(2)/2))/(LN(2)/2)*V31*Y31*VLOOKUP('Données projet'!$B$9,Paramètres!$A$1:$I$89,3,0)*0.475*44/12</f>
        <v>2.493833338945215</v>
      </c>
      <c r="AC31" s="22">
        <f t="shared" si="3"/>
        <v>30.28493417415207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104.39999999999999</v>
      </c>
      <c r="AJ31" s="13">
        <f>AI31*VLOOKUP('Données projet'!$B$10,Paramètres!$A$1:$I$89,3,0)*VLOOKUP('Données projet'!$B$10,Paramètres!$A$1:$I$89,5,0)</f>
        <v>65.145600000000002</v>
      </c>
      <c r="AK31" s="13">
        <f t="shared" si="35"/>
        <v>18.462943001028204</v>
      </c>
      <c r="AL31" s="20">
        <f t="shared" si="4"/>
        <v>145.61821239345747</v>
      </c>
      <c r="AM31" s="59">
        <f t="shared" si="5"/>
        <v>438.95154572679075</v>
      </c>
      <c r="AN31" s="59">
        <f ca="1">AVERAGE(OFFSET($AM$3,0,0,'Données projet'!$E$10+1,1))-AVERAGE(OFFSET($H$3,0,0,'Données projet'!$E$10+1,1))</f>
        <v>252.44760109054914</v>
      </c>
      <c r="AO31" s="59">
        <f t="shared" si="36"/>
        <v>121.75506329394773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3.8238999873183657</v>
      </c>
      <c r="AW31" s="21">
        <f>EXP(-LN(2)/2)*AW30+(1-EXP(-LN(2)/2))/(LN(2)/2)*AQ31*AT31*VLOOKUP('Données projet'!$B$10,Paramètres!$A$1:$I$89,3,0)*0.475*44/12</f>
        <v>1.6486143317379736</v>
      </c>
      <c r="AX31" s="21">
        <f t="shared" si="6"/>
        <v>5.472514319056339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17.600000000000001</v>
      </c>
      <c r="BD31" s="12">
        <f>IF('Données projet'!$A$88&gt;35,BD30+BC31-BL30,IF(A31&lt;'Données projet'!$A$88,$BA$205^A31,IF(A31='Données projet'!$A$88,'Données projet'!$B$88,BD30+BC31-BL30)))</f>
        <v>220.8</v>
      </c>
      <c r="BE31" s="13">
        <f>BD31*VLOOKUP('Données projet'!$B$11,Paramètres!$A$1:$I$89,3,0)*VLOOKUP('Données projet'!$B$11,Paramètres!$A$1:$I$89,5,0)</f>
        <v>132.03840000000002</v>
      </c>
      <c r="BF31" s="13">
        <f t="shared" si="37"/>
        <v>34.466946374534373</v>
      </c>
      <c r="BG31" s="20">
        <f t="shared" si="7"/>
        <v>289.99681160231404</v>
      </c>
      <c r="BH31" s="59">
        <f t="shared" si="8"/>
        <v>583.33014493564735</v>
      </c>
      <c r="BI31" s="59">
        <f ca="1">AVERAGE(OFFSET($BH$3,0,0,'Données projet'!$E$11+1,1))-AVERAGE(OFFSET($H$3,0,0,'Données projet'!$E$11+1,1))</f>
        <v>260.97162394079265</v>
      </c>
      <c r="BJ31" s="59">
        <f t="shared" si="38"/>
        <v>279.1836614199691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8.476957854045553</v>
      </c>
      <c r="BQ31" s="21">
        <f>EXP(-LN(2)/25)*BQ30+(1-EXP(-LN(2)/25))/(LN(2)/25)*Calculateur!BL31*Calculateur!BN31*VLOOKUP('Données projet'!$B$11,Paramètres!$A$1:$I$89,3,0)*0.475*44/12</f>
        <v>4.3950718431789282</v>
      </c>
      <c r="BR31" s="21">
        <f>EXP(-LN(2)/2)*BR30+(1-EXP(-LN(2)/2))/(LN(2)/2)*BL31*BO31*VLOOKUP('Données projet'!$B$11,Paramètres!$A$1:$I$89,3,0)*0.475*44/12</f>
        <v>1.3996017774233731</v>
      </c>
      <c r="BS31" s="22">
        <f t="shared" si="9"/>
        <v>14.271631474647853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167.20000000000002</v>
      </c>
      <c r="BZ31" s="13">
        <f>BY31*VLOOKUP('Données projet'!$B$12,Paramètres!$A$1:$I$89,3,0)*VLOOKUP('Données projet'!$B$12,Paramètres!$A$1:$I$89,5,0)</f>
        <v>99.985600000000005</v>
      </c>
      <c r="CA31" s="13">
        <f t="shared" si="39"/>
        <v>26.95856691816941</v>
      </c>
      <c r="CB31" s="20">
        <f t="shared" si="10"/>
        <v>221.09442404914509</v>
      </c>
      <c r="CC31" s="59">
        <f t="shared" si="11"/>
        <v>514.42775738247838</v>
      </c>
      <c r="CD31" s="59">
        <f ca="1">AVERAGE(OFFSET($CC$3,0,0,'Données projet'!$E$12+1,1))-AVERAGE(OFFSET($H$3,0,0,'Données projet'!$E$12+1,1))</f>
        <v>264.70281355687837</v>
      </c>
      <c r="CE31" s="59">
        <f t="shared" si="40"/>
        <v>199.74194600786768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3.1148851980030874</v>
      </c>
      <c r="CM31" s="21">
        <f>EXP(-LN(2)/2)*CM30+(1-EXP(-LN(2)/2))/(LN(2)/2)*CG31*CJ31*VLOOKUP('Données projet'!$B$12,Paramètres!$A$1:$I$89,3,0)*0.475*44/12</f>
        <v>1.7905783436376326</v>
      </c>
      <c r="CN31" s="22">
        <f t="shared" si="12"/>
        <v>4.90546354164072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</v>
      </c>
      <c r="CT31" s="12">
        <f>IF('Données projet'!$A$140&gt;35,CT30+CS31-DB30,IF(A31&lt;'Données projet'!$A$140,$CQ$205^A31,IF(A31='Données projet'!$A$140,'Données projet'!$B$140,CT30+CS31-DB30)))</f>
        <v>107</v>
      </c>
      <c r="CU31" s="17">
        <f>CT31*VLOOKUP('Données projet'!$B$13,Paramètres!$A$1:$I$89,3,0)*VLOOKUP('Données projet'!$B$13,Paramètres!$A$1:$I$89,5,0)</f>
        <v>61.204000000000001</v>
      </c>
      <c r="CV31" s="13">
        <f t="shared" si="41"/>
        <v>17.472325101778782</v>
      </c>
      <c r="CW31" s="20">
        <f t="shared" si="13"/>
        <v>137.02793288559806</v>
      </c>
      <c r="CX31" s="59">
        <f t="shared" si="14"/>
        <v>430.36126621893141</v>
      </c>
      <c r="CY31" s="59">
        <f ca="1">AVERAGE(OFFSET($CX$3,0,0,'Données projet'!$E$13+1,1))-AVERAGE(OFFSET($H$3,0,0,'Données projet'!$E$13+1,1))</f>
        <v>149.8619613776458</v>
      </c>
      <c r="CZ31" s="59">
        <f t="shared" si="42"/>
        <v>108.55560257938146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2.103144993025102</v>
      </c>
      <c r="DH31" s="21">
        <f>EXP(-LN(2)/2)*DH30+(1-EXP(-LN(2)/2))/(LN(2)/2)*DB31*DE31*VLOOKUP('Données projet'!$B$13,Paramètres!$A$1:$I$89,3,0)*0.475*44/12</f>
        <v>1.2089838432745137</v>
      </c>
      <c r="DI31" s="22">
        <f t="shared" si="15"/>
        <v>3.3121288362996157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1">
        <f t="shared" si="32"/>
        <v>7.5064117884233523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67">
        <f t="shared" si="1"/>
        <v>347.37936053150395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33</v>
      </c>
      <c r="N32" s="13">
        <f>IF('Données projet'!$A$36&gt;35,N31+M32-V31,IF(A32&lt;'Données projet'!$A$36,$K$205^A32,IF(A32='Données projet'!$A$36,'Données projet'!$B$36,N31+M32-V31)))</f>
        <v>491</v>
      </c>
      <c r="O32" s="13">
        <f>N32*VLOOKUP('Données projet'!$B$9,Paramètres!$A$1:$I$89,3,0)*VLOOKUP('Données projet'!$B$9,Paramètres!$A$1:$I$89,5,0)</f>
        <v>274.46899999999999</v>
      </c>
      <c r="P32" s="13">
        <f t="shared" si="33"/>
        <v>65.796795812732981</v>
      </c>
      <c r="Q32" s="20">
        <f t="shared" si="2"/>
        <v>592.62959437384313</v>
      </c>
      <c r="R32" s="59">
        <f t="shared" si="0"/>
        <v>885.9629277071765</v>
      </c>
      <c r="S32" s="59">
        <f ca="1">AVERAGE(OFFSET($R$3,0,0,'Données projet'!$E$9+1,1))-AVERAGE(OFFSET($H$3,0,0,'Données projet'!$E$9+1,1))</f>
        <v>467.03705646400994</v>
      </c>
      <c r="T32" s="59">
        <f t="shared" si="34"/>
        <v>575.68119027684361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15.825182100220522</v>
      </c>
      <c r="AA32" s="21">
        <f>EXP(-LN(2)/25)*AA31+(1-EXP(-LN(2)/25))/(LN(2)/25)*Calculateur!V32*Calculateur!X32*VLOOKUP('Données projet'!$B$9,Paramètres!$A$1:$I$89,3,0)*0.475*44/12</f>
        <v>11.330836451726299</v>
      </c>
      <c r="AB32" s="21">
        <f>EXP(-LN(2)/2)*AB31+(1-EXP(-LN(2)/2))/(LN(2)/2)*V32*Y32*VLOOKUP('Données projet'!$B$9,Paramètres!$A$1:$I$89,3,0)*0.475*44/12</f>
        <v>1.7634064651172514</v>
      </c>
      <c r="AC32" s="22">
        <f t="shared" si="3"/>
        <v>28.919425017064075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116.19999999999999</v>
      </c>
      <c r="AJ32" s="13">
        <f>AI32*VLOOKUP('Données projet'!$B$10,Paramètres!$A$1:$I$89,3,0)*VLOOKUP('Données projet'!$B$10,Paramètres!$A$1:$I$89,5,0)</f>
        <v>72.508799999999994</v>
      </c>
      <c r="AK32" s="13">
        <f t="shared" si="35"/>
        <v>20.295198486462837</v>
      </c>
      <c r="AL32" s="20">
        <f t="shared" si="4"/>
        <v>161.63363069725611</v>
      </c>
      <c r="AM32" s="59">
        <f t="shared" si="5"/>
        <v>454.96696403058945</v>
      </c>
      <c r="AN32" s="59">
        <f ca="1">AVERAGE(OFFSET($AM$3,0,0,'Données projet'!$E$10+1,1))-AVERAGE(OFFSET($H$3,0,0,'Données projet'!$E$10+1,1))</f>
        <v>252.44760109054914</v>
      </c>
      <c r="AO32" s="59">
        <f t="shared" si="36"/>
        <v>121.75506329394773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3.7193352410749845</v>
      </c>
      <c r="AW32" s="21">
        <f>EXP(-LN(2)/2)*AW31+(1-EXP(-LN(2)/2))/(LN(2)/2)*AQ32*AT32*VLOOKUP('Données projet'!$B$10,Paramètres!$A$1:$I$89,3,0)*0.475*44/12</f>
        <v>1.1657463735332496</v>
      </c>
      <c r="AX32" s="21">
        <f t="shared" si="6"/>
        <v>4.8850816146082341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17.600000000000001</v>
      </c>
      <c r="BD32" s="12">
        <f>IF('Données projet'!$A$88&gt;35,BD31+BC32-BL31,IF(A32&lt;'Données projet'!$A$88,$BA$205^A32,IF(A32='Données projet'!$A$88,'Données projet'!$B$88,BD31+BC32-BL31)))</f>
        <v>238.4</v>
      </c>
      <c r="BE32" s="13">
        <f>BD32*VLOOKUP('Données projet'!$B$11,Paramètres!$A$1:$I$89,3,0)*VLOOKUP('Données projet'!$B$11,Paramètres!$A$1:$I$89,5,0)</f>
        <v>142.56319999999999</v>
      </c>
      <c r="BF32" s="13">
        <f t="shared" si="37"/>
        <v>36.883577154665602</v>
      </c>
      <c r="BG32" s="20">
        <f t="shared" si="7"/>
        <v>312.53647021104257</v>
      </c>
      <c r="BH32" s="59">
        <f t="shared" si="8"/>
        <v>605.86980354437583</v>
      </c>
      <c r="BI32" s="59">
        <f ca="1">AVERAGE(OFFSET($BH$3,0,0,'Données projet'!$E$11+1,1))-AVERAGE(OFFSET($H$3,0,0,'Données projet'!$E$11+1,1))</f>
        <v>260.97162394079265</v>
      </c>
      <c r="BJ32" s="59">
        <f t="shared" si="38"/>
        <v>279.1836614199691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8.3107298809614729</v>
      </c>
      <c r="BQ32" s="21">
        <f>EXP(-LN(2)/25)*BQ31+(1-EXP(-LN(2)/25))/(LN(2)/25)*Calculateur!BL32*Calculateur!BN32*VLOOKUP('Données projet'!$B$11,Paramètres!$A$1:$I$89,3,0)*0.475*44/12</f>
        <v>4.274888372500417</v>
      </c>
      <c r="BR32" s="21">
        <f>EXP(-LN(2)/2)*BR31+(1-EXP(-LN(2)/2))/(LN(2)/2)*BL32*BO32*VLOOKUP('Données projet'!$B$11,Paramètres!$A$1:$I$89,3,0)*0.475*44/12</f>
        <v>0.98966790777681213</v>
      </c>
      <c r="BS32" s="22">
        <f t="shared" si="9"/>
        <v>13.575286161238703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180.60000000000002</v>
      </c>
      <c r="BZ32" s="13">
        <f>BY32*VLOOKUP('Données projet'!$B$12,Paramètres!$A$1:$I$89,3,0)*VLOOKUP('Données projet'!$B$12,Paramètres!$A$1:$I$89,5,0)</f>
        <v>107.99880000000002</v>
      </c>
      <c r="CA32" s="13">
        <f t="shared" si="39"/>
        <v>28.858983600701585</v>
      </c>
      <c r="CB32" s="20">
        <f t="shared" si="10"/>
        <v>238.36063977122194</v>
      </c>
      <c r="CC32" s="59">
        <f t="shared" si="11"/>
        <v>531.6939731045552</v>
      </c>
      <c r="CD32" s="59">
        <f ca="1">AVERAGE(OFFSET($CC$3,0,0,'Données projet'!$E$12+1,1))-AVERAGE(OFFSET($H$3,0,0,'Données projet'!$E$12+1,1))</f>
        <v>264.70281355687837</v>
      </c>
      <c r="CE32" s="59">
        <f t="shared" si="40"/>
        <v>199.74194600786768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3.0297084984589997</v>
      </c>
      <c r="CM32" s="21">
        <f>EXP(-LN(2)/2)*CM31+(1-EXP(-LN(2)/2))/(LN(2)/2)*CG32*CJ32*VLOOKUP('Données projet'!$B$12,Paramètres!$A$1:$I$89,3,0)*0.475*44/12</f>
        <v>1.2661300890319462</v>
      </c>
      <c r="CN32" s="22">
        <f t="shared" si="12"/>
        <v>4.2958385874909464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</v>
      </c>
      <c r="CT32" s="12">
        <f>IF('Données projet'!$A$140&gt;35,CT31+CS32-DB31,IF(A32&lt;'Données projet'!$A$140,$CQ$205^A32,IF(A32='Données projet'!$A$140,'Données projet'!$B$140,CT31+CS32-DB31)))</f>
        <v>118</v>
      </c>
      <c r="CU32" s="17">
        <f>CT32*VLOOKUP('Données projet'!$B$13,Paramètres!$A$1:$I$89,3,0)*VLOOKUP('Données projet'!$B$13,Paramètres!$A$1:$I$89,5,0)</f>
        <v>67.496000000000009</v>
      </c>
      <c r="CV32" s="13">
        <f t="shared" si="41"/>
        <v>19.050313963345946</v>
      </c>
      <c r="CW32" s="20">
        <f t="shared" si="13"/>
        <v>150.73483015282753</v>
      </c>
      <c r="CX32" s="59">
        <f t="shared" si="14"/>
        <v>444.06816348616087</v>
      </c>
      <c r="CY32" s="59">
        <f ca="1">AVERAGE(OFFSET($CX$3,0,0,'Données projet'!$E$13+1,1))-AVERAGE(OFFSET($H$3,0,0,'Données projet'!$E$13+1,1))</f>
        <v>149.8619613776458</v>
      </c>
      <c r="CZ32" s="59">
        <f t="shared" si="42"/>
        <v>108.55560257938146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2.0456343825912424</v>
      </c>
      <c r="DH32" s="21">
        <f>EXP(-LN(2)/2)*DH31+(1-EXP(-LN(2)/2))/(LN(2)/2)*DB32*DE32*VLOOKUP('Données projet'!$B$13,Paramètres!$A$1:$I$89,3,0)*0.475*44/12</f>
        <v>0.85488067392438283</v>
      </c>
      <c r="DI32" s="22">
        <f t="shared" si="15"/>
        <v>2.9005150565156255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1">
        <f t="shared" si="32"/>
        <v>7.7346711726299739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67">
        <f t="shared" si="1"/>
        <v>349.18975229233047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524</v>
      </c>
      <c r="L33" s="12">
        <f>VLOOKUP(A33,'Données projet'!$A$35:$I$55,9,0)</f>
        <v>33</v>
      </c>
      <c r="M33" s="12">
        <f t="array" ref="M33">INDEX(L:L,MIN(IF(ISNUMBER(L33:L229),ROW(L33:L229),"")))</f>
        <v>33</v>
      </c>
      <c r="N33" s="13">
        <f>IF('Données projet'!$A$36&gt;35,N32+M33-V32,IF(A33&lt;'Données projet'!$A$36,$K$205^A33,IF(A33='Données projet'!$A$36,'Données projet'!$B$36,N32+M33-V32)))</f>
        <v>524</v>
      </c>
      <c r="O33" s="13">
        <f>N33*VLOOKUP('Données projet'!$B$9,Paramètres!$A$1:$I$89,3,0)*VLOOKUP('Données projet'!$B$9,Paramètres!$A$1:$I$89,5,0)</f>
        <v>292.916</v>
      </c>
      <c r="P33" s="13">
        <f t="shared" si="33"/>
        <v>69.68932587703776</v>
      </c>
      <c r="Q33" s="20">
        <f t="shared" si="2"/>
        <v>631.53760923584082</v>
      </c>
      <c r="R33" s="59">
        <f t="shared" si="0"/>
        <v>924.87094256917408</v>
      </c>
      <c r="S33" s="59">
        <f ca="1">AVERAGE(OFFSET($R$3,0,0,'Données projet'!$E$9+1,1))-AVERAGE(OFFSET($H$3,0,0,'Données projet'!$E$9+1,1))</f>
        <v>467.03705646400994</v>
      </c>
      <c r="T33" s="59">
        <f t="shared" si="34"/>
        <v>575.68119027684361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90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9.3500000000000014E-2</v>
      </c>
      <c r="Y33" s="16">
        <f>IF(ISNA(VLOOKUP(A33,'Données projet'!$A$35:$I$55,7,0)),0%,VLOOKUP(A33,'Données projet'!$A$35:$I$55,7,0))</f>
        <v>0.13</v>
      </c>
      <c r="Z33" s="21">
        <f>EXP(-LN(2)/35)*Z32+(1-EXP(-LN(2)/35))/(LN(2)/35)*V33*W33*VLOOKUP('Données projet'!$B$9,Paramètres!$A$1:$I$89,3,0)*0.475*44/12</f>
        <v>41.209551166611043</v>
      </c>
      <c r="AA33" s="21">
        <f>EXP(-LN(2)/25)*AA32+(1-EXP(-LN(2)/25))/(LN(2)/25)*Calculateur!V33*Calculateur!X33*VLOOKUP('Données projet'!$B$9,Paramètres!$A$1:$I$89,3,0)*0.475*44/12</f>
        <v>17.236563626908548</v>
      </c>
      <c r="AB33" s="21">
        <f>EXP(-LN(2)/2)*AB32+(1-EXP(-LN(2)/2))/(LN(2)/2)*V33*Y33*VLOOKUP('Données projet'!$B$9,Paramètres!$A$1:$I$89,3,0)*0.475*44/12</f>
        <v>8.652055564984952</v>
      </c>
      <c r="AC33" s="22">
        <f t="shared" si="3"/>
        <v>67.098170358504547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128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127.99999999999999</v>
      </c>
      <c r="AJ33" s="13">
        <f>AI33*VLOOKUP('Données projet'!$B$10,Paramètres!$A$1:$I$89,3,0)*VLOOKUP('Données projet'!$B$10,Paramètres!$A$1:$I$89,5,0)</f>
        <v>79.871999999999986</v>
      </c>
      <c r="AK33" s="13">
        <f t="shared" si="35"/>
        <v>22.105884547145418</v>
      </c>
      <c r="AL33" s="20">
        <f t="shared" si="4"/>
        <v>177.61148225294491</v>
      </c>
      <c r="AM33" s="59">
        <f t="shared" si="5"/>
        <v>470.9448155862782</v>
      </c>
      <c r="AN33" s="59">
        <f ca="1">AVERAGE(OFFSET($AM$3,0,0,'Données projet'!$E$10+1,1))-AVERAGE(OFFSET($H$3,0,0,'Données projet'!$E$10+1,1))</f>
        <v>252.44760109054914</v>
      </c>
      <c r="AO33" s="59">
        <f t="shared" si="36"/>
        <v>121.75506329394773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0.42</v>
      </c>
      <c r="AS33" s="16">
        <f>IF(ISNA(VLOOKUP(A33,'Données projet'!$A$61:$I$81,6,0)),0%,VLOOKUP(A33,'Données projet'!$A$61:$I$81,6,0)*VLOOKUP('Données projet'!$B$10,Paramètres!$A$1:$I$89,7,0))</f>
        <v>0.10200000000000001</v>
      </c>
      <c r="AT33" s="16">
        <f>IF(ISNA(VLOOKUP(A33,'Données projet'!$A$61:$I$81,7,0)),0%,VLOOKUP(A33,'Données projet'!$A$61:$I$81,7,0))</f>
        <v>0.13</v>
      </c>
      <c r="AU33" s="21">
        <f>EXP(-LN(2)/35)*AU32+(1-EXP(-LN(2)/35))/(LN(2)/35)*AQ33*AR33*VLOOKUP('Données projet'!$B$10,Paramètres!$A$1:$I$89,3,0)*0.475*44/12</f>
        <v>7.3009862621134873</v>
      </c>
      <c r="AV33" s="21">
        <f>EXP(-LN(2)/25)*AV32+(1-EXP(-LN(2)/25))/(LN(2)/25)*Calculateur!AQ33*Calculateur!AS33*VLOOKUP('Données projet'!$B$10,Paramètres!$A$1:$I$89,3,0)*0.475*44/12</f>
        <v>5.3837451298049732</v>
      </c>
      <c r="AW33" s="21">
        <f>EXP(-LN(2)/2)*AW32+(1-EXP(-LN(2)/2))/(LN(2)/2)*AQ33*AT33*VLOOKUP('Données projet'!$B$10,Paramètres!$A$1:$I$89,3,0)*0.475*44/12</f>
        <v>2.753087529351272</v>
      </c>
      <c r="AX33" s="21">
        <f t="shared" si="6"/>
        <v>15.437818921269734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256</v>
      </c>
      <c r="BB33" s="12">
        <f>VLOOKUP(A33,'Données projet'!$A$87:$I$107,9,0)</f>
        <v>17.600000000000001</v>
      </c>
      <c r="BC33" s="12">
        <f t="array" ref="BC33">INDEX(BB:BB,MIN(IF(ISNUMBER(BB33:BB229),ROW(BB33:BB229),"")))</f>
        <v>17.600000000000001</v>
      </c>
      <c r="BD33" s="12">
        <f>IF('Données projet'!$A$88&gt;35,BD32+BC33-BL32,IF(A33&lt;'Données projet'!$A$88,$BA$205^A33,IF(A33='Données projet'!$A$88,'Données projet'!$B$88,BD32+BC33-BL32)))</f>
        <v>256</v>
      </c>
      <c r="BE33" s="13">
        <f>BD33*VLOOKUP('Données projet'!$B$11,Paramètres!$A$1:$I$89,3,0)*VLOOKUP('Données projet'!$B$11,Paramètres!$A$1:$I$89,5,0)</f>
        <v>153.08800000000002</v>
      </c>
      <c r="BF33" s="13">
        <f t="shared" si="37"/>
        <v>39.27951026543515</v>
      </c>
      <c r="BG33" s="20">
        <f t="shared" si="7"/>
        <v>335.04008037896625</v>
      </c>
      <c r="BH33" s="59">
        <f t="shared" si="8"/>
        <v>628.37341371229957</v>
      </c>
      <c r="BI33" s="59">
        <f ca="1">AVERAGE(OFFSET($BH$3,0,0,'Données projet'!$E$11+1,1))-AVERAGE(OFFSET($H$3,0,0,'Données projet'!$E$11+1,1))</f>
        <v>260.97162394079265</v>
      </c>
      <c r="BJ33" s="59">
        <f t="shared" si="38"/>
        <v>279.1836614199691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0.315</v>
      </c>
      <c r="BN33" s="16">
        <f>IF(ISNA(VLOOKUP(A33,'Données projet'!$A$87:$I$107,6,0)),0%,VLOOKUP(A33,'Données projet'!$A$87:$I$107,6,0)*VLOOKUP('Données projet'!$B$11,Paramètres!$A$1:$I$89,7,0))</f>
        <v>7.6500000000000012E-2</v>
      </c>
      <c r="BO33" s="16">
        <f>IF(ISNA(VLOOKUP(A33,'Données projet'!$A$87:$I$107,7,0)),0%,VLOOKUP(A33,'Données projet'!$A$87:$I$107,7,0))</f>
        <v>0.13</v>
      </c>
      <c r="BP33" s="21">
        <f>EXP(-LN(2)/35)*BP32+(1-EXP(-LN(2)/35))/(LN(2)/35)*BL33*BM33*VLOOKUP('Données projet'!$B$11,Paramètres!$A$1:$I$89,3,0)*0.475*44/12</f>
        <v>21.641548646482413</v>
      </c>
      <c r="BQ33" s="21">
        <f>EXP(-LN(2)/25)*BQ32+(1-EXP(-LN(2)/25))/(LN(2)/25)*Calculateur!BL33*Calculateur!BN33*VLOOKUP('Données projet'!$B$11,Paramètres!$A$1:$I$89,3,0)*0.475*44/12</f>
        <v>7.4221508648185379</v>
      </c>
      <c r="BR33" s="21">
        <f>EXP(-LN(2)/2)*BR32+(1-EXP(-LN(2)/2))/(LN(2)/2)*BL33*BO33*VLOOKUP('Données projet'!$B$11,Paramètres!$A$1:$I$89,3,0)*0.475*44/12</f>
        <v>5.4528667844358889</v>
      </c>
      <c r="BS33" s="22">
        <f t="shared" si="9"/>
        <v>34.516566295736837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194.00000000000003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548.93169830019815</v>
      </c>
      <c r="CD33" s="59">
        <f ca="1">AVERAGE(OFFSET($CC$3,0,0,'Données projet'!$E$12+1,1))-AVERAGE(OFFSET($H$3,0,0,'Données projet'!$E$12+1,1))</f>
        <v>264.70281355687837</v>
      </c>
      <c r="CE33" s="59">
        <f t="shared" si="40"/>
        <v>199.74194600786768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0.315</v>
      </c>
      <c r="CI33" s="16">
        <f>IF(ISNA(VLOOKUP(A33,'Données projet'!$A$113:$I$133,6,0)),0%,VLOOKUP(A33,'Données projet'!$A$113:$I$133,6,0)*VLOOKUP('Données projet'!$B$12,Paramètres!$A$1:$I$89,7,0))</f>
        <v>7.6500000000000012E-2</v>
      </c>
      <c r="CJ33" s="16">
        <f>IF(ISNA(VLOOKUP(A33,'Données projet'!$A$113:$I$133,7,0)),0%,VLOOKUP(A33,'Données projet'!$A$113:$I$133,7,0))</f>
        <v>0.13</v>
      </c>
      <c r="CK33" s="21">
        <f>EXP(-LN(2)/35)*CK32+(1-EXP(-LN(2)/35))/(LN(2)/35)*CG33*CH33*VLOOKUP('Données projet'!$B$12,Paramètres!$A$1:$I$89,3,0)*0.475*44/12</f>
        <v>8.4960881800189689</v>
      </c>
      <c r="CL33" s="21">
        <f>EXP(-LN(2)/25)*CL32+(1-EXP(-LN(2)/25))/(LN(2)/25)*Calculateur!CG33*Calculateur!CI33*VLOOKUP('Données projet'!$B$12,Paramètres!$A$1:$I$89,3,0)*0.475*44/12</f>
        <v>5.0020725222581124</v>
      </c>
      <c r="CM33" s="21">
        <f>EXP(-LN(2)/2)*CM32+(1-EXP(-LN(2)/2))/(LN(2)/2)*CG33*CJ33*VLOOKUP('Données projet'!$B$12,Paramètres!$A$1:$I$89,3,0)*0.475*44/12</f>
        <v>3.88796029134887</v>
      </c>
      <c r="CN33" s="22">
        <f t="shared" si="12"/>
        <v>17.386120993625951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129</v>
      </c>
      <c r="CR33" s="12">
        <f>VLOOKUP(A33,'Données projet'!$A$139:$I$159,9,0)</f>
        <v>11</v>
      </c>
      <c r="CS33" s="12">
        <f t="array" ref="CS33">INDEX(CR:CR,MIN(IF(ISNUMBER(CR33:CR229),ROW(CR33:CR229),"")))</f>
        <v>11</v>
      </c>
      <c r="CT33" s="12">
        <f>IF('Données projet'!$A$140&gt;35,CT32+CS33-DB32,IF(A33&lt;'Données projet'!$A$140,$CQ$205^A33,IF(A33='Données projet'!$A$140,'Données projet'!$B$140,CT32+CS33-DB32)))</f>
        <v>129</v>
      </c>
      <c r="CU33" s="17">
        <f>CT33*VLOOKUP('Données projet'!$B$13,Paramètres!$A$1:$I$89,3,0)*VLOOKUP('Données projet'!$B$13,Paramètres!$A$1:$I$89,5,0)</f>
        <v>73.787999999999997</v>
      </c>
      <c r="CV33" s="13">
        <f t="shared" si="41"/>
        <v>20.611246816293939</v>
      </c>
      <c r="CW33" s="20">
        <f t="shared" si="13"/>
        <v>164.41202153837858</v>
      </c>
      <c r="CX33" s="59">
        <f t="shared" si="14"/>
        <v>457.74535487171192</v>
      </c>
      <c r="CY33" s="59">
        <f ca="1">AVERAGE(OFFSET($CX$3,0,0,'Données projet'!$E$13+1,1))-AVERAGE(OFFSET($H$3,0,0,'Données projet'!$E$13+1,1))</f>
        <v>149.8619613776458</v>
      </c>
      <c r="CZ33" s="59">
        <f t="shared" si="42"/>
        <v>108.55560257938146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23</v>
      </c>
      <c r="DC33" s="16">
        <f>IF(ISNA(VLOOKUP(A33,'Données projet'!$A$139:$I$159,5,0)),0%,VLOOKUP(A33,'Données projet'!$A$139:$I$159,5,0)*VLOOKUP('Données projet'!$B$13,Paramètres!$A$1:$I$89,7,0))</f>
        <v>0.315</v>
      </c>
      <c r="DD33" s="16">
        <f>IF(ISNA(VLOOKUP(A33,'Données projet'!$A$139:$I$159,6,0)),0%,VLOOKUP(A33,'Données projet'!$A$139:$I$159,6,0)*VLOOKUP('Données projet'!$B$13,Paramètres!$A$1:$I$89,7,0))</f>
        <v>7.6500000000000012E-2</v>
      </c>
      <c r="DE33" s="16">
        <f>IF(ISNA(VLOOKUP(A33,'Données projet'!$A$139:$I$159,7,0)),0%,VLOOKUP(A33,'Données projet'!$A$139:$I$159,7,0))</f>
        <v>0.13</v>
      </c>
      <c r="DF33" s="21">
        <f>EXP(-LN(2)/35)*DF32+(1-EXP(-LN(2)/35))/(LN(2)/35)*DB33*DC33*VLOOKUP('Données projet'!$B$13,Paramètres!$A$1:$I$89,3,0)*0.475*44/12</f>
        <v>5.4974688223652164</v>
      </c>
      <c r="DG33" s="21">
        <f>EXP(-LN(2)/25)*DG32+(1-EXP(-LN(2)/25))/(LN(2)/25)*Calculateur!DB33*Calculateur!DD33*VLOOKUP('Données projet'!$B$13,Paramètres!$A$1:$I$89,3,0)*0.475*44/12</f>
        <v>3.3195391782454662</v>
      </c>
      <c r="DH33" s="21">
        <f>EXP(-LN(2)/2)*DH32+(1-EXP(-LN(2)/2))/(LN(2)/2)*DB33*DE33*VLOOKUP('Données projet'!$B$13,Paramètres!$A$1:$I$89,3,0)*0.475*44/12</f>
        <v>2.5409261754508208</v>
      </c>
      <c r="DI33" s="22">
        <f t="shared" si="15"/>
        <v>11.357934176061503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1">
        <f t="shared" si="32"/>
        <v>7.96204645339769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67">
        <f t="shared" si="1"/>
        <v>350.9986042396676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28.4</v>
      </c>
      <c r="N34" s="13">
        <f>IF('Données projet'!$A$36&gt;35,N33+M34-V33,IF(A34&lt;'Données projet'!$A$36,$K$205^A34,IF(A34='Données projet'!$A$36,'Données projet'!$B$36,N33+M34-V33)))</f>
        <v>462.4</v>
      </c>
      <c r="O34" s="13">
        <f>N34*VLOOKUP('Données projet'!$B$9,Paramètres!$A$1:$I$89,3,0)*VLOOKUP('Données projet'!$B$9,Paramètres!$A$1:$I$89,5,0)</f>
        <v>258.48160000000001</v>
      </c>
      <c r="P34" s="13">
        <f t="shared" si="33"/>
        <v>62.398606187610767</v>
      </c>
      <c r="Q34" s="20">
        <f t="shared" si="2"/>
        <v>558.86635911008875</v>
      </c>
      <c r="R34" s="59">
        <f t="shared" si="0"/>
        <v>852.19969244342201</v>
      </c>
      <c r="S34" s="59">
        <f ca="1">AVERAGE(OFFSET($R$3,0,0,'Données projet'!$E$9+1,1))-AVERAGE(OFFSET($H$3,0,0,'Données projet'!$E$9+1,1))</f>
        <v>467.03705646400994</v>
      </c>
      <c r="T34" s="59">
        <f t="shared" si="34"/>
        <v>575.68119027684361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40.401457003578102</v>
      </c>
      <c r="AA34" s="21">
        <f>EXP(-LN(2)/25)*AA33+(1-EXP(-LN(2)/25))/(LN(2)/25)*Calculateur!V34*Calculateur!X34*VLOOKUP('Données projet'!$B$9,Paramètres!$A$1:$I$89,3,0)*0.475*44/12</f>
        <v>16.765228888099248</v>
      </c>
      <c r="AB34" s="21">
        <f>EXP(-LN(2)/2)*AB33+(1-EXP(-LN(2)/2))/(LN(2)/2)*V34*Y34*VLOOKUP('Données projet'!$B$9,Paramètres!$A$1:$I$89,3,0)*0.475*44/12</f>
        <v>6.1179271612036654</v>
      </c>
      <c r="AC34" s="22">
        <f t="shared" si="3"/>
        <v>63.284613052881014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13.4</v>
      </c>
      <c r="AI34" s="13">
        <f>IF('Données projet'!$A$62&gt;35,AI33+AH34-AQ33,IF(A34&lt;'Données projet'!$A$62,$AF$205^A34,IF(A34='Données projet'!$A$62,'Données projet'!$B$62,AI33+AH34-AQ33)))</f>
        <v>120.39999999999998</v>
      </c>
      <c r="AJ34" s="13">
        <f>AI34*VLOOKUP('Données projet'!$B$10,Paramètres!$A$1:$I$89,3,0)*VLOOKUP('Données projet'!$B$10,Paramètres!$A$1:$I$89,5,0)</f>
        <v>75.129599999999982</v>
      </c>
      <c r="AK34" s="13">
        <f t="shared" si="35"/>
        <v>20.942027818647581</v>
      </c>
      <c r="AL34" s="20">
        <f t="shared" si="4"/>
        <v>167.3247517841445</v>
      </c>
      <c r="AM34" s="59">
        <f t="shared" si="5"/>
        <v>460.65808511747781</v>
      </c>
      <c r="AN34" s="59">
        <f ca="1">AVERAGE(OFFSET($AM$3,0,0,'Données projet'!$E$10+1,1))-AVERAGE(OFFSET($H$3,0,0,'Données projet'!$E$10+1,1))</f>
        <v>252.44760109054914</v>
      </c>
      <c r="AO34" s="59">
        <f t="shared" si="36"/>
        <v>121.75506329394773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7.1578183746753483</v>
      </c>
      <c r="AV34" s="21">
        <f>EXP(-LN(2)/25)*AV33+(1-EXP(-LN(2)/25))/(LN(2)/25)*Calculateur!AQ34*Calculateur!AS34*VLOOKUP('Données projet'!$B$10,Paramètres!$A$1:$I$89,3,0)*0.475*44/12</f>
        <v>5.2365263361116048</v>
      </c>
      <c r="AW34" s="21">
        <f>EXP(-LN(2)/2)*AW33+(1-EXP(-LN(2)/2))/(LN(2)/2)*AQ34*AT34*VLOOKUP('Données projet'!$B$10,Paramètres!$A$1:$I$89,3,0)*0.475*44/12</f>
        <v>1.9467268612044029</v>
      </c>
      <c r="AX34" s="21">
        <f t="shared" si="6"/>
        <v>14.341071571991357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19.399999999999999</v>
      </c>
      <c r="BD34" s="12">
        <f>IF('Données projet'!$A$88&gt;35,BD33+BC34-BL33,IF(A34&lt;'Données projet'!$A$88,$BA$205^A34,IF(A34='Données projet'!$A$88,'Données projet'!$B$88,BD33+BC34-BL33)))</f>
        <v>221.39999999999998</v>
      </c>
      <c r="BE34" s="13">
        <f>BD34*VLOOKUP('Données projet'!$B$11,Paramètres!$A$1:$I$89,3,0)*VLOOKUP('Données projet'!$B$11,Paramètres!$A$1:$I$89,5,0)</f>
        <v>132.3972</v>
      </c>
      <c r="BF34" s="13">
        <f t="shared" si="37"/>
        <v>34.549691434742741</v>
      </c>
      <c r="BG34" s="20">
        <f t="shared" si="7"/>
        <v>290.76583591551019</v>
      </c>
      <c r="BH34" s="59">
        <f t="shared" si="8"/>
        <v>584.09916924884351</v>
      </c>
      <c r="BI34" s="59">
        <f ca="1">AVERAGE(OFFSET($BH$3,0,0,'Données projet'!$E$11+1,1))-AVERAGE(OFFSET($H$3,0,0,'Données projet'!$E$11+1,1))</f>
        <v>260.97162394079265</v>
      </c>
      <c r="BJ34" s="59">
        <f t="shared" si="38"/>
        <v>279.1836614199691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21.217171077566171</v>
      </c>
      <c r="BQ34" s="21">
        <f>EXP(-LN(2)/25)*BQ33+(1-EXP(-LN(2)/25))/(LN(2)/25)*Calculateur!BL34*Calculateur!BN34*VLOOKUP('Données projet'!$B$11,Paramètres!$A$1:$I$89,3,0)*0.475*44/12</f>
        <v>7.219191759106125</v>
      </c>
      <c r="BR34" s="21">
        <f>EXP(-LN(2)/2)*BR33+(1-EXP(-LN(2)/2))/(LN(2)/2)*BL34*BO34*VLOOKUP('Données projet'!$B$11,Paramètres!$A$1:$I$89,3,0)*0.475*44/12</f>
        <v>3.8557590801815014</v>
      </c>
      <c r="BS34" s="22">
        <f t="shared" si="9"/>
        <v>32.292121916853795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174.60000000000002</v>
      </c>
      <c r="BZ34" s="13">
        <f>BY34*VLOOKUP('Données projet'!$B$12,Paramètres!$A$1:$I$89,3,0)*VLOOKUP('Données projet'!$B$12,Paramètres!$A$1:$I$89,5,0)</f>
        <v>104.41080000000002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523.96649762023048</v>
      </c>
      <c r="CD34" s="59">
        <f ca="1">AVERAGE(OFFSET($CC$3,0,0,'Données projet'!$E$12+1,1))-AVERAGE(OFFSET($H$3,0,0,'Données projet'!$E$12+1,1))</f>
        <v>264.70281355687837</v>
      </c>
      <c r="CE34" s="59">
        <f t="shared" si="40"/>
        <v>199.74194600786768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8.3294850729108969</v>
      </c>
      <c r="CL34" s="21">
        <f>EXP(-LN(2)/25)*CL33+(1-EXP(-LN(2)/25))/(LN(2)/25)*Calculateur!CG34*Calculateur!CI34*VLOOKUP('Données projet'!$B$12,Paramètres!$A$1:$I$89,3,0)*0.475*44/12</f>
        <v>4.8652905860894027</v>
      </c>
      <c r="CM34" s="21">
        <f>EXP(-LN(2)/2)*CM33+(1-EXP(-LN(2)/2))/(LN(2)/2)*CG34*CJ34*VLOOKUP('Données projet'!$B$12,Paramètres!$A$1:$I$89,3,0)*0.475*44/12</f>
        <v>2.7492030869968112</v>
      </c>
      <c r="CN34" s="22">
        <f t="shared" si="12"/>
        <v>15.943978745997111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</v>
      </c>
      <c r="CT34" s="12">
        <f>IF('Données projet'!$A$140&gt;35,CT33+CS34-DB33,IF(A34&lt;'Données projet'!$A$140,$CQ$205^A34,IF(A34='Données projet'!$A$140,'Données projet'!$B$140,CT33+CS34-DB33)))</f>
        <v>118</v>
      </c>
      <c r="CU34" s="17">
        <f>CT34*VLOOKUP('Données projet'!$B$13,Paramètres!$A$1:$I$89,3,0)*VLOOKUP('Données projet'!$B$13,Paramètres!$A$1:$I$89,5,0)</f>
        <v>67.496000000000009</v>
      </c>
      <c r="CV34" s="13">
        <f t="shared" si="41"/>
        <v>19.050313963345946</v>
      </c>
      <c r="CW34" s="20">
        <f t="shared" si="13"/>
        <v>150.73483015282753</v>
      </c>
      <c r="CX34" s="59">
        <f t="shared" si="14"/>
        <v>444.06816348616087</v>
      </c>
      <c r="CY34" s="59">
        <f ca="1">AVERAGE(OFFSET($CX$3,0,0,'Données projet'!$E$13+1,1))-AVERAGE(OFFSET($H$3,0,0,'Données projet'!$E$13+1,1))</f>
        <v>149.8619613776458</v>
      </c>
      <c r="CZ34" s="59">
        <f t="shared" si="42"/>
        <v>108.55560257938146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5.3896668118835223</v>
      </c>
      <c r="DG34" s="21">
        <f>EXP(-LN(2)/25)*DG33+(1-EXP(-LN(2)/25))/(LN(2)/25)*Calculateur!DB34*Calculateur!DD34*VLOOKUP('Données projet'!$B$13,Paramètres!$A$1:$I$89,3,0)*0.475*44/12</f>
        <v>3.2287662048493653</v>
      </c>
      <c r="DH34" s="21">
        <f>EXP(-LN(2)/2)*DH33+(1-EXP(-LN(2)/2))/(LN(2)/2)*DB34*DE34*VLOOKUP('Données projet'!$B$13,Paramètres!$A$1:$I$89,3,0)*0.475*44/12</f>
        <v>1.7967061291556747</v>
      </c>
      <c r="DI34" s="22">
        <f t="shared" si="15"/>
        <v>10.415139145888562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1">
        <f t="shared" si="32"/>
        <v>8.1885694213502767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67">
        <f t="shared" si="1"/>
        <v>352.80597174218502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28.4</v>
      </c>
      <c r="N35" s="13">
        <f>IF('Données projet'!$A$36&gt;35,N34+M35-V34,IF(A35&lt;'Données projet'!$A$36,$K$205^A35,IF(A35='Données projet'!$A$36,'Données projet'!$B$36,N34+M35-V34)))</f>
        <v>490.79999999999995</v>
      </c>
      <c r="O35" s="13">
        <f>N35*VLOOKUP('Données projet'!$B$9,Paramètres!$A$1:$I$89,3,0)*VLOOKUP('Données projet'!$B$9,Paramètres!$A$1:$I$89,5,0)</f>
        <v>274.35719999999998</v>
      </c>
      <c r="P35" s="13">
        <f t="shared" si="33"/>
        <v>65.773113764972635</v>
      </c>
      <c r="Q35" s="20">
        <f t="shared" ref="Q35:Q66" si="53">(O35+P35)*0.475*44/12</f>
        <v>592.39362980732722</v>
      </c>
      <c r="R35" s="59">
        <f t="shared" si="0"/>
        <v>885.72696314066047</v>
      </c>
      <c r="S35" s="59">
        <f ca="1">AVERAGE(OFFSET($R$3,0,0,'Données projet'!$E$9+1,1))-AVERAGE(OFFSET($H$3,0,0,'Données projet'!$E$9+1,1))</f>
        <v>467.03705646400994</v>
      </c>
      <c r="T35" s="59">
        <f t="shared" si="34"/>
        <v>575.68119027684361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39.609209074193465</v>
      </c>
      <c r="AA35" s="21">
        <f>EXP(-LN(2)/25)*AA34+(1-EXP(-LN(2)/25))/(LN(2)/25)*Calculateur!V35*Calculateur!X35*VLOOKUP('Données projet'!$B$9,Paramètres!$A$1:$I$89,3,0)*0.475*44/12</f>
        <v>16.306782822509103</v>
      </c>
      <c r="AB35" s="21">
        <f>EXP(-LN(2)/2)*AB34+(1-EXP(-LN(2)/2))/(LN(2)/2)*V35*Y35*VLOOKUP('Données projet'!$B$9,Paramètres!$A$1:$I$89,3,0)*0.475*44/12</f>
        <v>4.326027782492476</v>
      </c>
      <c r="AC35" s="22">
        <f t="shared" si="3"/>
        <v>60.242019679195039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13.4</v>
      </c>
      <c r="AI35" s="13">
        <f>IF('Données projet'!$A$62&gt;35,AI34+AH35-AQ34,IF(A35&lt;'Données projet'!$A$62,$AF$205^A35,IF(A35='Données projet'!$A$62,'Données projet'!$B$62,AI34+AH35-AQ34)))</f>
        <v>133.79999999999998</v>
      </c>
      <c r="AJ35" s="13">
        <f>AI35*VLOOKUP('Données projet'!$B$10,Paramètres!$A$1:$I$89,3,0)*VLOOKUP('Données projet'!$B$10,Paramètres!$A$1:$I$89,5,0)</f>
        <v>83.491199999999992</v>
      </c>
      <c r="AK35" s="13">
        <f t="shared" si="35"/>
        <v>22.988667039592098</v>
      </c>
      <c r="AL35" s="20">
        <f t="shared" si="4"/>
        <v>185.45243509395621</v>
      </c>
      <c r="AM35" s="59">
        <f t="shared" si="5"/>
        <v>478.78576842728955</v>
      </c>
      <c r="AN35" s="59">
        <f ca="1">AVERAGE(OFFSET($AM$3,0,0,'Données projet'!$E$10+1,1))-AVERAGE(OFFSET($H$3,0,0,'Données projet'!$E$10+1,1))</f>
        <v>252.44760109054914</v>
      </c>
      <c r="AO35" s="59">
        <f t="shared" si="36"/>
        <v>121.75506329394773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7.0174579221860824</v>
      </c>
      <c r="AV35" s="21">
        <f>EXP(-LN(2)/25)*AV34+(1-EXP(-LN(2)/25))/(LN(2)/25)*Calculateur!AQ35*Calculateur!AS35*VLOOKUP('Données projet'!$B$10,Paramètres!$A$1:$I$89,3,0)*0.475*44/12</f>
        <v>5.093333248073681</v>
      </c>
      <c r="AW35" s="21">
        <f>EXP(-LN(2)/2)*AW34+(1-EXP(-LN(2)/2))/(LN(2)/2)*AQ35*AT35*VLOOKUP('Données projet'!$B$10,Paramètres!$A$1:$I$89,3,0)*0.475*44/12</f>
        <v>1.3765437646756362</v>
      </c>
      <c r="AX35" s="21">
        <f t="shared" si="6"/>
        <v>13.487334934935399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19.399999999999999</v>
      </c>
      <c r="BD35" s="12">
        <f>IF('Données projet'!$A$88&gt;35,BD34+BC35-BL34,IF(A35&lt;'Données projet'!$A$88,$BA$205^A35,IF(A35='Données projet'!$A$88,'Données projet'!$B$88,BD34+BC35-BL34)))</f>
        <v>240.79999999999998</v>
      </c>
      <c r="BE35" s="13">
        <f>BD35*VLOOKUP('Données projet'!$B$11,Paramètres!$A$1:$I$89,3,0)*VLOOKUP('Données projet'!$B$11,Paramètres!$A$1:$I$89,5,0)</f>
        <v>143.9984</v>
      </c>
      <c r="BF35" s="13">
        <f t="shared" si="37"/>
        <v>37.21147619889382</v>
      </c>
      <c r="BG35" s="20">
        <f t="shared" si="7"/>
        <v>315.60720104640671</v>
      </c>
      <c r="BH35" s="59">
        <f t="shared" si="8"/>
        <v>608.94053437974003</v>
      </c>
      <c r="BI35" s="59">
        <f ca="1">AVERAGE(OFFSET($BH$3,0,0,'Données projet'!$E$11+1,1))-AVERAGE(OFFSET($H$3,0,0,'Données projet'!$E$11+1,1))</f>
        <v>260.97162394079265</v>
      </c>
      <c r="BJ35" s="59">
        <f t="shared" si="38"/>
        <v>279.1836614199691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20.80111529393162</v>
      </c>
      <c r="BQ35" s="21">
        <f>EXP(-LN(2)/25)*BQ34+(1-EXP(-LN(2)/25))/(LN(2)/25)*Calculateur!BL35*Calculateur!BN35*VLOOKUP('Données projet'!$B$11,Paramètres!$A$1:$I$89,3,0)*0.475*44/12</f>
        <v>7.0217825808125731</v>
      </c>
      <c r="BR35" s="21">
        <f>EXP(-LN(2)/2)*BR34+(1-EXP(-LN(2)/2))/(LN(2)/2)*BL35*BO35*VLOOKUP('Données projet'!$B$11,Paramètres!$A$1:$I$89,3,0)*0.475*44/12</f>
        <v>2.7264333922179449</v>
      </c>
      <c r="BS35" s="22">
        <f t="shared" si="9"/>
        <v>30.549331266962138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189.20000000000002</v>
      </c>
      <c r="BZ35" s="13">
        <f>BY35*VLOOKUP('Données projet'!$B$12,Paramètres!$A$1:$I$89,3,0)*VLOOKUP('Données projet'!$B$12,Paramètres!$A$1:$I$89,5,0)</f>
        <v>113.14160000000001</v>
      </c>
      <c r="CA35" s="13">
        <f t="shared" si="39"/>
        <v>30.069952587742019</v>
      </c>
      <c r="CB35" s="20">
        <f t="shared" si="10"/>
        <v>249.42678742365069</v>
      </c>
      <c r="CC35" s="59">
        <f t="shared" si="11"/>
        <v>542.76012075698395</v>
      </c>
      <c r="CD35" s="59">
        <f ca="1">AVERAGE(OFFSET($CC$3,0,0,'Données projet'!$E$12+1,1))-AVERAGE(OFFSET($H$3,0,0,'Données projet'!$E$12+1,1))</f>
        <v>264.70281355687837</v>
      </c>
      <c r="CE35" s="59">
        <f t="shared" si="40"/>
        <v>199.74194600786768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8.1661489511153533</v>
      </c>
      <c r="CL35" s="21">
        <f>EXP(-LN(2)/25)*CL34+(1-EXP(-LN(2)/25))/(LN(2)/25)*Calculateur!CG35*Calculateur!CI35*VLOOKUP('Données projet'!$B$12,Paramètres!$A$1:$I$89,3,0)*0.475*44/12</f>
        <v>4.7322489591582757</v>
      </c>
      <c r="CM35" s="21">
        <f>EXP(-LN(2)/2)*CM34+(1-EXP(-LN(2)/2))/(LN(2)/2)*CG35*CJ35*VLOOKUP('Données projet'!$B$12,Paramètres!$A$1:$I$89,3,0)*0.475*44/12</f>
        <v>1.9439801456744352</v>
      </c>
      <c r="CN35" s="22">
        <f t="shared" si="12"/>
        <v>14.842378055948066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</v>
      </c>
      <c r="CT35" s="12">
        <f>IF('Données projet'!$A$140&gt;35,CT34+CS35-DB34,IF(A35&lt;'Données projet'!$A$140,$CQ$205^A35,IF(A35='Données projet'!$A$140,'Données projet'!$B$140,CT34+CS35-DB34)))</f>
        <v>130</v>
      </c>
      <c r="CU35" s="17">
        <f>CT35*VLOOKUP('Données projet'!$B$13,Paramètres!$A$1:$I$89,3,0)*VLOOKUP('Données projet'!$B$13,Paramètres!$A$1:$I$89,5,0)</f>
        <v>74.36</v>
      </c>
      <c r="CV35" s="13">
        <f t="shared" si="41"/>
        <v>20.75236235638884</v>
      </c>
      <c r="CW35" s="20">
        <f t="shared" si="13"/>
        <v>165.65403110404387</v>
      </c>
      <c r="CX35" s="59">
        <f t="shared" si="14"/>
        <v>458.98736443737721</v>
      </c>
      <c r="CY35" s="59">
        <f ca="1">AVERAGE(OFFSET($CX$3,0,0,'Données projet'!$E$13+1,1))-AVERAGE(OFFSET($H$3,0,0,'Données projet'!$E$13+1,1))</f>
        <v>149.8619613776458</v>
      </c>
      <c r="CZ35" s="59">
        <f t="shared" si="42"/>
        <v>108.55560257938146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5.2839787330746404</v>
      </c>
      <c r="DG35" s="21">
        <f>EXP(-LN(2)/25)*DG34+(1-EXP(-LN(2)/25))/(LN(2)/25)*Calculateur!DB35*Calculateur!DD35*VLOOKUP('Données projet'!$B$13,Paramètres!$A$1:$I$89,3,0)*0.475*44/12</f>
        <v>3.1404754231843239</v>
      </c>
      <c r="DH35" s="21">
        <f>EXP(-LN(2)/2)*DH34+(1-EXP(-LN(2)/2))/(LN(2)/2)*DB35*DE35*VLOOKUP('Données projet'!$B$13,Paramètres!$A$1:$I$89,3,0)*0.475*44/12</f>
        <v>1.2704630877254106</v>
      </c>
      <c r="DI35" s="22">
        <f t="shared" si="15"/>
        <v>9.6949172439843743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1">
        <f t="shared" si="32"/>
        <v>8.4142697673415583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67">
        <f t="shared" si="1"/>
        <v>354.61190651145318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28.4</v>
      </c>
      <c r="N36" s="13">
        <f>IF('Données projet'!$A$36&gt;35,N35+M36-V35,IF(A36&lt;'Données projet'!$A$36,$K$205^A36,IF(A36='Données projet'!$A$36,'Données projet'!$B$36,N35+M36-V35)))</f>
        <v>519.19999999999993</v>
      </c>
      <c r="O36" s="13">
        <f>N36*VLOOKUP('Données projet'!$B$9,Paramètres!$A$1:$I$89,3,0)*VLOOKUP('Données projet'!$B$9,Paramètres!$A$1:$I$89,5,0)</f>
        <v>290.2328</v>
      </c>
      <c r="P36" s="13">
        <f t="shared" si="33"/>
        <v>69.124955529636495</v>
      </c>
      <c r="Q36" s="20">
        <f t="shared" si="53"/>
        <v>625.88142421411692</v>
      </c>
      <c r="R36" s="59">
        <f t="shared" si="0"/>
        <v>919.21475754745029</v>
      </c>
      <c r="S36" s="59">
        <f ca="1">AVERAGE(OFFSET($R$3,0,0,'Données projet'!$E$9+1,1))-AVERAGE(OFFSET($H$3,0,0,'Données projet'!$E$9+1,1))</f>
        <v>467.03705646400994</v>
      </c>
      <c r="T36" s="59">
        <f t="shared" si="34"/>
        <v>575.68119027684361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38.832496643480539</v>
      </c>
      <c r="AA36" s="21">
        <f>EXP(-LN(2)/25)*AA35+(1-EXP(-LN(2)/25))/(LN(2)/25)*Calculateur!V36*Calculateur!X36*VLOOKUP('Données projet'!$B$9,Paramètres!$A$1:$I$89,3,0)*0.475*44/12</f>
        <v>15.860872988691153</v>
      </c>
      <c r="AB36" s="21">
        <f>EXP(-LN(2)/2)*AB35+(1-EXP(-LN(2)/2))/(LN(2)/2)*V36*Y36*VLOOKUP('Données projet'!$B$9,Paramètres!$A$1:$I$89,3,0)*0.475*44/12</f>
        <v>3.0589635806018327</v>
      </c>
      <c r="AC36" s="22">
        <f t="shared" si="3"/>
        <v>57.752333212773529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13.4</v>
      </c>
      <c r="AI36" s="13">
        <f>IF('Données projet'!$A$62&gt;35,AI35+AH36-AQ35,IF(A36&lt;'Données projet'!$A$62,$AF$205^A36,IF(A36='Données projet'!$A$62,'Données projet'!$B$62,AI35+AH36-AQ35)))</f>
        <v>147.19999999999999</v>
      </c>
      <c r="AJ36" s="13">
        <f>AI36*VLOOKUP('Données projet'!$B$10,Paramètres!$A$1:$I$89,3,0)*VLOOKUP('Données projet'!$B$10,Paramètres!$A$1:$I$89,5,0)</f>
        <v>91.852799999999988</v>
      </c>
      <c r="AK36" s="13">
        <f t="shared" si="35"/>
        <v>25.011544404557082</v>
      </c>
      <c r="AL36" s="20">
        <f t="shared" si="4"/>
        <v>203.53873317127022</v>
      </c>
      <c r="AM36" s="59">
        <f t="shared" si="5"/>
        <v>496.87206650460354</v>
      </c>
      <c r="AN36" s="59">
        <f ca="1">AVERAGE(OFFSET($AM$3,0,0,'Données projet'!$E$10+1,1))-AVERAGE(OFFSET($H$3,0,0,'Données projet'!$E$10+1,1))</f>
        <v>252.44760109054914</v>
      </c>
      <c r="AO36" s="59">
        <f t="shared" si="36"/>
        <v>121.75506329394773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6.8798498525587082</v>
      </c>
      <c r="AV36" s="21">
        <f>EXP(-LN(2)/25)*AV35+(1-EXP(-LN(2)/25))/(LN(2)/25)*Calculateur!AQ36*Calculateur!AS36*VLOOKUP('Données projet'!$B$10,Paramètres!$A$1:$I$89,3,0)*0.475*44/12</f>
        <v>4.9540557825583518</v>
      </c>
      <c r="AW36" s="21">
        <f>EXP(-LN(2)/2)*AW35+(1-EXP(-LN(2)/2))/(LN(2)/2)*AQ36*AT36*VLOOKUP('Données projet'!$B$10,Paramètres!$A$1:$I$89,3,0)*0.475*44/12</f>
        <v>0.97336343060220154</v>
      </c>
      <c r="AX36" s="21">
        <f t="shared" si="6"/>
        <v>12.807269065719261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19.399999999999999</v>
      </c>
      <c r="BD36" s="12">
        <f>IF('Données projet'!$A$88&gt;35,BD35+BC36-BL35,IF(A36&lt;'Données projet'!$A$88,$BA$205^A36,IF(A36='Données projet'!$A$88,'Données projet'!$B$88,BD35+BC36-BL35)))</f>
        <v>260.2</v>
      </c>
      <c r="BE36" s="13">
        <f>BD36*VLOOKUP('Données projet'!$B$11,Paramètres!$A$1:$I$89,3,0)*VLOOKUP('Données projet'!$B$11,Paramètres!$A$1:$I$89,5,0)</f>
        <v>155.59960000000001</v>
      </c>
      <c r="BF36" s="13">
        <f t="shared" si="37"/>
        <v>39.848387726833757</v>
      </c>
      <c r="BG36" s="20">
        <f t="shared" si="7"/>
        <v>340.40524529090209</v>
      </c>
      <c r="BH36" s="59">
        <f t="shared" si="8"/>
        <v>633.7385786242354</v>
      </c>
      <c r="BI36" s="59">
        <f ca="1">AVERAGE(OFFSET($BH$3,0,0,'Données projet'!$E$11+1,1))-AVERAGE(OFFSET($H$3,0,0,'Données projet'!$E$11+1,1))</f>
        <v>260.97162394079265</v>
      </c>
      <c r="BJ36" s="59">
        <f t="shared" si="38"/>
        <v>279.1836614199691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20.393218110445172</v>
      </c>
      <c r="BQ36" s="21">
        <f>EXP(-LN(2)/25)*BQ35+(1-EXP(-LN(2)/25))/(LN(2)/25)*Calculateur!BL36*Calculateur!BN36*VLOOKUP('Données projet'!$B$11,Paramètres!$A$1:$I$89,3,0)*0.475*44/12</f>
        <v>6.8297715668807557</v>
      </c>
      <c r="BR36" s="21">
        <f>EXP(-LN(2)/2)*BR35+(1-EXP(-LN(2)/2))/(LN(2)/2)*BL36*BO36*VLOOKUP('Données projet'!$B$11,Paramètres!$A$1:$I$89,3,0)*0.475*44/12</f>
        <v>1.9278795400907509</v>
      </c>
      <c r="BS36" s="22">
        <f t="shared" si="9"/>
        <v>29.150869217416677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</v>
      </c>
      <c r="BZ36" s="13">
        <f>BY36*VLOOKUP('Données projet'!$B$12,Paramètres!$A$1:$I$89,3,0)*VLOOKUP('Données projet'!$B$12,Paramètres!$A$1:$I$89,5,0)</f>
        <v>121.87240000000001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561.52163095029562</v>
      </c>
      <c r="CD36" s="59">
        <f ca="1">AVERAGE(OFFSET($CC$3,0,0,'Données projet'!$E$12+1,1))-AVERAGE(OFFSET($H$3,0,0,'Données projet'!$E$12+1,1))</f>
        <v>264.70281355687837</v>
      </c>
      <c r="CE36" s="59">
        <f t="shared" si="40"/>
        <v>199.74194600786768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8.006015751043023</v>
      </c>
      <c r="CL36" s="21">
        <f>EXP(-LN(2)/25)*CL35+(1-EXP(-LN(2)/25))/(LN(2)/25)*Calculateur!CG36*Calculateur!CI36*VLOOKUP('Données projet'!$B$12,Paramètres!$A$1:$I$89,3,0)*0.475*44/12</f>
        <v>4.6028453625119354</v>
      </c>
      <c r="CM36" s="21">
        <f>EXP(-LN(2)/2)*CM35+(1-EXP(-LN(2)/2))/(LN(2)/2)*CG36*CJ36*VLOOKUP('Données projet'!$B$12,Paramètres!$A$1:$I$89,3,0)*0.475*44/12</f>
        <v>1.3746015434984058</v>
      </c>
      <c r="CN36" s="22">
        <f t="shared" si="12"/>
        <v>13.983462657053364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</v>
      </c>
      <c r="CT36" s="12">
        <f>IF('Données projet'!$A$140&gt;35,CT35+CS36-DB35,IF(A36&lt;'Données projet'!$A$140,$CQ$205^A36,IF(A36='Données projet'!$A$140,'Données projet'!$B$140,CT35+CS36-DB35)))</f>
        <v>142</v>
      </c>
      <c r="CU36" s="17">
        <f>CT36*VLOOKUP('Données projet'!$B$13,Paramètres!$A$1:$I$89,3,0)*VLOOKUP('Données projet'!$B$13,Paramètres!$A$1:$I$89,5,0)</f>
        <v>81.224000000000004</v>
      </c>
      <c r="CV36" s="13">
        <f t="shared" si="41"/>
        <v>22.436193505163597</v>
      </c>
      <c r="CW36" s="20">
        <f t="shared" si="13"/>
        <v>180.54150368815991</v>
      </c>
      <c r="CX36" s="59">
        <f t="shared" si="14"/>
        <v>473.87483702149325</v>
      </c>
      <c r="CY36" s="59">
        <f ca="1">AVERAGE(OFFSET($CX$3,0,0,'Données projet'!$E$13+1,1))-AVERAGE(OFFSET($H$3,0,0,'Données projet'!$E$13+1,1))</f>
        <v>149.8619613776458</v>
      </c>
      <c r="CZ36" s="59">
        <f t="shared" si="42"/>
        <v>108.55560257938146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5.1803631330278384</v>
      </c>
      <c r="DG36" s="21">
        <f>EXP(-LN(2)/25)*DG35+(1-EXP(-LN(2)/25))/(LN(2)/25)*Calculateur!DB36*Calculateur!DD36*VLOOKUP('Données projet'!$B$13,Paramètres!$A$1:$I$89,3,0)*0.475*44/12</f>
        <v>3.0545989575869239</v>
      </c>
      <c r="DH36" s="21">
        <f>EXP(-LN(2)/2)*DH35+(1-EXP(-LN(2)/2))/(LN(2)/2)*DB36*DE36*VLOOKUP('Données projet'!$B$13,Paramètres!$A$1:$I$89,3,0)*0.475*44/12</f>
        <v>0.89835306457783748</v>
      </c>
      <c r="DI36" s="22">
        <f t="shared" si="15"/>
        <v>9.133315155192598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1">
        <f t="shared" si="32"/>
        <v>8.6391752805240429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67">
        <f t="shared" si="1"/>
        <v>356.41645694691266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28.4</v>
      </c>
      <c r="N37" s="13">
        <f>IF('Données projet'!$A$36&gt;35,N36+M37-V36,IF(A37&lt;'Données projet'!$A$36,$K$205^A37,IF(A37='Données projet'!$A$36,'Données projet'!$B$36,N36+M37-V36)))</f>
        <v>547.59999999999991</v>
      </c>
      <c r="O37" s="13">
        <f>N37*VLOOKUP('Données projet'!$B$9,Paramètres!$A$1:$I$89,3,0)*VLOOKUP('Données projet'!$B$9,Paramètres!$A$1:$I$89,5,0)</f>
        <v>306.10839999999996</v>
      </c>
      <c r="P37" s="13">
        <f t="shared" si="33"/>
        <v>72.455512621968097</v>
      </c>
      <c r="Q37" s="20">
        <f t="shared" si="53"/>
        <v>659.33214781659433</v>
      </c>
      <c r="R37" s="59">
        <f t="shared" si="0"/>
        <v>952.6654811499277</v>
      </c>
      <c r="S37" s="59">
        <f ca="1">AVERAGE(OFFSET($R$3,0,0,'Données projet'!$E$9+1,1))-AVERAGE(OFFSET($H$3,0,0,'Données projet'!$E$9+1,1))</f>
        <v>467.03705646400994</v>
      </c>
      <c r="T37" s="59">
        <f t="shared" si="34"/>
        <v>575.68119027684361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38.071015069786093</v>
      </c>
      <c r="AA37" s="21">
        <f>EXP(-LN(2)/25)*AA36+(1-EXP(-LN(2)/25))/(LN(2)/25)*Calculateur!V37*Calculateur!X37*VLOOKUP('Données projet'!$B$9,Paramètres!$A$1:$I$89,3,0)*0.475*44/12</f>
        <v>15.427156582728333</v>
      </c>
      <c r="AB37" s="21">
        <f>EXP(-LN(2)/2)*AB36+(1-EXP(-LN(2)/2))/(LN(2)/2)*V37*Y37*VLOOKUP('Données projet'!$B$9,Paramètres!$A$1:$I$89,3,0)*0.475*44/12</f>
        <v>2.163013891246238</v>
      </c>
      <c r="AC37" s="22">
        <f t="shared" si="3"/>
        <v>55.661185543760666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13.4</v>
      </c>
      <c r="AI37" s="13">
        <f>IF('Données projet'!$A$62&gt;35,AI36+AH37-AQ36,IF(A37&lt;'Données projet'!$A$62,$AF$205^A37,IF(A37='Données projet'!$A$62,'Données projet'!$B$62,AI36+AH37-AQ36)))</f>
        <v>160.6</v>
      </c>
      <c r="AJ37" s="13">
        <f>AI37*VLOOKUP('Données projet'!$B$10,Paramètres!$A$1:$I$89,3,0)*VLOOKUP('Données projet'!$B$10,Paramètres!$A$1:$I$89,5,0)</f>
        <v>100.2144</v>
      </c>
      <c r="AK37" s="13">
        <f t="shared" si="35"/>
        <v>27.013069023392511</v>
      </c>
      <c r="AL37" s="20">
        <f t="shared" si="4"/>
        <v>221.58784188240861</v>
      </c>
      <c r="AM37" s="59">
        <f t="shared" si="5"/>
        <v>514.92117521574187</v>
      </c>
      <c r="AN37" s="59">
        <f ca="1">AVERAGE(OFFSET($AM$3,0,0,'Données projet'!$E$10+1,1))-AVERAGE(OFFSET($H$3,0,0,'Données projet'!$E$10+1,1))</f>
        <v>252.44760109054914</v>
      </c>
      <c r="AO37" s="59">
        <f t="shared" si="36"/>
        <v>121.75506329394773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6.7449401932440924</v>
      </c>
      <c r="AV37" s="21">
        <f>EXP(-LN(2)/25)*AV36+(1-EXP(-LN(2)/25))/(LN(2)/25)*Calculateur!AQ37*Calculateur!AS37*VLOOKUP('Données projet'!$B$10,Paramètres!$A$1:$I$89,3,0)*0.475*44/12</f>
        <v>4.818586866661823</v>
      </c>
      <c r="AW37" s="21">
        <f>EXP(-LN(2)/2)*AW36+(1-EXP(-LN(2)/2))/(LN(2)/2)*AQ37*AT37*VLOOKUP('Données projet'!$B$10,Paramètres!$A$1:$I$89,3,0)*0.475*44/12</f>
        <v>0.68827188233781822</v>
      </c>
      <c r="AX37" s="21">
        <f t="shared" si="6"/>
        <v>12.251798942243735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19.399999999999999</v>
      </c>
      <c r="BD37" s="12">
        <f>IF('Données projet'!$A$88&gt;35,BD36+BC37-BL36,IF(A37&lt;'Données projet'!$A$88,$BA$205^A37,IF(A37='Données projet'!$A$88,'Données projet'!$B$88,BD36+BC37-BL36)))</f>
        <v>279.59999999999997</v>
      </c>
      <c r="BE37" s="13">
        <f>BD37*VLOOKUP('Données projet'!$B$11,Paramètres!$A$1:$I$89,3,0)*VLOOKUP('Données projet'!$B$11,Paramètres!$A$1:$I$89,5,0)</f>
        <v>167.20079999999999</v>
      </c>
      <c r="BF37" s="13">
        <f t="shared" si="37"/>
        <v>42.46249139494342</v>
      </c>
      <c r="BG37" s="20">
        <f t="shared" si="7"/>
        <v>365.16356584619308</v>
      </c>
      <c r="BH37" s="59">
        <f t="shared" si="8"/>
        <v>658.49689917952639</v>
      </c>
      <c r="BI37" s="59">
        <f ca="1">AVERAGE(OFFSET($BH$3,0,0,'Données projet'!$E$11+1,1))-AVERAGE(OFFSET($H$3,0,0,'Données projet'!$E$11+1,1))</f>
        <v>260.97162394079265</v>
      </c>
      <c r="BJ37" s="59">
        <f t="shared" si="38"/>
        <v>279.1836614199691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19.993319541934177</v>
      </c>
      <c r="BQ37" s="21">
        <f>EXP(-LN(2)/25)*BQ36+(1-EXP(-LN(2)/25))/(LN(2)/25)*Calculateur!BL37*Calculateur!BN37*VLOOKUP('Données projet'!$B$11,Paramètres!$A$1:$I$89,3,0)*0.475*44/12</f>
        <v>6.6430111042223245</v>
      </c>
      <c r="BR37" s="21">
        <f>EXP(-LN(2)/2)*BR36+(1-EXP(-LN(2)/2))/(LN(2)/2)*BL37*BO37*VLOOKUP('Données projet'!$B$11,Paramètres!$A$1:$I$89,3,0)*0.475*44/12</f>
        <v>1.3632166961089727</v>
      </c>
      <c r="BS37" s="22">
        <f t="shared" si="9"/>
        <v>27.999547342265473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</v>
      </c>
      <c r="BZ37" s="13">
        <f>BY37*VLOOKUP('Données projet'!$B$12,Paramètres!$A$1:$I$89,3,0)*VLOOKUP('Données projet'!$B$12,Paramètres!$A$1:$I$89,5,0)</f>
        <v>130.60320000000002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580.25359037922033</v>
      </c>
      <c r="CD37" s="59">
        <f ca="1">AVERAGE(OFFSET($CC$3,0,0,'Données projet'!$E$12+1,1))-AVERAGE(OFFSET($H$3,0,0,'Données projet'!$E$12+1,1))</f>
        <v>264.70281355687837</v>
      </c>
      <c r="CE37" s="59">
        <f t="shared" si="40"/>
        <v>199.74194600786768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7.8490226653525026</v>
      </c>
      <c r="CL37" s="21">
        <f>EXP(-LN(2)/25)*CL36+(1-EXP(-LN(2)/25))/(LN(2)/25)*Calculateur!CG37*Calculateur!CI37*VLOOKUP('Données projet'!$B$12,Paramètres!$A$1:$I$89,3,0)*0.475*44/12</f>
        <v>4.4769803140209286</v>
      </c>
      <c r="CM37" s="21">
        <f>EXP(-LN(2)/2)*CM36+(1-EXP(-LN(2)/2))/(LN(2)/2)*CG37*CJ37*VLOOKUP('Données projet'!$B$12,Paramètres!$A$1:$I$89,3,0)*0.475*44/12</f>
        <v>0.97199007283721783</v>
      </c>
      <c r="CN37" s="22">
        <f t="shared" si="12"/>
        <v>13.297993052210648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</v>
      </c>
      <c r="CT37" s="12">
        <f>IF('Données projet'!$A$140&gt;35,CT36+CS37-DB36,IF(A37&lt;'Données projet'!$A$140,$CQ$205^A37,IF(A37='Données projet'!$A$140,'Données projet'!$B$140,CT36+CS37-DB36)))</f>
        <v>154</v>
      </c>
      <c r="CU37" s="17">
        <f>CT37*VLOOKUP('Données projet'!$B$13,Paramètres!$A$1:$I$89,3,0)*VLOOKUP('Données projet'!$B$13,Paramètres!$A$1:$I$89,5,0)</f>
        <v>88.088000000000008</v>
      </c>
      <c r="CV37" s="13">
        <f t="shared" si="41"/>
        <v>24.103521924540935</v>
      </c>
      <c r="CW37" s="20">
        <f t="shared" si="13"/>
        <v>195.40023401857547</v>
      </c>
      <c r="CX37" s="59">
        <f t="shared" si="14"/>
        <v>488.73356735190879</v>
      </c>
      <c r="CY37" s="59">
        <f ca="1">AVERAGE(OFFSET($CX$3,0,0,'Données projet'!$E$13+1,1))-AVERAGE(OFFSET($H$3,0,0,'Données projet'!$E$13+1,1))</f>
        <v>149.8619613776458</v>
      </c>
      <c r="CZ37" s="59">
        <f t="shared" si="42"/>
        <v>108.55560257938146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5.078779371698678</v>
      </c>
      <c r="DG37" s="21">
        <f>EXP(-LN(2)/25)*DG36+(1-EXP(-LN(2)/25))/(LN(2)/25)*Calculateur!DB37*Calculateur!DD37*VLOOKUP('Données projet'!$B$13,Paramètres!$A$1:$I$89,3,0)*0.475*44/12</f>
        <v>2.9710707884573315</v>
      </c>
      <c r="DH37" s="21">
        <f>EXP(-LN(2)/2)*DH36+(1-EXP(-LN(2)/2))/(LN(2)/2)*DB37*DE37*VLOOKUP('Données projet'!$B$13,Paramètres!$A$1:$I$89,3,0)*0.475*44/12</f>
        <v>0.63523154386270542</v>
      </c>
      <c r="DI37" s="22">
        <f t="shared" si="15"/>
        <v>8.6850817040187138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1">
        <f t="shared" si="32"/>
        <v>8.8633120224605495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67">
        <f t="shared" si="1"/>
        <v>358.21966843911872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576</v>
      </c>
      <c r="L38" s="12">
        <f>VLOOKUP(A38,'Données projet'!$A$35:$I$55,9,0)</f>
        <v>28.4</v>
      </c>
      <c r="M38" s="12">
        <f t="array" ref="M38">INDEX(L:L,MIN(IF(ISNUMBER(L38:L234),ROW(L38:L234),"")))</f>
        <v>28.4</v>
      </c>
      <c r="N38" s="13">
        <f>IF('Données projet'!$A$36&gt;35,N37+M38-V37,IF(A38&lt;'Données projet'!$A$36,$K$205^A38,IF(A38='Données projet'!$A$36,'Données projet'!$B$36,N37+M38-V37)))</f>
        <v>575.99999999999989</v>
      </c>
      <c r="O38" s="13">
        <f>N38*VLOOKUP('Données projet'!$B$9,Paramètres!$A$1:$I$89,3,0)*VLOOKUP('Données projet'!$B$9,Paramètres!$A$1:$I$89,5,0)</f>
        <v>321.98399999999992</v>
      </c>
      <c r="P38" s="13">
        <f t="shared" si="33"/>
        <v>75.76601483154208</v>
      </c>
      <c r="Q38" s="20">
        <f t="shared" si="53"/>
        <v>692.74794249826891</v>
      </c>
      <c r="R38" s="59">
        <f t="shared" si="0"/>
        <v>986.08127583160217</v>
      </c>
      <c r="S38" s="59">
        <f ca="1">AVERAGE(OFFSET($R$3,0,0,'Données projet'!$E$9+1,1))-AVERAGE(OFFSET($H$3,0,0,'Données projet'!$E$9+1,1))</f>
        <v>467.03705646400994</v>
      </c>
      <c r="T38" s="59">
        <f t="shared" si="34"/>
        <v>575.68119027684361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0.38500000000000001</v>
      </c>
      <c r="X38" s="16">
        <f>IF(ISNA(VLOOKUP(A38,'Données projet'!$A$35:$I$55,6,0)),0%,VLOOKUP(A38,'Données projet'!$A$35:$I$55,6,0)*VLOOKUP('Données projet'!$B$9,Paramètres!$A$1:$I$89,7,0))</f>
        <v>9.3500000000000014E-2</v>
      </c>
      <c r="Y38" s="16">
        <f>IF(ISNA(VLOOKUP(A38,'Données projet'!$A$35:$I$55,7,0)),0%,VLOOKUP(A38,'Données projet'!$A$35:$I$55,7,0))</f>
        <v>0.13</v>
      </c>
      <c r="Z38" s="21">
        <f>EXP(-LN(2)/35)*Z37+(1-EXP(-LN(2)/35))/(LN(2)/35)*V38*W38*VLOOKUP('Données projet'!$B$9,Paramètres!$A$1:$I$89,3,0)*0.475*44/12</f>
        <v>57.880218673268182</v>
      </c>
      <c r="AA38" s="21">
        <f>EXP(-LN(2)/25)*AA37+(1-EXP(-LN(2)/25))/(LN(2)/25)*Calculateur!V38*Calculateur!X38*VLOOKUP('Données projet'!$B$9,Paramètres!$A$1:$I$89,3,0)*0.475*44/12</f>
        <v>19.977755769748718</v>
      </c>
      <c r="AB38" s="21">
        <f>EXP(-LN(2)/2)*AB37+(1-EXP(-LN(2)/2))/(LN(2)/2)*V38*Y38*VLOOKUP('Données projet'!$B$9,Paramètres!$A$1:$I$89,3,0)*0.475*44/12</f>
        <v>7.4535929067107922</v>
      </c>
      <c r="AC38" s="22">
        <f t="shared" si="3"/>
        <v>85.311567349727696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174</v>
      </c>
      <c r="AG38" s="12">
        <f>VLOOKUP(A38,'Données projet'!$A$61:$I$81,9,0)</f>
        <v>13.4</v>
      </c>
      <c r="AH38" s="12">
        <f t="array" ref="AH38">INDEX(AG:AG,MIN(IF(ISNUMBER(AG38:AG234),ROW(AG38:AG234),"")))</f>
        <v>13.4</v>
      </c>
      <c r="AI38" s="13">
        <f>IF('Données projet'!$A$62&gt;35,AI37+AH38-AQ37,IF(A38&lt;'Données projet'!$A$62,$AF$205^A38,IF(A38='Données projet'!$A$62,'Données projet'!$B$62,AI37+AH38-AQ37)))</f>
        <v>174</v>
      </c>
      <c r="AJ38" s="13">
        <f>AI38*VLOOKUP('Données projet'!$B$10,Paramètres!$A$1:$I$89,3,0)*VLOOKUP('Données projet'!$B$10,Paramètres!$A$1:$I$89,5,0)</f>
        <v>108.57599999999999</v>
      </c>
      <c r="AK38" s="13">
        <f t="shared" si="35"/>
        <v>28.995225061228002</v>
      </c>
      <c r="AL38" s="20">
        <f t="shared" si="4"/>
        <v>239.60321698163875</v>
      </c>
      <c r="AM38" s="59">
        <f t="shared" si="5"/>
        <v>532.93655031497201</v>
      </c>
      <c r="AN38" s="59">
        <f ca="1">AVERAGE(OFFSET($AM$3,0,0,'Données projet'!$E$10+1,1))-AVERAGE(OFFSET($H$3,0,0,'Données projet'!$E$10+1,1))</f>
        <v>252.44760109054914</v>
      </c>
      <c r="AO38" s="59">
        <f t="shared" si="36"/>
        <v>121.75506329394773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0.42</v>
      </c>
      <c r="AS38" s="16">
        <f>IF(ISNA(VLOOKUP(A38,'Données projet'!$A$61:$I$81,6,0)),0%,VLOOKUP(A38,'Données projet'!$A$61:$I$81,6,0)*VLOOKUP('Données projet'!$B$10,Paramètres!$A$1:$I$89,7,0))</f>
        <v>0.10200000000000001</v>
      </c>
      <c r="AT38" s="16">
        <f>IF(ISNA(VLOOKUP(A38,'Données projet'!$A$61:$I$81,7,0)),0%,VLOOKUP(A38,'Données projet'!$A$61:$I$81,7,0))</f>
        <v>0.13</v>
      </c>
      <c r="AU38" s="21">
        <f>EXP(-LN(2)/35)*AU37+(1-EXP(-LN(2)/35))/(LN(2)/35)*AQ38*AR38*VLOOKUP('Données projet'!$B$10,Paramètres!$A$1:$I$89,3,0)*0.475*44/12</f>
        <v>13.913662292175356</v>
      </c>
      <c r="AV38" s="21">
        <f>EXP(-LN(2)/25)*AV37+(1-EXP(-LN(2)/25))/(LN(2)/25)*Calculateur!AQ38*Calculateur!AS38*VLOOKUP('Données projet'!$B$10,Paramètres!$A$1:$I$89,3,0)*0.475*44/12</f>
        <v>6.4529376618830083</v>
      </c>
      <c r="AW38" s="21">
        <f>EXP(-LN(2)/2)*AW37+(1-EXP(-LN(2)/2))/(LN(2)/2)*AQ38*AT38*VLOOKUP('Données projet'!$B$10,Paramètres!$A$1:$I$89,3,0)*0.475*44/12</f>
        <v>2.4154620787833858</v>
      </c>
      <c r="AX38" s="21">
        <f t="shared" si="6"/>
        <v>22.78206203284175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299</v>
      </c>
      <c r="BB38" s="12">
        <f>VLOOKUP(A38,'Données projet'!$A$87:$I$107,9,0)</f>
        <v>19.399999999999999</v>
      </c>
      <c r="BC38" s="12">
        <f t="array" ref="BC38">INDEX(BB:BB,MIN(IF(ISNUMBER(BB38:BB234),ROW(BB38:BB234),"")))</f>
        <v>19.399999999999999</v>
      </c>
      <c r="BD38" s="12">
        <f>IF('Données projet'!$A$88&gt;35,BD37+BC38-BL37,IF(A38&lt;'Données projet'!$A$88,$BA$205^A38,IF(A38='Données projet'!$A$88,'Données projet'!$B$88,BD37+BC38-BL37)))</f>
        <v>298.99999999999994</v>
      </c>
      <c r="BE38" s="13">
        <f>BD38*VLOOKUP('Données projet'!$B$11,Paramètres!$A$1:$I$89,3,0)*VLOOKUP('Données projet'!$B$11,Paramètres!$A$1:$I$89,5,0)</f>
        <v>178.80199999999999</v>
      </c>
      <c r="BF38" s="13">
        <f t="shared" si="37"/>
        <v>45.055549739375941</v>
      </c>
      <c r="BG38" s="20">
        <f t="shared" si="7"/>
        <v>389.88523246274644</v>
      </c>
      <c r="BH38" s="59">
        <f t="shared" si="8"/>
        <v>683.2185657960797</v>
      </c>
      <c r="BI38" s="59">
        <f ca="1">AVERAGE(OFFSET($BH$3,0,0,'Données projet'!$E$11+1,1))-AVERAGE(OFFSET($H$3,0,0,'Données projet'!$E$11+1,1))</f>
        <v>260.97162394079265</v>
      </c>
      <c r="BJ38" s="59">
        <f t="shared" si="38"/>
        <v>279.1836614199691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55</v>
      </c>
      <c r="BM38" s="16">
        <f>IF(ISNA(VLOOKUP(A38,'Données projet'!$A$87:$I$107,5,0)),0%,VLOOKUP(A38,'Données projet'!$A$87:$I$107,5,0)*VLOOKUP('Données projet'!$B$11,Paramètres!$A$1:$I$89,7,0))</f>
        <v>0.315</v>
      </c>
      <c r="BN38" s="16">
        <f>IF(ISNA(VLOOKUP(A38,'Données projet'!$A$87:$I$107,6,0)),0%,VLOOKUP(A38,'Données projet'!$A$87:$I$107,6,0)*VLOOKUP('Données projet'!$B$11,Paramètres!$A$1:$I$89,7,0))</f>
        <v>7.6500000000000012E-2</v>
      </c>
      <c r="BO38" s="16">
        <f>IF(ISNA(VLOOKUP(A38,'Données projet'!$A$87:$I$107,7,0)),0%,VLOOKUP(A38,'Données projet'!$A$87:$I$107,7,0))</f>
        <v>0.13</v>
      </c>
      <c r="BP38" s="21">
        <f>EXP(-LN(2)/35)*BP37+(1-EXP(-LN(2)/35))/(LN(2)/35)*BL38*BM38*VLOOKUP('Données projet'!$B$11,Paramètres!$A$1:$I$89,3,0)*0.475*44/12</f>
        <v>33.344934796350685</v>
      </c>
      <c r="BQ38" s="21">
        <f>EXP(-LN(2)/25)*BQ37+(1-EXP(-LN(2)/25))/(LN(2)/25)*Calculateur!BL38*Calculateur!BN38*VLOOKUP('Données projet'!$B$11,Paramètres!$A$1:$I$89,3,0)*0.475*44/12</f>
        <v>9.785964554790139</v>
      </c>
      <c r="BR38" s="21">
        <f>EXP(-LN(2)/2)*BR37+(1-EXP(-LN(2)/2))/(LN(2)/2)*BL38*BO38*VLOOKUP('Données projet'!$B$11,Paramètres!$A$1:$I$89,3,0)*0.475*44/12</f>
        <v>5.8050254045792862</v>
      </c>
      <c r="BS38" s="22">
        <f t="shared" si="9"/>
        <v>48.935924755720109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</v>
      </c>
      <c r="BZ38" s="13">
        <f>BY38*VLOOKUP('Données projet'!$B$12,Paramètres!$A$1:$I$89,3,0)*VLOOKUP('Données projet'!$B$12,Paramètres!$A$1:$I$89,5,0)</f>
        <v>139.334</v>
      </c>
      <c r="CA38" s="13">
        <f t="shared" si="39"/>
        <v>36.144391930570897</v>
      </c>
      <c r="CB38" s="20">
        <f t="shared" si="10"/>
        <v>305.62486594574432</v>
      </c>
      <c r="CC38" s="59">
        <f t="shared" si="11"/>
        <v>598.95819927907769</v>
      </c>
      <c r="CD38" s="59">
        <f ca="1">AVERAGE(OFFSET($CC$3,0,0,'Données projet'!$E$12+1,1))-AVERAGE(OFFSET($H$3,0,0,'Données projet'!$E$12+1,1))</f>
        <v>264.70281355687837</v>
      </c>
      <c r="CE38" s="59">
        <f t="shared" si="40"/>
        <v>199.74194600786768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0.315</v>
      </c>
      <c r="CI38" s="16">
        <f>IF(ISNA(VLOOKUP(A38,'Données projet'!$A$113:$I$133,6,0)),0%,VLOOKUP(A38,'Données projet'!$A$113:$I$133,6,0)*VLOOKUP('Données projet'!$B$12,Paramètres!$A$1:$I$89,7,0))</f>
        <v>7.6500000000000012E-2</v>
      </c>
      <c r="CJ38" s="16">
        <f>IF(ISNA(VLOOKUP(A38,'Données projet'!$A$113:$I$133,7,0)),0%,VLOOKUP(A38,'Données projet'!$A$113:$I$133,7,0))</f>
        <v>0.13</v>
      </c>
      <c r="CK38" s="21">
        <f>EXP(-LN(2)/35)*CK37+(1-EXP(-LN(2)/35))/(LN(2)/35)*CG38*CH38*VLOOKUP('Données projet'!$B$12,Paramètres!$A$1:$I$89,3,0)*0.475*44/12</f>
        <v>17.940390923633039</v>
      </c>
      <c r="CL38" s="21">
        <f>EXP(-LN(2)/25)*CL37+(1-EXP(-LN(2)/25))/(LN(2)/25)*Calculateur!CG38*Calculateur!CI38*VLOOKUP('Données projet'!$B$12,Paramètres!$A$1:$I$89,3,0)*0.475*44/12</f>
        <v>6.8329004060943248</v>
      </c>
      <c r="CM38" s="21">
        <f>EXP(-LN(2)/2)*CM37+(1-EXP(-LN(2)/2))/(LN(2)/2)*CG38*CJ38*VLOOKUP('Données projet'!$B$12,Paramètres!$A$1:$I$89,3,0)*0.475*44/12</f>
        <v>4.2961100629472089</v>
      </c>
      <c r="CN38" s="22">
        <f t="shared" si="12"/>
        <v>29.069401392674571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166</v>
      </c>
      <c r="CR38" s="12">
        <f>VLOOKUP(A38,'Données projet'!$A$139:$I$159,9,0)</f>
        <v>12</v>
      </c>
      <c r="CS38" s="12">
        <f t="array" ref="CS38">INDEX(CR:CR,MIN(IF(ISNUMBER(CR38:CR234),ROW(CR38:CR234),"")))</f>
        <v>12</v>
      </c>
      <c r="CT38" s="12">
        <f>IF('Données projet'!$A$140&gt;35,CT37+CS38-DB37,IF(A38&lt;'Données projet'!$A$140,$CQ$205^A38,IF(A38='Données projet'!$A$140,'Données projet'!$B$140,CT37+CS38-DB37)))</f>
        <v>166</v>
      </c>
      <c r="CU38" s="17">
        <f>CT38*VLOOKUP('Données projet'!$B$13,Paramètres!$A$1:$I$89,3,0)*VLOOKUP('Données projet'!$B$13,Paramètres!$A$1:$I$89,5,0)</f>
        <v>94.952000000000012</v>
      </c>
      <c r="CV38" s="13">
        <f t="shared" si="41"/>
        <v>25.755779745686933</v>
      </c>
      <c r="CW38" s="20">
        <f t="shared" si="13"/>
        <v>210.23271639040476</v>
      </c>
      <c r="CX38" s="59">
        <f t="shared" si="14"/>
        <v>503.56604972373805</v>
      </c>
      <c r="CY38" s="59">
        <f ca="1">AVERAGE(OFFSET($CX$3,0,0,'Données projet'!$E$13+1,1))-AVERAGE(OFFSET($H$3,0,0,'Données projet'!$E$13+1,1))</f>
        <v>149.8619613776458</v>
      </c>
      <c r="CZ38" s="59">
        <f t="shared" si="42"/>
        <v>108.55560257938146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0.315</v>
      </c>
      <c r="DD38" s="16">
        <f>IF(ISNA(VLOOKUP(A38,'Données projet'!$A$139:$I$159,6,0)),0%,VLOOKUP(A38,'Données projet'!$A$139:$I$159,6,0)*VLOOKUP('Données projet'!$B$13,Paramètres!$A$1:$I$89,7,0))</f>
        <v>7.6500000000000012E-2</v>
      </c>
      <c r="DE38" s="16">
        <f>IF(ISNA(VLOOKUP(A38,'Données projet'!$A$139:$I$159,7,0)),0%,VLOOKUP(A38,'Données projet'!$A$139:$I$159,7,0))</f>
        <v>0.13</v>
      </c>
      <c r="DF38" s="21">
        <f>EXP(-LN(2)/35)*DF37+(1-EXP(-LN(2)/35))/(LN(2)/35)*DB38*DC38*VLOOKUP('Données projet'!$B$13,Paramètres!$A$1:$I$89,3,0)*0.475*44/12</f>
        <v>11.671758346239903</v>
      </c>
      <c r="DG38" s="21">
        <f>EXP(-LN(2)/25)*DG37+(1-EXP(-LN(2)/25))/(LN(2)/25)*Calculateur!DB38*Calculateur!DD38*VLOOKUP('Données projet'!$B$13,Paramètres!$A$1:$I$89,3,0)*0.475*44/12</f>
        <v>4.5087657324529573</v>
      </c>
      <c r="DH38" s="21">
        <f>EXP(-LN(2)/2)*DH37+(1-EXP(-LN(2)/2))/(LN(2)/2)*DB38*DE38*VLOOKUP('Données projet'!$B$13,Paramètres!$A$1:$I$89,3,0)*0.475*44/12</f>
        <v>2.8065747543228232</v>
      </c>
      <c r="DI38" s="22">
        <f t="shared" si="15"/>
        <v>18.987098833015686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1">
        <f t="shared" si="32"/>
        <v>9.0867044807780779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67">
        <f t="shared" si="1"/>
        <v>360.02158363735509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530.99999999999989</v>
      </c>
      <c r="O39" s="13">
        <f>N39*VLOOKUP('Données projet'!$B$9,Paramètres!$A$1:$I$89,3,0)*VLOOKUP('Données projet'!$B$9,Paramètres!$A$1:$I$89,5,0)</f>
        <v>296.82899999999995</v>
      </c>
      <c r="P39" s="13">
        <f t="shared" si="33"/>
        <v>70.511289513454344</v>
      </c>
      <c r="Q39" s="20">
        <f t="shared" si="53"/>
        <v>639.78433756926631</v>
      </c>
      <c r="R39" s="59">
        <f t="shared" si="0"/>
        <v>933.11767090259968</v>
      </c>
      <c r="S39" s="59">
        <f ca="1">AVERAGE(OFFSET($R$3,0,0,'Données projet'!$E$9+1,1))-AVERAGE(OFFSET($H$3,0,0,'Données projet'!$E$9+1,1))</f>
        <v>467.03705646400994</v>
      </c>
      <c r="T39" s="59">
        <f t="shared" si="34"/>
        <v>575.68119027684361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56.745222888532858</v>
      </c>
      <c r="AA39" s="21">
        <f>EXP(-LN(2)/25)*AA38+(1-EXP(-LN(2)/25))/(LN(2)/25)*Calculateur!V39*Calculateur!X39*VLOOKUP('Données projet'!$B$9,Paramètres!$A$1:$I$89,3,0)*0.475*44/12</f>
        <v>19.431462987640423</v>
      </c>
      <c r="AB39" s="21">
        <f>EXP(-LN(2)/2)*AB38+(1-EXP(-LN(2)/2))/(LN(2)/2)*V39*Y39*VLOOKUP('Données projet'!$B$9,Paramètres!$A$1:$I$89,3,0)*0.475*44/12</f>
        <v>5.2704860885391511</v>
      </c>
      <c r="AC39" s="22">
        <f t="shared" si="3"/>
        <v>81.447171964712425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</v>
      </c>
      <c r="AI39" s="13">
        <f>IF('Données projet'!$A$62&gt;35,AI38+AH39-AQ38,IF(A39&lt;'Données projet'!$A$62,$AF$205^A39,IF(A39='Données projet'!$A$62,'Données projet'!$B$62,AI38+AH39-AQ38)))</f>
        <v>166</v>
      </c>
      <c r="AJ39" s="13">
        <f>AI39*VLOOKUP('Données projet'!$B$10,Paramètres!$A$1:$I$89,3,0)*VLOOKUP('Données projet'!$B$10,Paramètres!$A$1:$I$89,5,0)</f>
        <v>103.58399999999999</v>
      </c>
      <c r="AK39" s="13">
        <f t="shared" si="35"/>
        <v>27.814078427747937</v>
      </c>
      <c r="AL39" s="20">
        <f t="shared" si="4"/>
        <v>228.85165326166091</v>
      </c>
      <c r="AM39" s="59">
        <f t="shared" si="5"/>
        <v>522.18498659499426</v>
      </c>
      <c r="AN39" s="59">
        <f ca="1">AVERAGE(OFFSET($AM$3,0,0,'Données projet'!$E$10+1,1))-AVERAGE(OFFSET($H$3,0,0,'Données projet'!$E$10+1,1))</f>
        <v>252.44760109054914</v>
      </c>
      <c r="AO39" s="59">
        <f t="shared" si="36"/>
        <v>121.75506329394773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13.640823861121824</v>
      </c>
      <c r="AV39" s="21">
        <f>EXP(-LN(2)/25)*AV38+(1-EXP(-LN(2)/25))/(LN(2)/25)*Calculateur!AQ39*Calculateur!AS39*VLOOKUP('Données projet'!$B$10,Paramètres!$A$1:$I$89,3,0)*0.475*44/12</f>
        <v>6.2764817421735746</v>
      </c>
      <c r="AW39" s="21">
        <f>EXP(-LN(2)/2)*AW38+(1-EXP(-LN(2)/2))/(LN(2)/2)*AQ39*AT39*VLOOKUP('Données projet'!$B$10,Paramètres!$A$1:$I$89,3,0)*0.475*44/12</f>
        <v>1.7079896156066869</v>
      </c>
      <c r="AX39" s="21">
        <f t="shared" si="6"/>
        <v>21.625295218902082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17.600000000000001</v>
      </c>
      <c r="BD39" s="12">
        <f>IF('Données projet'!$A$88&gt;35,BD38+BC39-BL38,IF(A39&lt;'Données projet'!$A$88,$BA$205^A39,IF(A39='Données projet'!$A$88,'Données projet'!$B$88,BD38+BC39-BL38)))</f>
        <v>261.59999999999997</v>
      </c>
      <c r="BE39" s="13">
        <f>BD39*VLOOKUP('Données projet'!$B$11,Paramètres!$A$1:$I$89,3,0)*VLOOKUP('Données projet'!$B$11,Paramètres!$A$1:$I$89,5,0)</f>
        <v>156.43679999999998</v>
      </c>
      <c r="BF39" s="13">
        <f t="shared" si="37"/>
        <v>40.037775291207829</v>
      </c>
      <c r="BG39" s="20">
        <f t="shared" si="7"/>
        <v>342.19321863218693</v>
      </c>
      <c r="BH39" s="59">
        <f t="shared" si="8"/>
        <v>635.52655196552018</v>
      </c>
      <c r="BI39" s="59">
        <f ca="1">AVERAGE(OFFSET($BH$3,0,0,'Données projet'!$E$11+1,1))-AVERAGE(OFFSET($H$3,0,0,'Données projet'!$E$11+1,1))</f>
        <v>260.97162394079265</v>
      </c>
      <c r="BJ39" s="59">
        <f t="shared" si="38"/>
        <v>279.1836614199691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32.691060963396225</v>
      </c>
      <c r="BQ39" s="21">
        <f>EXP(-LN(2)/25)*BQ38+(1-EXP(-LN(2)/25))/(LN(2)/25)*Calculateur!BL39*Calculateur!BN39*VLOOKUP('Données projet'!$B$11,Paramètres!$A$1:$I$89,3,0)*0.475*44/12</f>
        <v>9.5183668394178937</v>
      </c>
      <c r="BR39" s="21">
        <f>EXP(-LN(2)/2)*BR38+(1-EXP(-LN(2)/2))/(LN(2)/2)*BL39*BO39*VLOOKUP('Données projet'!$B$11,Paramètres!$A$1:$I$89,3,0)*0.475*44/12</f>
        <v>4.104772828538195</v>
      </c>
      <c r="BS39" s="22">
        <f t="shared" si="9"/>
        <v>46.314200631352314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</v>
      </c>
      <c r="BZ39" s="13">
        <f>BY39*VLOOKUP('Données projet'!$B$12,Paramètres!$A$1:$I$89,3,0)*VLOOKUP('Données projet'!$B$12,Paramètres!$A$1:$I$89,5,0)</f>
        <v>123.42720000000001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564.85955448553761</v>
      </c>
      <c r="CD39" s="59">
        <f ca="1">AVERAGE(OFFSET($CC$3,0,0,'Données projet'!$E$12+1,1))-AVERAGE(OFFSET($H$3,0,0,'Données projet'!$E$12+1,1))</f>
        <v>264.70281355687837</v>
      </c>
      <c r="CE39" s="59">
        <f t="shared" si="40"/>
        <v>199.74194600786768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17.588590800178572</v>
      </c>
      <c r="CL39" s="21">
        <f>EXP(-LN(2)/25)*CL38+(1-EXP(-LN(2)/25))/(LN(2)/25)*Calculateur!CG39*Calculateur!CI39*VLOOKUP('Données projet'!$B$12,Paramètres!$A$1:$I$89,3,0)*0.475*44/12</f>
        <v>6.64605438516306</v>
      </c>
      <c r="CM39" s="21">
        <f>EXP(-LN(2)/2)*CM38+(1-EXP(-LN(2)/2))/(LN(2)/2)*CG39*CJ39*VLOOKUP('Données projet'!$B$12,Paramètres!$A$1:$I$89,3,0)*0.475*44/12</f>
        <v>3.0378085582337371</v>
      </c>
      <c r="CN39" s="22">
        <f t="shared" si="12"/>
        <v>27.272453743575372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</v>
      </c>
      <c r="CT39" s="12">
        <f>IF('Données projet'!$A$140&gt;35,CT38+CS39-DB38,IF(A39&lt;'Données projet'!$A$140,$CQ$205^A39,IF(A39='Données projet'!$A$140,'Données projet'!$B$140,CT38+CS39-DB38)))</f>
        <v>150</v>
      </c>
      <c r="CU39" s="17">
        <f>CT39*VLOOKUP('Données projet'!$B$13,Paramètres!$A$1:$I$89,3,0)*VLOOKUP('Données projet'!$B$13,Paramètres!$A$1:$I$89,5,0)</f>
        <v>85.8</v>
      </c>
      <c r="CV39" s="13">
        <f t="shared" si="41"/>
        <v>23.549485995669766</v>
      </c>
      <c r="CW39" s="20">
        <f t="shared" si="13"/>
        <v>190.45035477579151</v>
      </c>
      <c r="CX39" s="59">
        <f t="shared" si="14"/>
        <v>483.7836881091248</v>
      </c>
      <c r="CY39" s="59">
        <f ca="1">AVERAGE(OFFSET($CX$3,0,0,'Données projet'!$E$13+1,1))-AVERAGE(OFFSET($H$3,0,0,'Données projet'!$E$13+1,1))</f>
        <v>149.8619613776458</v>
      </c>
      <c r="CZ39" s="59">
        <f t="shared" si="42"/>
        <v>108.55560257938146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11.442882284139779</v>
      </c>
      <c r="DG39" s="21">
        <f>EXP(-LN(2)/25)*DG38+(1-EXP(-LN(2)/25))/(LN(2)/25)*Calculateur!DB39*Calculateur!DD39*VLOOKUP('Données projet'!$B$13,Paramètres!$A$1:$I$89,3,0)*0.475*44/12</f>
        <v>4.3854732963933465</v>
      </c>
      <c r="DH39" s="21">
        <f>EXP(-LN(2)/2)*DH38+(1-EXP(-LN(2)/2))/(LN(2)/2)*DB39*DE39*VLOOKUP('Données projet'!$B$13,Paramètres!$A$1:$I$89,3,0)*0.475*44/12</f>
        <v>1.9845480406886371</v>
      </c>
      <c r="DI39" s="22">
        <f t="shared" si="15"/>
        <v>17.812903621221764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1">
        <f t="shared" si="32"/>
        <v>9.3093757052690744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67">
        <f t="shared" si="1"/>
        <v>361.82224268667693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</v>
      </c>
      <c r="N40" s="13">
        <f>IF('Données projet'!$A$36&gt;35,N39+M40-V39,IF(A40&lt;'Données projet'!$A$36,$K$205^A40,IF(A40='Données projet'!$A$36,'Données projet'!$B$36,N39+M40-V39)))</f>
        <v>557.99999999999989</v>
      </c>
      <c r="O40" s="13">
        <f>N40*VLOOKUP('Données projet'!$B$9,Paramètres!$A$1:$I$89,3,0)*VLOOKUP('Données projet'!$B$9,Paramètres!$A$1:$I$89,5,0)</f>
        <v>311.92199999999991</v>
      </c>
      <c r="P40" s="13">
        <f t="shared" si="33"/>
        <v>73.670075764965745</v>
      </c>
      <c r="Q40" s="20">
        <f t="shared" si="53"/>
        <v>671.57286529064845</v>
      </c>
      <c r="R40" s="59">
        <f t="shared" si="0"/>
        <v>964.90619862398171</v>
      </c>
      <c r="S40" s="59">
        <f ca="1">AVERAGE(OFFSET($R$3,0,0,'Données projet'!$E$9+1,1))-AVERAGE(OFFSET($H$3,0,0,'Données projet'!$E$9+1,1))</f>
        <v>467.03705646400994</v>
      </c>
      <c r="T40" s="59">
        <f t="shared" si="34"/>
        <v>575.68119027684361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55.63248367885712</v>
      </c>
      <c r="AA40" s="21">
        <f>EXP(-LN(2)/25)*AA39+(1-EXP(-LN(2)/25))/(LN(2)/25)*Calculateur!V40*Calculateur!X40*VLOOKUP('Données projet'!$B$9,Paramètres!$A$1:$I$89,3,0)*0.475*44/12</f>
        <v>18.900108610387168</v>
      </c>
      <c r="AB40" s="21">
        <f>EXP(-LN(2)/2)*AB39+(1-EXP(-LN(2)/2))/(LN(2)/2)*V40*Y40*VLOOKUP('Données projet'!$B$9,Paramètres!$A$1:$I$89,3,0)*0.475*44/12</f>
        <v>3.7267964533553966</v>
      </c>
      <c r="AC40" s="22">
        <f t="shared" si="3"/>
        <v>78.259388742599683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</v>
      </c>
      <c r="AI40" s="13">
        <f>IF('Données projet'!$A$62&gt;35,AI39+AH40-AQ39,IF(A40&lt;'Données projet'!$A$62,$AF$205^A40,IF(A40='Données projet'!$A$62,'Données projet'!$B$62,AI39+AH40-AQ39)))</f>
        <v>179</v>
      </c>
      <c r="AJ40" s="13">
        <f>AI40*VLOOKUP('Données projet'!$B$10,Paramètres!$A$1:$I$89,3,0)*VLOOKUP('Données projet'!$B$10,Paramètres!$A$1:$I$89,5,0)</f>
        <v>111.69600000000001</v>
      </c>
      <c r="AK40" s="13">
        <f t="shared" si="35"/>
        <v>29.730218873466878</v>
      </c>
      <c r="AL40" s="20">
        <f t="shared" si="4"/>
        <v>246.3173312046215</v>
      </c>
      <c r="AM40" s="59">
        <f t="shared" si="5"/>
        <v>539.65066453795475</v>
      </c>
      <c r="AN40" s="59">
        <f ca="1">AVERAGE(OFFSET($AM$3,0,0,'Données projet'!$E$10+1,1))-AVERAGE(OFFSET($H$3,0,0,'Données projet'!$E$10+1,1))</f>
        <v>252.44760109054914</v>
      </c>
      <c r="AO40" s="59">
        <f t="shared" si="36"/>
        <v>121.75506329394773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13.37333562528624</v>
      </c>
      <c r="AV40" s="21">
        <f>EXP(-LN(2)/25)*AV39+(1-EXP(-LN(2)/25))/(LN(2)/25)*Calculateur!AQ40*Calculateur!AS40*VLOOKUP('Données projet'!$B$10,Paramètres!$A$1:$I$89,3,0)*0.475*44/12</f>
        <v>6.1048510188680085</v>
      </c>
      <c r="AW40" s="21">
        <f>EXP(-LN(2)/2)*AW39+(1-EXP(-LN(2)/2))/(LN(2)/2)*AQ40*AT40*VLOOKUP('Données projet'!$B$10,Paramètres!$A$1:$I$89,3,0)*0.475*44/12</f>
        <v>1.2077310393916931</v>
      </c>
      <c r="AX40" s="21">
        <f t="shared" si="6"/>
        <v>20.685917683545942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17.600000000000001</v>
      </c>
      <c r="BD40" s="12">
        <f>IF('Données projet'!$A$88&gt;35,BD39+BC40-BL39,IF(A40&lt;'Données projet'!$A$88,$BA$205^A40,IF(A40='Données projet'!$A$88,'Données projet'!$B$88,BD39+BC40-BL39)))</f>
        <v>279.2</v>
      </c>
      <c r="BE40" s="13">
        <f>BD40*VLOOKUP('Données projet'!$B$11,Paramètres!$A$1:$I$89,3,0)*VLOOKUP('Données projet'!$B$11,Paramètres!$A$1:$I$89,5,0)</f>
        <v>166.9616</v>
      </c>
      <c r="BF40" s="13">
        <f t="shared" si="37"/>
        <v>42.40881044639989</v>
      </c>
      <c r="BG40" s="20">
        <f t="shared" si="7"/>
        <v>364.65346486081313</v>
      </c>
      <c r="BH40" s="59">
        <f t="shared" si="8"/>
        <v>657.98679819414644</v>
      </c>
      <c r="BI40" s="59">
        <f ca="1">AVERAGE(OFFSET($BH$3,0,0,'Données projet'!$E$11+1,1))-AVERAGE(OFFSET($H$3,0,0,'Données projet'!$E$11+1,1))</f>
        <v>260.97162394079265</v>
      </c>
      <c r="BJ40" s="59">
        <f t="shared" si="38"/>
        <v>279.1836614199691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32.050009197482346</v>
      </c>
      <c r="BQ40" s="21">
        <f>EXP(-LN(2)/25)*BQ39+(1-EXP(-LN(2)/25))/(LN(2)/25)*Calculateur!BL40*Calculateur!BN40*VLOOKUP('Données projet'!$B$11,Paramètres!$A$1:$I$89,3,0)*0.475*44/12</f>
        <v>9.2580865976448532</v>
      </c>
      <c r="BR40" s="21">
        <f>EXP(-LN(2)/2)*BR39+(1-EXP(-LN(2)/2))/(LN(2)/2)*BL40*BO40*VLOOKUP('Données projet'!$B$11,Paramètres!$A$1:$I$89,3,0)*0.475*44/12</f>
        <v>2.9025127022896435</v>
      </c>
      <c r="BS40" s="22">
        <f t="shared" si="9"/>
        <v>44.210608497416843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</v>
      </c>
      <c r="BZ40" s="13">
        <f>BY40*VLOOKUP('Données projet'!$B$12,Paramètres!$A$1:$I$89,3,0)*VLOOKUP('Données projet'!$B$12,Paramètres!$A$1:$I$89,5,0)</f>
        <v>132.03840000000002</v>
      </c>
      <c r="CA40" s="13">
        <f t="shared" si="39"/>
        <v>34.466946374534373</v>
      </c>
      <c r="CB40" s="20">
        <f t="shared" si="10"/>
        <v>289.99681160231404</v>
      </c>
      <c r="CC40" s="59">
        <f t="shared" si="11"/>
        <v>583.33014493564735</v>
      </c>
      <c r="CD40" s="59">
        <f ca="1">AVERAGE(OFFSET($CC$3,0,0,'Données projet'!$E$12+1,1))-AVERAGE(OFFSET($H$3,0,0,'Données projet'!$E$12+1,1))</f>
        <v>264.70281355687837</v>
      </c>
      <c r="CE40" s="59">
        <f t="shared" si="40"/>
        <v>199.74194600786768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17.243689262568157</v>
      </c>
      <c r="CL40" s="21">
        <f>EXP(-LN(2)/25)*CL39+(1-EXP(-LN(2)/25))/(LN(2)/25)*Calculateur!CG40*Calculateur!CI40*VLOOKUP('Données projet'!$B$12,Paramètres!$A$1:$I$89,3,0)*0.475*44/12</f>
        <v>6.4643176784999659</v>
      </c>
      <c r="CM40" s="21">
        <f>EXP(-LN(2)/2)*CM39+(1-EXP(-LN(2)/2))/(LN(2)/2)*CG40*CJ40*VLOOKUP('Données projet'!$B$12,Paramètres!$A$1:$I$89,3,0)*0.475*44/12</f>
        <v>2.1480550314736049</v>
      </c>
      <c r="CN40" s="22">
        <f t="shared" si="12"/>
        <v>25.856061972541728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</v>
      </c>
      <c r="CT40" s="12">
        <f>IF('Données projet'!$A$140&gt;35,CT39+CS40-DB39,IF(A40&lt;'Données projet'!$A$140,$CQ$205^A40,IF(A40='Données projet'!$A$140,'Données projet'!$B$140,CT39+CS40-DB39)))</f>
        <v>162</v>
      </c>
      <c r="CU40" s="17">
        <f>CT40*VLOOKUP('Données projet'!$B$13,Paramètres!$A$1:$I$89,3,0)*VLOOKUP('Données projet'!$B$13,Paramètres!$A$1:$I$89,5,0)</f>
        <v>92.664000000000001</v>
      </c>
      <c r="CV40" s="13">
        <f t="shared" si="41"/>
        <v>25.206622814445748</v>
      </c>
      <c r="CW40" s="20">
        <f t="shared" si="13"/>
        <v>205.29133473515969</v>
      </c>
      <c r="CX40" s="59">
        <f t="shared" si="14"/>
        <v>498.62466806849301</v>
      </c>
      <c r="CY40" s="59">
        <f ca="1">AVERAGE(OFFSET($CX$3,0,0,'Données projet'!$E$13+1,1))-AVERAGE(OFFSET($H$3,0,0,'Données projet'!$E$13+1,1))</f>
        <v>149.8619613776458</v>
      </c>
      <c r="CZ40" s="59">
        <f t="shared" si="42"/>
        <v>108.55560257938146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11.218494342016827</v>
      </c>
      <c r="DG40" s="21">
        <f>EXP(-LN(2)/25)*DG39+(1-EXP(-LN(2)/25))/(LN(2)/25)*Calculateur!DB40*Calculateur!DD40*VLOOKUP('Données projet'!$B$13,Paramètres!$A$1:$I$89,3,0)*0.475*44/12</f>
        <v>4.2655522984814533</v>
      </c>
      <c r="DH40" s="21">
        <f>EXP(-LN(2)/2)*DH39+(1-EXP(-LN(2)/2))/(LN(2)/2)*DB40*DE40*VLOOKUP('Données projet'!$B$13,Paramètres!$A$1:$I$89,3,0)*0.475*44/12</f>
        <v>1.4032873771614118</v>
      </c>
      <c r="DI40" s="22">
        <f t="shared" si="15"/>
        <v>16.887334017659693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1">
        <f t="shared" si="32"/>
        <v>9.5313474288652547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67">
        <f t="shared" si="1"/>
        <v>363.62168343860691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</v>
      </c>
      <c r="N41" s="13">
        <f>IF('Données projet'!$A$36&gt;35,N40+M41-V40,IF(A41&lt;'Données projet'!$A$36,$K$205^A41,IF(A41='Données projet'!$A$36,'Données projet'!$B$36,N40+M41-V40)))</f>
        <v>584.99999999999989</v>
      </c>
      <c r="O41" s="13">
        <f>N41*VLOOKUP('Données projet'!$B$9,Paramètres!$A$1:$I$89,3,0)*VLOOKUP('Données projet'!$B$9,Paramètres!$A$1:$I$89,5,0)</f>
        <v>327.01499999999993</v>
      </c>
      <c r="P41" s="13">
        <f t="shared" si="33"/>
        <v>76.811113612871907</v>
      </c>
      <c r="Q41" s="20">
        <f t="shared" si="53"/>
        <v>703.33048120908506</v>
      </c>
      <c r="R41" s="59">
        <f t="shared" si="0"/>
        <v>996.66381454241832</v>
      </c>
      <c r="S41" s="59">
        <f ca="1">AVERAGE(OFFSET($R$3,0,0,'Données projet'!$E$9+1,1))-AVERAGE(OFFSET($H$3,0,0,'Données projet'!$E$9+1,1))</f>
        <v>467.03705646400994</v>
      </c>
      <c r="T41" s="59">
        <f t="shared" si="34"/>
        <v>575.68119027684361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54.541564606379225</v>
      </c>
      <c r="AA41" s="21">
        <f>EXP(-LN(2)/25)*AA40+(1-EXP(-LN(2)/25))/(LN(2)/25)*Calculateur!V41*Calculateur!X41*VLOOKUP('Données projet'!$B$9,Paramètres!$A$1:$I$89,3,0)*0.475*44/12</f>
        <v>18.383284146522616</v>
      </c>
      <c r="AB41" s="21">
        <f>EXP(-LN(2)/2)*AB40+(1-EXP(-LN(2)/2))/(LN(2)/2)*V41*Y41*VLOOKUP('Données projet'!$B$9,Paramètres!$A$1:$I$89,3,0)*0.475*44/12</f>
        <v>2.635243044269576</v>
      </c>
      <c r="AC41" s="22">
        <f t="shared" si="3"/>
        <v>75.56009179717141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</v>
      </c>
      <c r="AI41" s="13">
        <f>IF('Données projet'!$A$62&gt;35,AI40+AH41-AQ40,IF(A41&lt;'Données projet'!$A$62,$AF$205^A41,IF(A41='Données projet'!$A$62,'Données projet'!$B$62,AI40+AH41-AQ40)))</f>
        <v>192</v>
      </c>
      <c r="AJ41" s="13">
        <f>AI41*VLOOKUP('Données projet'!$B$10,Paramètres!$A$1:$I$89,3,0)*VLOOKUP('Données projet'!$B$10,Paramètres!$A$1:$I$89,5,0)</f>
        <v>119.80799999999999</v>
      </c>
      <c r="AK41" s="13">
        <f t="shared" si="35"/>
        <v>31.630214274643535</v>
      </c>
      <c r="AL41" s="20">
        <f t="shared" si="4"/>
        <v>263.75488986167079</v>
      </c>
      <c r="AM41" s="59">
        <f t="shared" si="5"/>
        <v>557.08822319500405</v>
      </c>
      <c r="AN41" s="59">
        <f ca="1">AVERAGE(OFFSET($AM$3,0,0,'Données projet'!$E$10+1,1))-AVERAGE(OFFSET($H$3,0,0,'Données projet'!$E$10+1,1))</f>
        <v>252.44760109054914</v>
      </c>
      <c r="AO41" s="59">
        <f t="shared" si="36"/>
        <v>121.75506329394773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13.111092670603679</v>
      </c>
      <c r="AV41" s="21">
        <f>EXP(-LN(2)/25)*AV40+(1-EXP(-LN(2)/25))/(LN(2)/25)*Calculateur!AQ41*Calculateur!AS41*VLOOKUP('Données projet'!$B$10,Paramètres!$A$1:$I$89,3,0)*0.475*44/12</f>
        <v>5.9379135467169002</v>
      </c>
      <c r="AW41" s="21">
        <f>EXP(-LN(2)/2)*AW40+(1-EXP(-LN(2)/2))/(LN(2)/2)*AQ41*AT41*VLOOKUP('Données projet'!$B$10,Paramètres!$A$1:$I$89,3,0)*0.475*44/12</f>
        <v>0.85399480780334358</v>
      </c>
      <c r="AX41" s="21">
        <f t="shared" si="6"/>
        <v>19.90300102512392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17.600000000000001</v>
      </c>
      <c r="BD41" s="12">
        <f>IF('Données projet'!$A$88&gt;35,BD40+BC41-BL40,IF(A41&lt;'Données projet'!$A$88,$BA$205^A41,IF(A41='Données projet'!$A$88,'Données projet'!$B$88,BD40+BC41-BL40)))</f>
        <v>296.8</v>
      </c>
      <c r="BE41" s="13">
        <f>BD41*VLOOKUP('Données projet'!$B$11,Paramètres!$A$1:$I$89,3,0)*VLOOKUP('Données projet'!$B$11,Paramètres!$A$1:$I$89,5,0)</f>
        <v>177.48640000000003</v>
      </c>
      <c r="BF41" s="13">
        <f t="shared" si="37"/>
        <v>44.762499594286325</v>
      </c>
      <c r="BG41" s="20">
        <f t="shared" si="7"/>
        <v>387.08350012671536</v>
      </c>
      <c r="BH41" s="59">
        <f t="shared" si="8"/>
        <v>680.41683346004868</v>
      </c>
      <c r="BI41" s="59">
        <f ca="1">AVERAGE(OFFSET($BH$3,0,0,'Données projet'!$E$11+1,1))-AVERAGE(OFFSET($H$3,0,0,'Données projet'!$E$11+1,1))</f>
        <v>260.97162394079265</v>
      </c>
      <c r="BJ41" s="59">
        <f t="shared" si="38"/>
        <v>279.1836614199691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31.421528065695068</v>
      </c>
      <c r="BQ41" s="21">
        <f>EXP(-LN(2)/25)*BQ40+(1-EXP(-LN(2)/25))/(LN(2)/25)*Calculateur!BL41*Calculateur!BN41*VLOOKUP('Données projet'!$B$11,Paramètres!$A$1:$I$89,3,0)*0.475*44/12</f>
        <v>9.0049237327706404</v>
      </c>
      <c r="BR41" s="21">
        <f>EXP(-LN(2)/2)*BR40+(1-EXP(-LN(2)/2))/(LN(2)/2)*BL41*BO41*VLOOKUP('Données projet'!$B$11,Paramètres!$A$1:$I$89,3,0)*0.475*44/12</f>
        <v>2.052386414269098</v>
      </c>
      <c r="BS41" s="22">
        <f t="shared" si="9"/>
        <v>42.478838212734807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235.20000000000002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601.7744528299088</v>
      </c>
      <c r="CD41" s="59">
        <f ca="1">AVERAGE(OFFSET($CC$3,0,0,'Données projet'!$E$12+1,1))-AVERAGE(OFFSET($H$3,0,0,'Données projet'!$E$12+1,1))</f>
        <v>264.70281355687837</v>
      </c>
      <c r="CE41" s="59">
        <f t="shared" si="40"/>
        <v>199.74194600786768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16.905551033741119</v>
      </c>
      <c r="CL41" s="21">
        <f>EXP(-LN(2)/25)*CL40+(1-EXP(-LN(2)/25))/(LN(2)/25)*Calculateur!CG41*Calculateur!CI41*VLOOKUP('Données projet'!$B$12,Paramètres!$A$1:$I$89,3,0)*0.475*44/12</f>
        <v>6.2875505716376923</v>
      </c>
      <c r="CM41" s="21">
        <f>EXP(-LN(2)/2)*CM40+(1-EXP(-LN(2)/2))/(LN(2)/2)*CG41*CJ41*VLOOKUP('Données projet'!$B$12,Paramètres!$A$1:$I$89,3,0)*0.475*44/12</f>
        <v>1.518904279116869</v>
      </c>
      <c r="CN41" s="22">
        <f t="shared" si="12"/>
        <v>24.712005884495678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</v>
      </c>
      <c r="CT41" s="12">
        <f>IF('Données projet'!$A$140&gt;35,CT40+CS41-DB40,IF(A41&lt;'Données projet'!$A$140,$CQ$205^A41,IF(A41='Données projet'!$A$140,'Données projet'!$B$140,CT40+CS41-DB40)))</f>
        <v>174</v>
      </c>
      <c r="CU41" s="17">
        <f>CT41*VLOOKUP('Données projet'!$B$13,Paramètres!$A$1:$I$89,3,0)*VLOOKUP('Données projet'!$B$13,Paramètres!$A$1:$I$89,5,0)</f>
        <v>99.528000000000006</v>
      </c>
      <c r="CV41" s="13">
        <f t="shared" si="41"/>
        <v>26.849519112903323</v>
      </c>
      <c r="CW41" s="20">
        <f t="shared" si="13"/>
        <v>220.10751245497329</v>
      </c>
      <c r="CX41" s="59">
        <f t="shared" si="14"/>
        <v>513.44084578830666</v>
      </c>
      <c r="CY41" s="59">
        <f ca="1">AVERAGE(OFFSET($CX$3,0,0,'Données projet'!$E$13+1,1))-AVERAGE(OFFSET($H$3,0,0,'Données projet'!$E$13+1,1))</f>
        <v>149.8619613776458</v>
      </c>
      <c r="CZ41" s="59">
        <f t="shared" si="42"/>
        <v>108.55560257938146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10.998506510575774</v>
      </c>
      <c r="DG41" s="21">
        <f>EXP(-LN(2)/25)*DG40+(1-EXP(-LN(2)/25))/(LN(2)/25)*Calculateur!DB41*Calculateur!DD41*VLOOKUP('Données projet'!$B$13,Paramètres!$A$1:$I$89,3,0)*0.475*44/12</f>
        <v>4.1489105465638314</v>
      </c>
      <c r="DH41" s="21">
        <f>EXP(-LN(2)/2)*DH40+(1-EXP(-LN(2)/2))/(LN(2)/2)*DB41*DE41*VLOOKUP('Données projet'!$B$13,Paramètres!$A$1:$I$89,3,0)*0.475*44/12</f>
        <v>0.99227402034431866</v>
      </c>
      <c r="DI41" s="22">
        <f t="shared" si="15"/>
        <v>16.139691077483924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1">
        <f t="shared" si="32"/>
        <v>9.7526401755191188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67">
        <f t="shared" si="1"/>
        <v>365.41994163902905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</v>
      </c>
      <c r="N42" s="13">
        <f>IF('Données projet'!$A$36&gt;35,N41+M42-V41,IF(A42&lt;'Données projet'!$A$36,$K$205^A42,IF(A42='Données projet'!$A$36,'Données projet'!$B$36,N41+M42-V41)))</f>
        <v>611.99999999999989</v>
      </c>
      <c r="O42" s="13">
        <f>N42*VLOOKUP('Données projet'!$B$9,Paramètres!$A$1:$I$89,3,0)*VLOOKUP('Données projet'!$B$9,Paramètres!$A$1:$I$89,5,0)</f>
        <v>342.10799999999995</v>
      </c>
      <c r="P42" s="13">
        <f t="shared" si="33"/>
        <v>79.935315774430151</v>
      </c>
      <c r="Q42" s="20">
        <f t="shared" si="53"/>
        <v>735.0587749737989</v>
      </c>
      <c r="R42" s="59">
        <f t="shared" si="0"/>
        <v>1028.3921083071323</v>
      </c>
      <c r="S42" s="59">
        <f ca="1">AVERAGE(OFFSET($R$3,0,0,'Données projet'!$E$9+1,1))-AVERAGE(OFFSET($H$3,0,0,'Données projet'!$E$9+1,1))</f>
        <v>467.03705646400994</v>
      </c>
      <c r="T42" s="59">
        <f t="shared" si="34"/>
        <v>575.68119027684361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53.472037791517685</v>
      </c>
      <c r="AA42" s="21">
        <f>EXP(-LN(2)/25)*AA41+(1-EXP(-LN(2)/25))/(LN(2)/25)*Calculateur!V42*Calculateur!X42*VLOOKUP('Données projet'!$B$9,Paramètres!$A$1:$I$89,3,0)*0.475*44/12</f>
        <v>17.880592274801057</v>
      </c>
      <c r="AB42" s="21">
        <f>EXP(-LN(2)/2)*AB41+(1-EXP(-LN(2)/2))/(LN(2)/2)*V42*Y42*VLOOKUP('Données projet'!$B$9,Paramètres!$A$1:$I$89,3,0)*0.475*44/12</f>
        <v>1.8633982266776985</v>
      </c>
      <c r="AC42" s="22">
        <f t="shared" si="3"/>
        <v>73.216028292996441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</v>
      </c>
      <c r="AI42" s="13">
        <f>IF('Données projet'!$A$62&gt;35,AI41+AH42-AQ41,IF(A42&lt;'Données projet'!$A$62,$AF$205^A42,IF(A42='Données projet'!$A$62,'Données projet'!$B$62,AI41+AH42-AQ41)))</f>
        <v>205</v>
      </c>
      <c r="AJ42" s="13">
        <f>AI42*VLOOKUP('Données projet'!$B$10,Paramètres!$A$1:$I$89,3,0)*VLOOKUP('Données projet'!$B$10,Paramètres!$A$1:$I$89,5,0)</f>
        <v>127.91999999999999</v>
      </c>
      <c r="AK42" s="13">
        <f t="shared" si="35"/>
        <v>33.515282155238225</v>
      </c>
      <c r="AL42" s="20">
        <f t="shared" si="4"/>
        <v>281.16644975370656</v>
      </c>
      <c r="AM42" s="59">
        <f t="shared" si="5"/>
        <v>574.49978308703987</v>
      </c>
      <c r="AN42" s="59">
        <f ca="1">AVERAGE(OFFSET($AM$3,0,0,'Données projet'!$E$10+1,1))-AVERAGE(OFFSET($H$3,0,0,'Données projet'!$E$10+1,1))</f>
        <v>252.44760109054914</v>
      </c>
      <c r="AO42" s="59">
        <f t="shared" si="36"/>
        <v>121.75506329394773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12.853992140310034</v>
      </c>
      <c r="AV42" s="21">
        <f>EXP(-LN(2)/25)*AV41+(1-EXP(-LN(2)/25))/(LN(2)/25)*Calculateur!AQ42*Calculateur!AS42*VLOOKUP('Données projet'!$B$10,Paramètres!$A$1:$I$89,3,0)*0.475*44/12</f>
        <v>5.7755409885206248</v>
      </c>
      <c r="AW42" s="21">
        <f>EXP(-LN(2)/2)*AW41+(1-EXP(-LN(2)/2))/(LN(2)/2)*AQ42*AT42*VLOOKUP('Données projet'!$B$10,Paramètres!$A$1:$I$89,3,0)*0.475*44/12</f>
        <v>0.60386551969584656</v>
      </c>
      <c r="AX42" s="21">
        <f t="shared" si="6"/>
        <v>19.233398648526506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17.600000000000001</v>
      </c>
      <c r="BD42" s="12">
        <f>IF('Données projet'!$A$88&gt;35,BD41+BC42-BL41,IF(A42&lt;'Données projet'!$A$88,$BA$205^A42,IF(A42='Données projet'!$A$88,'Données projet'!$B$88,BD41+BC42-BL41)))</f>
        <v>314.40000000000003</v>
      </c>
      <c r="BE42" s="13">
        <f>BD42*VLOOKUP('Données projet'!$B$11,Paramètres!$A$1:$I$89,3,0)*VLOOKUP('Données projet'!$B$11,Paramètres!$A$1:$I$89,5,0)</f>
        <v>188.01120000000003</v>
      </c>
      <c r="BF42" s="13">
        <f t="shared" si="37"/>
        <v>47.099988496590989</v>
      </c>
      <c r="BG42" s="20">
        <f t="shared" si="7"/>
        <v>409.48531996489601</v>
      </c>
      <c r="BH42" s="59">
        <f t="shared" si="8"/>
        <v>702.81865329822926</v>
      </c>
      <c r="BI42" s="59">
        <f ca="1">AVERAGE(OFFSET($BH$3,0,0,'Données projet'!$E$11+1,1))-AVERAGE(OFFSET($H$3,0,0,'Données projet'!$E$11+1,1))</f>
        <v>260.97162394079265</v>
      </c>
      <c r="BJ42" s="59">
        <f t="shared" si="38"/>
        <v>279.1836614199691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30.805371065566497</v>
      </c>
      <c r="BQ42" s="21">
        <f>EXP(-LN(2)/25)*BQ41+(1-EXP(-LN(2)/25))/(LN(2)/25)*Calculateur!BL42*Calculateur!BN42*VLOOKUP('Données projet'!$B$11,Paramètres!$A$1:$I$89,3,0)*0.475*44/12</f>
        <v>8.7586836197496698</v>
      </c>
      <c r="BR42" s="21">
        <f>EXP(-LN(2)/2)*BR41+(1-EXP(-LN(2)/2))/(LN(2)/2)*BL42*BO42*VLOOKUP('Données projet'!$B$11,Paramètres!$A$1:$I$89,3,0)*0.475*44/12</f>
        <v>1.451256351144822</v>
      </c>
      <c r="BS42" s="22">
        <f t="shared" si="9"/>
        <v>41.015311036460986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249.60000000000002</v>
      </c>
      <c r="BZ42" s="13">
        <f>BY42*VLOOKUP('Données projet'!$B$12,Paramètres!$A$1:$I$89,3,0)*VLOOKUP('Données projet'!$B$12,Paramètres!$A$1:$I$89,5,0)</f>
        <v>149.26080000000002</v>
      </c>
      <c r="CA42" s="13">
        <f t="shared" si="39"/>
        <v>38.410551499792909</v>
      </c>
      <c r="CB42" s="20">
        <f t="shared" si="10"/>
        <v>326.86093719547267</v>
      </c>
      <c r="CC42" s="59">
        <f t="shared" si="11"/>
        <v>620.19427052880599</v>
      </c>
      <c r="CD42" s="59">
        <f ca="1">AVERAGE(OFFSET($CC$3,0,0,'Données projet'!$E$12+1,1))-AVERAGE(OFFSET($H$3,0,0,'Données projet'!$E$12+1,1))</f>
        <v>264.70281355687837</v>
      </c>
      <c r="CE42" s="59">
        <f t="shared" si="40"/>
        <v>199.74194600786768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16.574043489337424</v>
      </c>
      <c r="CL42" s="21">
        <f>EXP(-LN(2)/25)*CL41+(1-EXP(-LN(2)/25))/(LN(2)/25)*Calculateur!CG42*Calculateur!CI42*VLOOKUP('Données projet'!$B$12,Paramètres!$A$1:$I$89,3,0)*0.475*44/12</f>
        <v>6.1156171706083455</v>
      </c>
      <c r="CM42" s="21">
        <f>EXP(-LN(2)/2)*CM41+(1-EXP(-LN(2)/2))/(LN(2)/2)*CG42*CJ42*VLOOKUP('Données projet'!$B$12,Paramètres!$A$1:$I$89,3,0)*0.475*44/12</f>
        <v>1.0740275157368027</v>
      </c>
      <c r="CN42" s="22">
        <f t="shared" si="12"/>
        <v>23.763688175682571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</v>
      </c>
      <c r="CT42" s="12">
        <f>IF('Données projet'!$A$140&gt;35,CT41+CS42-DB41,IF(A42&lt;'Données projet'!$A$140,$CQ$205^A42,IF(A42='Données projet'!$A$140,'Données projet'!$B$140,CT41+CS42-DB41)))</f>
        <v>186</v>
      </c>
      <c r="CU42" s="17">
        <f>CT42*VLOOKUP('Données projet'!$B$13,Paramètres!$A$1:$I$89,3,0)*VLOOKUP('Données projet'!$B$13,Paramètres!$A$1:$I$89,5,0)</f>
        <v>106.39200000000001</v>
      </c>
      <c r="CV42" s="13">
        <f t="shared" si="41"/>
        <v>28.479268717714096</v>
      </c>
      <c r="CW42" s="20">
        <f t="shared" si="13"/>
        <v>234.90079301668541</v>
      </c>
      <c r="CX42" s="59">
        <f t="shared" si="14"/>
        <v>528.23412635001876</v>
      </c>
      <c r="CY42" s="59">
        <f ca="1">AVERAGE(OFFSET($CX$3,0,0,'Données projet'!$E$13+1,1))-AVERAGE(OFFSET($H$3,0,0,'Données projet'!$E$13+1,1))</f>
        <v>149.8619613776458</v>
      </c>
      <c r="CZ42" s="59">
        <f t="shared" si="42"/>
        <v>108.55560257938146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10.782832506329953</v>
      </c>
      <c r="DG42" s="21">
        <f>EXP(-LN(2)/25)*DG41+(1-EXP(-LN(2)/25))/(LN(2)/25)*Calculateur!DB42*Calculateur!DD42*VLOOKUP('Données projet'!$B$13,Paramètres!$A$1:$I$89,3,0)*0.475*44/12</f>
        <v>4.03545836948632</v>
      </c>
      <c r="DH42" s="21">
        <f>EXP(-LN(2)/2)*DH41+(1-EXP(-LN(2)/2))/(LN(2)/2)*DB42*DE42*VLOOKUP('Données projet'!$B$13,Paramètres!$A$1:$I$89,3,0)*0.475*44/12</f>
        <v>0.70164368858070603</v>
      </c>
      <c r="DI42" s="22">
        <f t="shared" si="15"/>
        <v>15.51993456439698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1">
        <f t="shared" si="32"/>
        <v>9.9732733567093845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67">
        <f t="shared" si="1"/>
        <v>367.21705109626879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639</v>
      </c>
      <c r="L43" s="12">
        <f>VLOOKUP(A43,'Données projet'!$A$35:$I$55,9,0)</f>
        <v>27</v>
      </c>
      <c r="M43" s="12">
        <f t="array" ref="M43">INDEX(L:L,MIN(IF(ISNUMBER(L43:L239),ROW(L43:L239),"")))</f>
        <v>27</v>
      </c>
      <c r="N43" s="13">
        <f>IF('Données projet'!$A$36&gt;35,N42+M43-V42,IF(A43&lt;'Données projet'!$A$36,$K$205^A43,IF(A43='Données projet'!$A$36,'Données projet'!$B$36,N42+M43-V42)))</f>
        <v>638.99999999999989</v>
      </c>
      <c r="O43" s="13">
        <f>N43*VLOOKUP('Données projet'!$B$9,Paramètres!$A$1:$I$89,3,0)*VLOOKUP('Données projet'!$B$9,Paramètres!$A$1:$I$89,5,0)</f>
        <v>357.20099999999991</v>
      </c>
      <c r="P43" s="13">
        <f t="shared" si="33"/>
        <v>83.043509879488369</v>
      </c>
      <c r="Q43" s="20">
        <f t="shared" si="53"/>
        <v>766.75918804010871</v>
      </c>
      <c r="R43" s="59">
        <f t="shared" si="0"/>
        <v>1060.092521373442</v>
      </c>
      <c r="S43" s="59">
        <f ca="1">AVERAGE(OFFSET($R$3,0,0,'Données projet'!$E$9+1,1))-AVERAGE(OFFSET($H$3,0,0,'Données projet'!$E$9+1,1))</f>
        <v>467.03705646400994</v>
      </c>
      <c r="T43" s="59">
        <f t="shared" si="34"/>
        <v>575.68119027684361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0.38500000000000001</v>
      </c>
      <c r="X43" s="16">
        <f>IF(ISNA(VLOOKUP(A43,'Données projet'!$A$35:$I$55,6,0)),0%,VLOOKUP(A43,'Données projet'!$A$35:$I$55,6,0)*VLOOKUP('Données projet'!$B$9,Paramètres!$A$1:$I$89,7,0))</f>
        <v>9.3500000000000014E-2</v>
      </c>
      <c r="Y43" s="16">
        <f>IF(ISNA(VLOOKUP(A43,'Données projet'!$A$35:$I$55,7,0)),0%,VLOOKUP(A43,'Données projet'!$A$35:$I$55,7,0))</f>
        <v>0.13</v>
      </c>
      <c r="Z43" s="21">
        <f>EXP(-LN(2)/35)*Z42+(1-EXP(-LN(2)/35))/(LN(2)/35)*V43*W43*VLOOKUP('Données projet'!$B$9,Paramètres!$A$1:$I$89,3,0)*0.475*44/12</f>
        <v>74.406719579510025</v>
      </c>
      <c r="AA43" s="21">
        <f>EXP(-LN(2)/25)*AA42+(1-EXP(-LN(2)/25))/(LN(2)/25)*Calculateur!V43*Calculateur!X43*VLOOKUP('Données projet'!$B$9,Paramètres!$A$1:$I$89,3,0)*0.475*44/12</f>
        <v>22.709411550124333</v>
      </c>
      <c r="AB43" s="21">
        <f>EXP(-LN(2)/2)*AB42+(1-EXP(-LN(2)/2))/(LN(2)/2)*V43*Y43*VLOOKUP('Données projet'!$B$9,Paramètres!$A$1:$I$89,3,0)*0.475*44/12</f>
        <v>7.6531292438509055</v>
      </c>
      <c r="AC43" s="22">
        <f t="shared" si="3"/>
        <v>104.76926037348525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218</v>
      </c>
      <c r="AG43" s="12">
        <f>VLOOKUP(A43,'Données projet'!$A$61:$I$81,9,0)</f>
        <v>13</v>
      </c>
      <c r="AH43" s="12">
        <f t="array" ref="AH43">INDEX(AG:AG,MIN(IF(ISNUMBER(AG43:AG239),ROW(AG43:AG239),"")))</f>
        <v>13</v>
      </c>
      <c r="AI43" s="13">
        <f>IF('Données projet'!$A$62&gt;35,AI42+AH43-AQ42,IF(A43&lt;'Données projet'!$A$62,$AF$205^A43,IF(A43='Données projet'!$A$62,'Données projet'!$B$62,AI42+AH43-AQ42)))</f>
        <v>218</v>
      </c>
      <c r="AJ43" s="13">
        <f>AI43*VLOOKUP('Données projet'!$B$10,Paramètres!$A$1:$I$89,3,0)*VLOOKUP('Données projet'!$B$10,Paramètres!$A$1:$I$89,5,0)</f>
        <v>136.03200000000001</v>
      </c>
      <c r="AK43" s="13">
        <f t="shared" si="35"/>
        <v>35.386476892275908</v>
      </c>
      <c r="AL43" s="20">
        <f t="shared" si="4"/>
        <v>298.55384725404718</v>
      </c>
      <c r="AM43" s="59">
        <f t="shared" si="5"/>
        <v>591.8871805873805</v>
      </c>
      <c r="AN43" s="59">
        <f ca="1">AVERAGE(OFFSET($AM$3,0,0,'Données projet'!$E$10+1,1))-AVERAGE(OFFSET($H$3,0,0,'Données projet'!$E$10+1,1))</f>
        <v>252.44760109054914</v>
      </c>
      <c r="AO43" s="59">
        <f t="shared" si="36"/>
        <v>121.75506329394773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0.42</v>
      </c>
      <c r="AS43" s="16">
        <f>IF(ISNA(VLOOKUP(A43,'Données projet'!$A$61:$I$81,6,0)),0%,VLOOKUP(A43,'Données projet'!$A$61:$I$81,6,0)*VLOOKUP('Données projet'!$B$10,Paramètres!$A$1:$I$89,7,0))</f>
        <v>0.10200000000000001</v>
      </c>
      <c r="AT43" s="16">
        <f>IF(ISNA(VLOOKUP(A43,'Données projet'!$A$61:$I$81,7,0)),0%,VLOOKUP(A43,'Données projet'!$A$61:$I$81,7,0))</f>
        <v>0.13</v>
      </c>
      <c r="AU43" s="21">
        <f>EXP(-LN(2)/35)*AU42+(1-EXP(-LN(2)/35))/(LN(2)/35)*AQ43*AR43*VLOOKUP('Données projet'!$B$10,Paramètres!$A$1:$I$89,3,0)*0.475*44/12</f>
        <v>19.902919456713096</v>
      </c>
      <c r="AV43" s="21">
        <f>EXP(-LN(2)/25)*AV42+(1-EXP(-LN(2)/25))/(LN(2)/25)*Calculateur!AQ43*Calculateur!AS43*VLOOKUP('Données projet'!$B$10,Paramètres!$A$1:$I$89,3,0)*0.475*44/12</f>
        <v>7.3837238229555515</v>
      </c>
      <c r="AW43" s="21">
        <f>EXP(-LN(2)/2)*AW42+(1-EXP(-LN(2)/2))/(LN(2)/2)*AQ43*AT43*VLOOKUP('Données projet'!$B$10,Paramètres!$A$1:$I$89,3,0)*0.475*44/12</f>
        <v>2.3557777673839566</v>
      </c>
      <c r="AX43" s="21">
        <f t="shared" si="6"/>
        <v>29.642421047052604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332</v>
      </c>
      <c r="BB43" s="12">
        <f>VLOOKUP(A43,'Données projet'!$A$87:$I$107,9,0)</f>
        <v>17.600000000000001</v>
      </c>
      <c r="BC43" s="12">
        <f t="array" ref="BC43">INDEX(BB:BB,MIN(IF(ISNUMBER(BB43:BB239),ROW(BB43:BB239),"")))</f>
        <v>17.600000000000001</v>
      </c>
      <c r="BD43" s="12">
        <f>IF('Données projet'!$A$88&gt;35,BD42+BC43-BL42,IF(A43&lt;'Données projet'!$A$88,$BA$205^A43,IF(A43='Données projet'!$A$88,'Données projet'!$B$88,BD42+BC43-BL42)))</f>
        <v>332.00000000000006</v>
      </c>
      <c r="BE43" s="13">
        <f>BD43*VLOOKUP('Données projet'!$B$11,Paramètres!$A$1:$I$89,3,0)*VLOOKUP('Données projet'!$B$11,Paramètres!$A$1:$I$89,5,0)</f>
        <v>198.53600000000003</v>
      </c>
      <c r="BF43" s="13">
        <f t="shared" si="37"/>
        <v>49.42228739122875</v>
      </c>
      <c r="BG43" s="20">
        <f t="shared" si="7"/>
        <v>431.86068387305681</v>
      </c>
      <c r="BH43" s="59">
        <f t="shared" si="8"/>
        <v>725.19401720639007</v>
      </c>
      <c r="BI43" s="59">
        <f ca="1">AVERAGE(OFFSET($BH$3,0,0,'Données projet'!$E$11+1,1))-AVERAGE(OFFSET($H$3,0,0,'Données projet'!$E$11+1,1))</f>
        <v>260.97162394079265</v>
      </c>
      <c r="BJ43" s="59">
        <f t="shared" si="38"/>
        <v>279.1836614199691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48</v>
      </c>
      <c r="BM43" s="16">
        <f>IF(ISNA(VLOOKUP(A43,'Données projet'!$A$87:$I$107,5,0)),0%,VLOOKUP(A43,'Données projet'!$A$87:$I$107,5,0)*VLOOKUP('Données projet'!$B$11,Paramètres!$A$1:$I$89,7,0))</f>
        <v>0.315</v>
      </c>
      <c r="BN43" s="16">
        <f>IF(ISNA(VLOOKUP(A43,'Données projet'!$A$87:$I$107,6,0)),0%,VLOOKUP(A43,'Données projet'!$A$87:$I$107,6,0)*VLOOKUP('Données projet'!$B$11,Paramètres!$A$1:$I$89,7,0))</f>
        <v>7.6500000000000012E-2</v>
      </c>
      <c r="BO43" s="16">
        <f>IF(ISNA(VLOOKUP(A43,'Données projet'!$A$87:$I$107,7,0)),0%,VLOOKUP(A43,'Données projet'!$A$87:$I$107,7,0))</f>
        <v>0.13</v>
      </c>
      <c r="BP43" s="21">
        <f>EXP(-LN(2)/35)*BP42+(1-EXP(-LN(2)/35))/(LN(2)/35)*BL43*BM43*VLOOKUP('Données projet'!$B$11,Paramètres!$A$1:$I$89,3,0)*0.475*44/12</f>
        <v>42.195773959006807</v>
      </c>
      <c r="BQ43" s="21">
        <f>EXP(-LN(2)/25)*BQ42+(1-EXP(-LN(2)/25))/(LN(2)/25)*Calculateur!BL43*Calculateur!BN43*VLOOKUP('Données projet'!$B$11,Paramètres!$A$1:$I$89,3,0)*0.475*44/12</f>
        <v>11.420652101942466</v>
      </c>
      <c r="BR43" s="21">
        <f>EXP(-LN(2)/2)*BR42+(1-EXP(-LN(2)/2))/(LN(2)/2)*BL43*BO43*VLOOKUP('Données projet'!$B$11,Paramètres!$A$1:$I$89,3,0)*0.475*44/12</f>
        <v>5.2511406700005079</v>
      </c>
      <c r="BS43" s="22">
        <f t="shared" si="9"/>
        <v>58.867566730949783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</v>
      </c>
      <c r="BZ43" s="13">
        <f>BY43*VLOOKUP('Données projet'!$B$12,Paramètres!$A$1:$I$89,3,0)*VLOOKUP('Données projet'!$B$12,Paramètres!$A$1:$I$89,5,0)</f>
        <v>157.87200000000001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638.59117190026234</v>
      </c>
      <c r="CD43" s="59">
        <f ca="1">AVERAGE(OFFSET($CC$3,0,0,'Données projet'!$E$12+1,1))-AVERAGE(OFFSET($H$3,0,0,'Données projet'!$E$12+1,1))</f>
        <v>264.70281355687837</v>
      </c>
      <c r="CE43" s="59">
        <f t="shared" si="40"/>
        <v>199.74194600786768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0.315</v>
      </c>
      <c r="CI43" s="16">
        <f>IF(ISNA(VLOOKUP(A43,'Données projet'!$A$113:$I$133,6,0)),0%,VLOOKUP(A43,'Données projet'!$A$113:$I$133,6,0)*VLOOKUP('Données projet'!$B$12,Paramètres!$A$1:$I$89,7,0))</f>
        <v>7.6500000000000012E-2</v>
      </c>
      <c r="CJ43" s="16">
        <f>IF(ISNA(VLOOKUP(A43,'Données projet'!$A$113:$I$133,7,0)),0%,VLOOKUP(A43,'Données projet'!$A$113:$I$133,7,0))</f>
        <v>0.13</v>
      </c>
      <c r="CK43" s="21">
        <f>EXP(-LN(2)/35)*CK42+(1-EXP(-LN(2)/35))/(LN(2)/35)*CG43*CH43*VLOOKUP('Données projet'!$B$12,Paramètres!$A$1:$I$89,3,0)*0.475*44/12</f>
        <v>26.494319410996845</v>
      </c>
      <c r="CL43" s="21">
        <f>EXP(-LN(2)/25)*CL42+(1-EXP(-LN(2)/25))/(LN(2)/25)*Calculateur!CG43*Calculateur!CI43*VLOOKUP('Données projet'!$B$12,Paramètres!$A$1:$I$89,3,0)*0.475*44/12</f>
        <v>8.4267286516661919</v>
      </c>
      <c r="CM43" s="21">
        <f>EXP(-LN(2)/2)*CM42+(1-EXP(-LN(2)/2))/(LN(2)/2)*CG43*CJ43*VLOOKUP('Données projet'!$B$12,Paramètres!$A$1:$I$89,3,0)*0.475*44/12</f>
        <v>4.3682614307564407</v>
      </c>
      <c r="CN43" s="22">
        <f t="shared" si="12"/>
        <v>39.289309493419474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198</v>
      </c>
      <c r="CR43" s="12">
        <f>VLOOKUP(A43,'Données projet'!$A$139:$I$159,9,0)</f>
        <v>12</v>
      </c>
      <c r="CS43" s="12">
        <f t="array" ref="CS43">INDEX(CR:CR,MIN(IF(ISNUMBER(CR43:CR239),ROW(CR43:CR239),"")))</f>
        <v>12</v>
      </c>
      <c r="CT43" s="12">
        <f>IF('Données projet'!$A$140&gt;35,CT42+CS43-DB42,IF(A43&lt;'Données projet'!$A$140,$CQ$205^A43,IF(A43='Données projet'!$A$140,'Données projet'!$B$140,CT42+CS43-DB42)))</f>
        <v>198</v>
      </c>
      <c r="CU43" s="17">
        <f>CT43*VLOOKUP('Données projet'!$B$13,Paramètres!$A$1:$I$89,3,0)*VLOOKUP('Données projet'!$B$13,Paramètres!$A$1:$I$89,5,0)</f>
        <v>113.25600000000001</v>
      </c>
      <c r="CV43" s="13">
        <f t="shared" si="41"/>
        <v>30.096816336106439</v>
      </c>
      <c r="CW43" s="20">
        <f t="shared" si="13"/>
        <v>249.67282178538542</v>
      </c>
      <c r="CX43" s="59">
        <f t="shared" si="14"/>
        <v>543.00615511871877</v>
      </c>
      <c r="CY43" s="59">
        <f ca="1">AVERAGE(OFFSET($CX$3,0,0,'Données projet'!$E$13+1,1))-AVERAGE(OFFSET($H$3,0,0,'Données projet'!$E$13+1,1))</f>
        <v>149.8619613776458</v>
      </c>
      <c r="CZ43" s="59">
        <f t="shared" si="42"/>
        <v>108.55560257938146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37</v>
      </c>
      <c r="DC43" s="16">
        <f>IF(ISNA(VLOOKUP(A43,'Données projet'!$A$139:$I$159,5,0)),0%,VLOOKUP(A43,'Données projet'!$A$139:$I$159,5,0)*VLOOKUP('Données projet'!$B$13,Paramètres!$A$1:$I$89,7,0))</f>
        <v>0.315</v>
      </c>
      <c r="DD43" s="16">
        <f>IF(ISNA(VLOOKUP(A43,'Données projet'!$A$139:$I$159,6,0)),0%,VLOOKUP(A43,'Données projet'!$A$139:$I$159,6,0)*VLOOKUP('Données projet'!$B$13,Paramètres!$A$1:$I$89,7,0))</f>
        <v>7.6500000000000012E-2</v>
      </c>
      <c r="DE43" s="16">
        <f>IF(ISNA(VLOOKUP(A43,'Données projet'!$A$139:$I$159,7,0)),0%,VLOOKUP(A43,'Données projet'!$A$139:$I$159,7,0))</f>
        <v>0.13</v>
      </c>
      <c r="DF43" s="21">
        <f>EXP(-LN(2)/35)*DF42+(1-EXP(-LN(2)/35))/(LN(2)/35)*DB43*DC43*VLOOKUP('Données projet'!$B$13,Paramètres!$A$1:$I$89,3,0)*0.475*44/12</f>
        <v>19.415141930259804</v>
      </c>
      <c r="DG43" s="21">
        <f>EXP(-LN(2)/25)*DG42+(1-EXP(-LN(2)/25))/(LN(2)/25)*Calculateur!DB43*Calculateur!DD43*VLOOKUP('Données projet'!$B$13,Paramètres!$A$1:$I$89,3,0)*0.475*44/12</f>
        <v>6.0644208390525085</v>
      </c>
      <c r="DH43" s="21">
        <f>EXP(-LN(2)/2)*DH42+(1-EXP(-LN(2)/2))/(LN(2)/2)*DB43*DE43*VLOOKUP('Données projet'!$B$13,Paramètres!$A$1:$I$89,3,0)*0.475*44/12</f>
        <v>3.6112703750026758</v>
      </c>
      <c r="DI43" s="22">
        <f t="shared" si="15"/>
        <v>29.090833144314988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1">
        <f t="shared" si="32"/>
        <v>10.193265358024181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67">
        <f t="shared" si="1"/>
        <v>369.01304383189211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24.8</v>
      </c>
      <c r="N44" s="13">
        <f>IF('Données projet'!$A$36&gt;35,N43+M44-V43,IF(A44&lt;'Données projet'!$A$36,$K$205^A44,IF(A44='Données projet'!$A$36,'Données projet'!$B$36,N43+M44-V43)))</f>
        <v>586.79999999999984</v>
      </c>
      <c r="O44" s="13">
        <f>N44*VLOOKUP('Données projet'!$B$9,Paramètres!$A$1:$I$89,3,0)*VLOOKUP('Données projet'!$B$9,Paramètres!$A$1:$I$89,5,0)</f>
        <v>328.02119999999991</v>
      </c>
      <c r="P44" s="13">
        <f t="shared" si="33"/>
        <v>77.019907950957702</v>
      </c>
      <c r="Q44" s="20">
        <f t="shared" si="53"/>
        <v>705.44659634791776</v>
      </c>
      <c r="R44" s="59">
        <f t="shared" si="0"/>
        <v>998.77992968125113</v>
      </c>
      <c r="S44" s="59">
        <f ca="1">AVERAGE(OFFSET($R$3,0,0,'Données projet'!$E$9+1,1))-AVERAGE(OFFSET($H$3,0,0,'Données projet'!$E$9+1,1))</f>
        <v>467.03705646400994</v>
      </c>
      <c r="T44" s="59">
        <f t="shared" si="34"/>
        <v>575.68119027684361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72.947649192173515</v>
      </c>
      <c r="AA44" s="21">
        <f>EXP(-LN(2)/25)*AA43+(1-EXP(-LN(2)/25))/(LN(2)/25)*Calculateur!V44*Calculateur!X44*VLOOKUP('Données projet'!$B$9,Paramètres!$A$1:$I$89,3,0)*0.475*44/12</f>
        <v>22.088421497050131</v>
      </c>
      <c r="AB44" s="21">
        <f>EXP(-LN(2)/2)*AB43+(1-EXP(-LN(2)/2))/(LN(2)/2)*V44*Y44*VLOOKUP('Données projet'!$B$9,Paramètres!$A$1:$I$89,3,0)*0.475*44/12</f>
        <v>5.4115795856240503</v>
      </c>
      <c r="AC44" s="22">
        <f t="shared" si="3"/>
        <v>100.4476502748477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12.6</v>
      </c>
      <c r="AI44" s="13">
        <f>IF('Données projet'!$A$62&gt;35,AI43+AH44-AQ43,IF(A44&lt;'Données projet'!$A$62,$AF$205^A44,IF(A44='Données projet'!$A$62,'Données projet'!$B$62,AI43+AH44-AQ43)))</f>
        <v>209.6</v>
      </c>
      <c r="AJ44" s="13">
        <f>AI44*VLOOKUP('Données projet'!$B$10,Paramètres!$A$1:$I$89,3,0)*VLOOKUP('Données projet'!$B$10,Paramètres!$A$1:$I$89,5,0)</f>
        <v>130.79040000000001</v>
      </c>
      <c r="AK44" s="13">
        <f t="shared" si="35"/>
        <v>34.178933083755929</v>
      </c>
      <c r="AL44" s="20">
        <f t="shared" si="4"/>
        <v>287.32158845420821</v>
      </c>
      <c r="AM44" s="59">
        <f t="shared" si="5"/>
        <v>580.65492178754153</v>
      </c>
      <c r="AN44" s="59">
        <f ca="1">AVERAGE(OFFSET($AM$3,0,0,'Données projet'!$E$10+1,1))-AVERAGE(OFFSET($H$3,0,0,'Données projet'!$E$10+1,1))</f>
        <v>252.44760109054914</v>
      </c>
      <c r="AO44" s="59">
        <f t="shared" si="36"/>
        <v>121.75506329394773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19.512635345749135</v>
      </c>
      <c r="AV44" s="21">
        <f>EXP(-LN(2)/25)*AV43+(1-EXP(-LN(2)/25))/(LN(2)/25)*Calculateur!AQ44*Calculateur!AS44*VLOOKUP('Données projet'!$B$10,Paramètres!$A$1:$I$89,3,0)*0.475*44/12</f>
        <v>7.1818155067236722</v>
      </c>
      <c r="AW44" s="21">
        <f>EXP(-LN(2)/2)*AW43+(1-EXP(-LN(2)/2))/(LN(2)/2)*AQ44*AT44*VLOOKUP('Données projet'!$B$10,Paramètres!$A$1:$I$89,3,0)*0.475*44/12</f>
        <v>1.6657864342857009</v>
      </c>
      <c r="AX44" s="21">
        <f t="shared" si="6"/>
        <v>28.360237286758508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</v>
      </c>
      <c r="BD44" s="12">
        <f>IF('Données projet'!$A$88&gt;35,BD43+BC44-BL43,IF(A44&lt;'Données projet'!$A$88,$BA$205^A44,IF(A44='Données projet'!$A$88,'Données projet'!$B$88,BD43+BC44-BL43)))</f>
        <v>304.00000000000006</v>
      </c>
      <c r="BE44" s="13">
        <f>BD44*VLOOKUP('Données projet'!$B$11,Paramètres!$A$1:$I$89,3,0)*VLOOKUP('Données projet'!$B$11,Paramètres!$A$1:$I$89,5,0)</f>
        <v>181.79200000000006</v>
      </c>
      <c r="BF44" s="13">
        <f t="shared" si="37"/>
        <v>45.720642997712531</v>
      </c>
      <c r="BG44" s="20">
        <f t="shared" si="7"/>
        <v>396.25118655434943</v>
      </c>
      <c r="BH44" s="59">
        <f t="shared" si="8"/>
        <v>689.58451988768275</v>
      </c>
      <c r="BI44" s="59">
        <f ca="1">AVERAGE(OFFSET($BH$3,0,0,'Données projet'!$E$11+1,1))-AVERAGE(OFFSET($H$3,0,0,'Données projet'!$E$11+1,1))</f>
        <v>260.97162394079265</v>
      </c>
      <c r="BJ44" s="59">
        <f t="shared" si="38"/>
        <v>279.1836614199691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41.368340568551496</v>
      </c>
      <c r="BQ44" s="21">
        <f>EXP(-LN(2)/25)*BQ43+(1-EXP(-LN(2)/25))/(LN(2)/25)*Calculateur!BL44*Calculateur!BN44*VLOOKUP('Données projet'!$B$11,Paramètres!$A$1:$I$89,3,0)*0.475*44/12</f>
        <v>11.108353769628858</v>
      </c>
      <c r="BR44" s="21">
        <f>EXP(-LN(2)/2)*BR43+(1-EXP(-LN(2)/2))/(LN(2)/2)*BL44*BO44*VLOOKUP('Données projet'!$B$11,Paramètres!$A$1:$I$89,3,0)*0.475*44/12</f>
        <v>3.7131171767218301</v>
      </c>
      <c r="BS44" s="22">
        <f t="shared" si="9"/>
        <v>56.189811514902182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16.600000000000001</v>
      </c>
      <c r="BY44" s="12">
        <f>IF('Données projet'!$A$114&gt;35,BY43+BX44-CG43,IF(A44&lt;'Données projet'!$A$114,$BV$205^A44,IF(A44='Données projet'!$A$114,'Données projet'!$B$114,BY43+BX44-CG43)))</f>
        <v>239.60000000000002</v>
      </c>
      <c r="BZ44" s="13">
        <f>BY44*VLOOKUP('Données projet'!$B$12,Paramètres!$A$1:$I$89,3,0)*VLOOKUP('Données projet'!$B$12,Paramètres!$A$1:$I$89,5,0)</f>
        <v>143.28080000000003</v>
      </c>
      <c r="CA44" s="13">
        <f t="shared" si="39"/>
        <v>37.047574465948976</v>
      </c>
      <c r="CB44" s="20">
        <f t="shared" si="10"/>
        <v>314.07191886152782</v>
      </c>
      <c r="CC44" s="59">
        <f t="shared" si="11"/>
        <v>607.40525219486108</v>
      </c>
      <c r="CD44" s="59">
        <f ca="1">AVERAGE(OFFSET($CC$3,0,0,'Données projet'!$E$12+1,1))-AVERAGE(OFFSET($H$3,0,0,'Données projet'!$E$12+1,1))</f>
        <v>264.70281355687837</v>
      </c>
      <c r="CE44" s="59">
        <f t="shared" si="40"/>
        <v>199.74194600786768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25.974781967286376</v>
      </c>
      <c r="CL44" s="21">
        <f>EXP(-LN(2)/25)*CL43+(1-EXP(-LN(2)/25))/(LN(2)/25)*Calculateur!CG44*Calculateur!CI44*VLOOKUP('Données projet'!$B$12,Paramètres!$A$1:$I$89,3,0)*0.475*44/12</f>
        <v>8.1962993135439799</v>
      </c>
      <c r="CM44" s="21">
        <f>EXP(-LN(2)/2)*CM43+(1-EXP(-LN(2)/2))/(LN(2)/2)*CG44*CJ44*VLOOKUP('Données projet'!$B$12,Paramètres!$A$1:$I$89,3,0)*0.475*44/12</f>
        <v>3.0888272796835299</v>
      </c>
      <c r="CN44" s="22">
        <f t="shared" si="12"/>
        <v>37.259908560513885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9.6999999999999993</v>
      </c>
      <c r="CT44" s="12">
        <f>IF('Données projet'!$A$140&gt;35,CT43+CS44-DB43,IF(A44&lt;'Données projet'!$A$140,$CQ$205^A44,IF(A44='Données projet'!$A$140,'Données projet'!$B$140,CT43+CS44-DB43)))</f>
        <v>170.7</v>
      </c>
      <c r="CU44" s="17">
        <f>CT44*VLOOKUP('Données projet'!$B$13,Paramètres!$A$1:$I$89,3,0)*VLOOKUP('Données projet'!$B$13,Paramètres!$A$1:$I$89,5,0)</f>
        <v>97.640399999999985</v>
      </c>
      <c r="CV44" s="13">
        <f t="shared" si="41"/>
        <v>26.39907653923931</v>
      </c>
      <c r="CW44" s="20">
        <f t="shared" si="13"/>
        <v>216.0354216391751</v>
      </c>
      <c r="CX44" s="59">
        <f t="shared" si="14"/>
        <v>509.36875497250844</v>
      </c>
      <c r="CY44" s="59">
        <f ca="1">AVERAGE(OFFSET($CX$3,0,0,'Données projet'!$E$13+1,1))-AVERAGE(OFFSET($H$3,0,0,'Données projet'!$E$13+1,1))</f>
        <v>149.8619613776458</v>
      </c>
      <c r="CZ44" s="59">
        <f t="shared" si="42"/>
        <v>108.55560257938146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19.034422839074679</v>
      </c>
      <c r="DG44" s="21">
        <f>EXP(-LN(2)/25)*DG43+(1-EXP(-LN(2)/25))/(LN(2)/25)*Calculateur!DB44*Calculateur!DD44*VLOOKUP('Données projet'!$B$13,Paramètres!$A$1:$I$89,3,0)*0.475*44/12</f>
        <v>5.8985889322945866</v>
      </c>
      <c r="DH44" s="21">
        <f>EXP(-LN(2)/2)*DH43+(1-EXP(-LN(2)/2))/(LN(2)/2)*DB44*DE44*VLOOKUP('Données projet'!$B$13,Paramètres!$A$1:$I$89,3,0)*0.475*44/12</f>
        <v>2.5535537708624787</v>
      </c>
      <c r="DI44" s="22">
        <f t="shared" si="15"/>
        <v>27.486565542231745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1">
        <f t="shared" si="32"/>
        <v>10.41263361705931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67">
        <f t="shared" si="1"/>
        <v>370.80795021637823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24.8</v>
      </c>
      <c r="N45" s="13">
        <f>IF('Données projet'!$A$36&gt;35,N44+M45-V44,IF(A45&lt;'Données projet'!$A$36,$K$205^A45,IF(A45='Données projet'!$A$36,'Données projet'!$B$36,N44+M45-V44)))</f>
        <v>611.5999999999998</v>
      </c>
      <c r="O45" s="13">
        <f>N45*VLOOKUP('Données projet'!$B$9,Paramètres!$A$1:$I$89,3,0)*VLOOKUP('Données projet'!$B$9,Paramètres!$A$1:$I$89,5,0)</f>
        <v>341.88439999999986</v>
      </c>
      <c r="P45" s="13">
        <f t="shared" si="33"/>
        <v>79.889150066970018</v>
      </c>
      <c r="Q45" s="20">
        <f t="shared" si="53"/>
        <v>734.58893303330581</v>
      </c>
      <c r="R45" s="59">
        <f t="shared" si="0"/>
        <v>1027.9222663666392</v>
      </c>
      <c r="S45" s="59">
        <f ca="1">AVERAGE(OFFSET($R$3,0,0,'Données projet'!$E$9+1,1))-AVERAGE(OFFSET($H$3,0,0,'Données projet'!$E$9+1,1))</f>
        <v>467.03705646400994</v>
      </c>
      <c r="T45" s="59">
        <f t="shared" si="34"/>
        <v>575.68119027684361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71.51719028518761</v>
      </c>
      <c r="AA45" s="21">
        <f>EXP(-LN(2)/25)*AA44+(1-EXP(-LN(2)/25))/(LN(2)/25)*Calculateur!V45*Calculateur!X45*VLOOKUP('Données projet'!$B$9,Paramètres!$A$1:$I$89,3,0)*0.475*44/12</f>
        <v>21.484412449633691</v>
      </c>
      <c r="AB45" s="21">
        <f>EXP(-LN(2)/2)*AB44+(1-EXP(-LN(2)/2))/(LN(2)/2)*V45*Y45*VLOOKUP('Données projet'!$B$9,Paramètres!$A$1:$I$89,3,0)*0.475*44/12</f>
        <v>3.8265646219254532</v>
      </c>
      <c r="AC45" s="22">
        <f t="shared" si="3"/>
        <v>96.828167356746761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12.6</v>
      </c>
      <c r="AI45" s="13">
        <f>IF('Données projet'!$A$62&gt;35,AI44+AH45-AQ44,IF(A45&lt;'Données projet'!$A$62,$AF$205^A45,IF(A45='Données projet'!$A$62,'Données projet'!$B$62,AI44+AH45-AQ44)))</f>
        <v>222.2</v>
      </c>
      <c r="AJ45" s="13">
        <f>AI45*VLOOKUP('Données projet'!$B$10,Paramètres!$A$1:$I$89,3,0)*VLOOKUP('Données projet'!$B$10,Paramètres!$A$1:$I$89,5,0)</f>
        <v>138.65279999999998</v>
      </c>
      <c r="AK45" s="13">
        <f t="shared" si="35"/>
        <v>35.988207425588634</v>
      </c>
      <c r="AL45" s="20">
        <f t="shared" si="4"/>
        <v>304.1664212662335</v>
      </c>
      <c r="AM45" s="59">
        <f t="shared" si="5"/>
        <v>597.49975459956681</v>
      </c>
      <c r="AN45" s="59">
        <f ca="1">AVERAGE(OFFSET($AM$3,0,0,'Données projet'!$E$10+1,1))-AVERAGE(OFFSET($H$3,0,0,'Données projet'!$E$10+1,1))</f>
        <v>252.44760109054914</v>
      </c>
      <c r="AO45" s="59">
        <f t="shared" si="36"/>
        <v>121.75506329394773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19.130004468151377</v>
      </c>
      <c r="AV45" s="21">
        <f>EXP(-LN(2)/25)*AV44+(1-EXP(-LN(2)/25))/(LN(2)/25)*Calculateur!AQ45*Calculateur!AS45*VLOOKUP('Données projet'!$B$10,Paramètres!$A$1:$I$89,3,0)*0.475*44/12</f>
        <v>6.9854283840170499</v>
      </c>
      <c r="AW45" s="21">
        <f>EXP(-LN(2)/2)*AW44+(1-EXP(-LN(2)/2))/(LN(2)/2)*AQ45*AT45*VLOOKUP('Données projet'!$B$10,Paramètres!$A$1:$I$89,3,0)*0.475*44/12</f>
        <v>1.1778888836919785</v>
      </c>
      <c r="AX45" s="21">
        <f t="shared" si="6"/>
        <v>27.293321735860403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</v>
      </c>
      <c r="BD45" s="12">
        <f>IF('Données projet'!$A$88&gt;35,BD44+BC45-BL44,IF(A45&lt;'Données projet'!$A$88,$BA$205^A45,IF(A45='Données projet'!$A$88,'Données projet'!$B$88,BD44+BC45-BL44)))</f>
        <v>324.00000000000006</v>
      </c>
      <c r="BE45" s="13">
        <f>BD45*VLOOKUP('Données projet'!$B$11,Paramètres!$A$1:$I$89,3,0)*VLOOKUP('Données projet'!$B$11,Paramètres!$A$1:$I$89,5,0)</f>
        <v>193.75200000000004</v>
      </c>
      <c r="BF45" s="13">
        <f t="shared" si="37"/>
        <v>48.368520355376113</v>
      </c>
      <c r="BG45" s="20">
        <f t="shared" si="7"/>
        <v>421.69323961894679</v>
      </c>
      <c r="BH45" s="59">
        <f t="shared" si="8"/>
        <v>715.02657295228005</v>
      </c>
      <c r="BI45" s="59">
        <f ca="1">AVERAGE(OFFSET($BH$3,0,0,'Données projet'!$E$11+1,1))-AVERAGE(OFFSET($H$3,0,0,'Données projet'!$E$11+1,1))</f>
        <v>260.97162394079265</v>
      </c>
      <c r="BJ45" s="59">
        <f t="shared" si="38"/>
        <v>279.1836614199691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40.557132642198475</v>
      </c>
      <c r="BQ45" s="21">
        <f>EXP(-LN(2)/25)*BQ44+(1-EXP(-LN(2)/25))/(LN(2)/25)*Calculateur!BL45*Calculateur!BN45*VLOOKUP('Données projet'!$B$11,Paramètres!$A$1:$I$89,3,0)*0.475*44/12</f>
        <v>10.804595251635421</v>
      </c>
      <c r="BR45" s="21">
        <f>EXP(-LN(2)/2)*BR44+(1-EXP(-LN(2)/2))/(LN(2)/2)*BL45*BO45*VLOOKUP('Données projet'!$B$11,Paramètres!$A$1:$I$89,3,0)*0.475*44/12</f>
        <v>2.6255703350002544</v>
      </c>
      <c r="BS45" s="22">
        <f t="shared" si="9"/>
        <v>53.987298228834149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16.600000000000001</v>
      </c>
      <c r="BY45" s="12">
        <f>IF('Données projet'!$A$114&gt;35,BY44+BX45-CG44,IF(A45&lt;'Données projet'!$A$114,$BV$205^A45,IF(A45='Données projet'!$A$114,'Données projet'!$B$114,BY44+BX45-CG44)))</f>
        <v>256.20000000000005</v>
      </c>
      <c r="BZ45" s="13">
        <f>BY45*VLOOKUP('Données projet'!$B$12,Paramètres!$A$1:$I$89,3,0)*VLOOKUP('Données projet'!$B$12,Paramètres!$A$1:$I$89,5,0)</f>
        <v>153.20760000000004</v>
      </c>
      <c r="CA45" s="13">
        <f t="shared" si="39"/>
        <v>39.306624169832133</v>
      </c>
      <c r="CB45" s="20">
        <f t="shared" si="10"/>
        <v>335.29560709579101</v>
      </c>
      <c r="CC45" s="59">
        <f t="shared" si="11"/>
        <v>628.62894042912433</v>
      </c>
      <c r="CD45" s="59">
        <f ca="1">AVERAGE(OFFSET($CC$3,0,0,'Données projet'!$E$12+1,1))-AVERAGE(OFFSET($H$3,0,0,'Données projet'!$E$12+1,1))</f>
        <v>264.70281355687837</v>
      </c>
      <c r="CE45" s="59">
        <f t="shared" si="40"/>
        <v>199.74194600786768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25.465432335960518</v>
      </c>
      <c r="CL45" s="21">
        <f>EXP(-LN(2)/25)*CL44+(1-EXP(-LN(2)/25))/(LN(2)/25)*Calculateur!CG45*Calculateur!CI45*VLOOKUP('Données projet'!$B$12,Paramètres!$A$1:$I$89,3,0)*0.475*44/12</f>
        <v>7.9721710777904722</v>
      </c>
      <c r="CM45" s="21">
        <f>EXP(-LN(2)/2)*CM44+(1-EXP(-LN(2)/2))/(LN(2)/2)*CG45*CJ45*VLOOKUP('Données projet'!$B$12,Paramètres!$A$1:$I$89,3,0)*0.475*44/12</f>
        <v>2.1841307153782208</v>
      </c>
      <c r="CN45" s="22">
        <f t="shared" si="12"/>
        <v>35.621734129129216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9.6999999999999993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103.18879999999999</v>
      </c>
      <c r="CV45" s="13">
        <f t="shared" si="41"/>
        <v>27.720291739384383</v>
      </c>
      <c r="CW45" s="20">
        <f t="shared" si="13"/>
        <v>228.00000144609442</v>
      </c>
      <c r="CX45" s="59">
        <f t="shared" si="14"/>
        <v>521.33333477942779</v>
      </c>
      <c r="CY45" s="59">
        <f ca="1">AVERAGE(OFFSET($CX$3,0,0,'Données projet'!$E$13+1,1))-AVERAGE(OFFSET($H$3,0,0,'Données projet'!$E$13+1,1))</f>
        <v>149.8619613776458</v>
      </c>
      <c r="CZ45" s="59">
        <f t="shared" si="42"/>
        <v>108.55560257938146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18.66116941705198</v>
      </c>
      <c r="DG45" s="21">
        <f>EXP(-LN(2)/25)*DG44+(1-EXP(-LN(2)/25))/(LN(2)/25)*Calculateur!DB45*Calculateur!DD45*VLOOKUP('Données projet'!$B$13,Paramètres!$A$1:$I$89,3,0)*0.475*44/12</f>
        <v>5.7372917077476808</v>
      </c>
      <c r="DH45" s="21">
        <f>EXP(-LN(2)/2)*DH44+(1-EXP(-LN(2)/2))/(LN(2)/2)*DB45*DE45*VLOOKUP('Données projet'!$B$13,Paramètres!$A$1:$I$89,3,0)*0.475*44/12</f>
        <v>1.8056351875013381</v>
      </c>
      <c r="DI45" s="22">
        <f t="shared" si="15"/>
        <v>26.204096312300997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1">
        <f t="shared" si="32"/>
        <v>10.631394693688584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67">
        <f t="shared" si="1"/>
        <v>372.60179909150759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24.8</v>
      </c>
      <c r="N46" s="13">
        <f>IF('Données projet'!$A$36&gt;35,N45+M46-V45,IF(A46&lt;'Données projet'!$A$36,$K$205^A46,IF(A46='Données projet'!$A$36,'Données projet'!$B$36,N45+M46-V45)))</f>
        <v>636.39999999999975</v>
      </c>
      <c r="O46" s="13">
        <f>N46*VLOOKUP('Données projet'!$B$9,Paramètres!$A$1:$I$89,3,0)*VLOOKUP('Données projet'!$B$9,Paramètres!$A$1:$I$89,5,0)</f>
        <v>355.74759999999986</v>
      </c>
      <c r="P46" s="13">
        <f t="shared" si="33"/>
        <v>82.744877508992289</v>
      </c>
      <c r="Q46" s="20">
        <f t="shared" si="53"/>
        <v>763.70773166149456</v>
      </c>
      <c r="R46" s="59">
        <f t="shared" si="0"/>
        <v>1057.0410649948278</v>
      </c>
      <c r="S46" s="59">
        <f ca="1">AVERAGE(OFFSET($R$3,0,0,'Données projet'!$E$9+1,1))-AVERAGE(OFFSET($H$3,0,0,'Données projet'!$E$9+1,1))</f>
        <v>467.03705646400994</v>
      </c>
      <c r="T46" s="59">
        <f t="shared" si="34"/>
        <v>575.68119027684361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70.114781804873914</v>
      </c>
      <c r="AA46" s="21">
        <f>EXP(-LN(2)/25)*AA45+(1-EXP(-LN(2)/25))/(LN(2)/25)*Calculateur!V46*Calculateur!X46*VLOOKUP('Données projet'!$B$9,Paramètres!$A$1:$I$89,3,0)*0.475*44/12</f>
        <v>20.896920061382311</v>
      </c>
      <c r="AB46" s="21">
        <f>EXP(-LN(2)/2)*AB45+(1-EXP(-LN(2)/2))/(LN(2)/2)*V46*Y46*VLOOKUP('Données projet'!$B$9,Paramètres!$A$1:$I$89,3,0)*0.475*44/12</f>
        <v>2.7057897928120256</v>
      </c>
      <c r="AC46" s="22">
        <f t="shared" si="3"/>
        <v>93.717491659068259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12.6</v>
      </c>
      <c r="AI46" s="13">
        <f>IF('Données projet'!$A$62&gt;35,AI45+AH46-AQ45,IF(A46&lt;'Données projet'!$A$62,$AF$205^A46,IF(A46='Données projet'!$A$62,'Données projet'!$B$62,AI45+AH46-AQ45)))</f>
        <v>234.79999999999998</v>
      </c>
      <c r="AJ46" s="13">
        <f>AI46*VLOOKUP('Données projet'!$B$10,Paramètres!$A$1:$I$89,3,0)*VLOOKUP('Données projet'!$B$10,Paramètres!$A$1:$I$89,5,0)</f>
        <v>146.51519999999999</v>
      </c>
      <c r="AK46" s="13">
        <f t="shared" si="35"/>
        <v>37.785572168456589</v>
      </c>
      <c r="AL46" s="20">
        <f t="shared" si="4"/>
        <v>320.99051152672854</v>
      </c>
      <c r="AM46" s="59">
        <f t="shared" si="5"/>
        <v>614.32384486006185</v>
      </c>
      <c r="AN46" s="59">
        <f ca="1">AVERAGE(OFFSET($AM$3,0,0,'Données projet'!$E$10+1,1))-AVERAGE(OFFSET($H$3,0,0,'Données projet'!$E$10+1,1))</f>
        <v>252.44760109054914</v>
      </c>
      <c r="AO46" s="59">
        <f t="shared" si="36"/>
        <v>121.75506329394773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18.754876748681518</v>
      </c>
      <c r="AV46" s="21">
        <f>EXP(-LN(2)/25)*AV45+(1-EXP(-LN(2)/25))/(LN(2)/25)*Calculateur!AQ46*Calculateur!AS46*VLOOKUP('Données projet'!$B$10,Paramètres!$A$1:$I$89,3,0)*0.475*44/12</f>
        <v>6.7944114775083904</v>
      </c>
      <c r="AW46" s="21">
        <f>EXP(-LN(2)/2)*AW45+(1-EXP(-LN(2)/2))/(LN(2)/2)*AQ46*AT46*VLOOKUP('Données projet'!$B$10,Paramètres!$A$1:$I$89,3,0)*0.475*44/12</f>
        <v>0.83289321714285069</v>
      </c>
      <c r="AX46" s="21">
        <f t="shared" si="6"/>
        <v>26.382181443332758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</v>
      </c>
      <c r="BD46" s="12">
        <f>IF('Données projet'!$A$88&gt;35,BD45+BC46-BL45,IF(A46&lt;'Données projet'!$A$88,$BA$205^A46,IF(A46='Données projet'!$A$88,'Données projet'!$B$88,BD45+BC46-BL45)))</f>
        <v>344.00000000000006</v>
      </c>
      <c r="BE46" s="13">
        <f>BD46*VLOOKUP('Données projet'!$B$11,Paramètres!$A$1:$I$89,3,0)*VLOOKUP('Données projet'!$B$11,Paramètres!$A$1:$I$89,5,0)</f>
        <v>205.71200000000005</v>
      </c>
      <c r="BF46" s="13">
        <f t="shared" si="37"/>
        <v>50.997427696933762</v>
      </c>
      <c r="BG46" s="20">
        <f t="shared" si="7"/>
        <v>447.10225323882634</v>
      </c>
      <c r="BH46" s="59">
        <f t="shared" si="8"/>
        <v>740.43558657215965</v>
      </c>
      <c r="BI46" s="59">
        <f ca="1">AVERAGE(OFFSET($BH$3,0,0,'Données projet'!$E$11+1,1))-AVERAGE(OFFSET($H$3,0,0,'Données projet'!$E$11+1,1))</f>
        <v>260.97162394079265</v>
      </c>
      <c r="BJ46" s="59">
        <f t="shared" si="38"/>
        <v>279.1836614199691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39.761832008493258</v>
      </c>
      <c r="BQ46" s="21">
        <f>EXP(-LN(2)/25)*BQ45+(1-EXP(-LN(2)/25))/(LN(2)/25)*Calculateur!BL46*Calculateur!BN46*VLOOKUP('Données projet'!$B$11,Paramètres!$A$1:$I$89,3,0)*0.475*44/12</f>
        <v>10.509143026290481</v>
      </c>
      <c r="BR46" s="21">
        <f>EXP(-LN(2)/2)*BR45+(1-EXP(-LN(2)/2))/(LN(2)/2)*BL46*BO46*VLOOKUP('Données projet'!$B$11,Paramètres!$A$1:$I$89,3,0)*0.475*44/12</f>
        <v>1.8565585883609153</v>
      </c>
      <c r="BS46" s="22">
        <f t="shared" si="9"/>
        <v>52.127533623144657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16.600000000000001</v>
      </c>
      <c r="BY46" s="12">
        <f>IF('Données projet'!$A$114&gt;35,BY45+BX46-CG45,IF(A46&lt;'Données projet'!$A$114,$BV$205^A46,IF(A46='Données projet'!$A$114,'Données projet'!$B$114,BY45+BX46-CG45)))</f>
        <v>272.80000000000007</v>
      </c>
      <c r="BZ46" s="13">
        <f>BY46*VLOOKUP('Données projet'!$B$12,Paramètres!$A$1:$I$89,3,0)*VLOOKUP('Données projet'!$B$12,Paramètres!$A$1:$I$89,5,0)</f>
        <v>163.13440000000006</v>
      </c>
      <c r="CA46" s="13">
        <f t="shared" si="39"/>
        <v>41.54868784542596</v>
      </c>
      <c r="CB46" s="20">
        <f t="shared" si="10"/>
        <v>356.48971133078368</v>
      </c>
      <c r="CC46" s="59">
        <f t="shared" si="11"/>
        <v>649.82304466411699</v>
      </c>
      <c r="CD46" s="59">
        <f ca="1">AVERAGE(OFFSET($CC$3,0,0,'Données projet'!$E$12+1,1))-AVERAGE(OFFSET($H$3,0,0,'Données projet'!$E$12+1,1))</f>
        <v>264.70281355687837</v>
      </c>
      <c r="CE46" s="59">
        <f t="shared" si="40"/>
        <v>199.74194600786768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24.966070740232361</v>
      </c>
      <c r="CL46" s="21">
        <f>EXP(-LN(2)/25)*CL45+(1-EXP(-LN(2)/25))/(LN(2)/25)*Calculateur!CG46*Calculateur!CI46*VLOOKUP('Données projet'!$B$12,Paramètres!$A$1:$I$89,3,0)*0.475*44/12</f>
        <v>7.7541716404300356</v>
      </c>
      <c r="CM46" s="21">
        <f>EXP(-LN(2)/2)*CM45+(1-EXP(-LN(2)/2))/(LN(2)/2)*CG46*CJ46*VLOOKUP('Données projet'!$B$12,Paramètres!$A$1:$I$89,3,0)*0.475*44/12</f>
        <v>1.5444136398417652</v>
      </c>
      <c r="CN46" s="22">
        <f t="shared" si="12"/>
        <v>34.264656020504162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9.6999999999999993</v>
      </c>
      <c r="CT46" s="12">
        <f>IF('Données projet'!$A$140&gt;35,CT45+CS46-DB45,IF(A46&lt;'Données projet'!$A$140,$CQ$205^A46,IF(A46='Données projet'!$A$140,'Données projet'!$B$140,CT45+CS46-DB45)))</f>
        <v>190.09999999999997</v>
      </c>
      <c r="CU46" s="17">
        <f>CT46*VLOOKUP('Données projet'!$B$13,Paramètres!$A$1:$I$89,3,0)*VLOOKUP('Données projet'!$B$13,Paramètres!$A$1:$I$89,5,0)</f>
        <v>108.73719999999999</v>
      </c>
      <c r="CV46" s="13">
        <f t="shared" si="41"/>
        <v>29.033259401131801</v>
      </c>
      <c r="CW46" s="20">
        <f t="shared" si="13"/>
        <v>239.95021679030458</v>
      </c>
      <c r="CX46" s="59">
        <f t="shared" si="14"/>
        <v>533.28355012363795</v>
      </c>
      <c r="CY46" s="59">
        <f ca="1">AVERAGE(OFFSET($CX$3,0,0,'Données projet'!$E$13+1,1))-AVERAGE(OFFSET($H$3,0,0,'Données projet'!$E$13+1,1))</f>
        <v>149.8619613776458</v>
      </c>
      <c r="CZ46" s="59">
        <f t="shared" si="42"/>
        <v>108.55560257938146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18.295235266973037</v>
      </c>
      <c r="DG46" s="21">
        <f>EXP(-LN(2)/25)*DG45+(1-EXP(-LN(2)/25))/(LN(2)/25)*Calculateur!DB46*Calculateur!DD46*VLOOKUP('Données projet'!$B$13,Paramètres!$A$1:$I$89,3,0)*0.475*44/12</f>
        <v>5.5804051642882619</v>
      </c>
      <c r="DH46" s="21">
        <f>EXP(-LN(2)/2)*DH45+(1-EXP(-LN(2)/2))/(LN(2)/2)*DB46*DE46*VLOOKUP('Données projet'!$B$13,Paramètres!$A$1:$I$89,3,0)*0.475*44/12</f>
        <v>1.2767768854312396</v>
      </c>
      <c r="DI46" s="22">
        <f t="shared" si="15"/>
        <v>25.152417316692539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1">
        <f t="shared" si="32"/>
        <v>10.849564333613259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67">
        <f t="shared" si="1"/>
        <v>374.39461788104302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24.8</v>
      </c>
      <c r="N47" s="13">
        <f>IF('Données projet'!$A$36&gt;35,N46+M47-V46,IF(A47&lt;'Données projet'!$A$36,$K$205^A47,IF(A47='Données projet'!$A$36,'Données projet'!$B$36,N46+M47-V46)))</f>
        <v>661.1999999999997</v>
      </c>
      <c r="O47" s="13">
        <f>N47*VLOOKUP('Données projet'!$B$9,Paramètres!$A$1:$I$89,3,0)*VLOOKUP('Données projet'!$B$9,Paramètres!$A$1:$I$89,5,0)</f>
        <v>369.61079999999981</v>
      </c>
      <c r="P47" s="13">
        <f t="shared" si="33"/>
        <v>85.587677206936931</v>
      </c>
      <c r="Q47" s="20">
        <f t="shared" si="53"/>
        <v>792.80401446874805</v>
      </c>
      <c r="R47" s="59">
        <f t="shared" si="0"/>
        <v>1086.1373478020814</v>
      </c>
      <c r="S47" s="59">
        <f ca="1">AVERAGE(OFFSET($R$3,0,0,'Données projet'!$E$9+1,1))-AVERAGE(OFFSET($H$3,0,0,'Données projet'!$E$9+1,1))</f>
        <v>467.03705646400994</v>
      </c>
      <c r="T47" s="59">
        <f t="shared" si="34"/>
        <v>575.68119027684361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68.739873699474472</v>
      </c>
      <c r="AA47" s="21">
        <f>EXP(-LN(2)/25)*AA46+(1-EXP(-LN(2)/25))/(LN(2)/25)*Calculateur!V47*Calculateur!X47*VLOOKUP('Données projet'!$B$9,Paramètres!$A$1:$I$89,3,0)*0.475*44/12</f>
        <v>20.325492683382546</v>
      </c>
      <c r="AB47" s="21">
        <f>EXP(-LN(2)/2)*AB46+(1-EXP(-LN(2)/2))/(LN(2)/2)*V47*Y47*VLOOKUP('Données projet'!$B$9,Paramètres!$A$1:$I$89,3,0)*0.475*44/12</f>
        <v>1.9132823109627268</v>
      </c>
      <c r="AC47" s="22">
        <f t="shared" si="3"/>
        <v>90.97864869381975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12.6</v>
      </c>
      <c r="AI47" s="13">
        <f>IF('Données projet'!$A$62&gt;35,AI46+AH47-AQ46,IF(A47&lt;'Données projet'!$A$62,$AF$205^A47,IF(A47='Données projet'!$A$62,'Données projet'!$B$62,AI46+AH47-AQ46)))</f>
        <v>247.39999999999998</v>
      </c>
      <c r="AJ47" s="13">
        <f>AI47*VLOOKUP('Données projet'!$B$10,Paramètres!$A$1:$I$89,3,0)*VLOOKUP('Données projet'!$B$10,Paramètres!$A$1:$I$89,5,0)</f>
        <v>154.37759999999997</v>
      </c>
      <c r="AK47" s="13">
        <f t="shared" si="35"/>
        <v>39.571739282353995</v>
      </c>
      <c r="AL47" s="20">
        <f t="shared" si="4"/>
        <v>337.79509925009984</v>
      </c>
      <c r="AM47" s="59">
        <f t="shared" si="5"/>
        <v>631.1284325834331</v>
      </c>
      <c r="AN47" s="59">
        <f ca="1">AVERAGE(OFFSET($AM$3,0,0,'Données projet'!$E$10+1,1))-AVERAGE(OFFSET($H$3,0,0,'Données projet'!$E$10+1,1))</f>
        <v>252.44760109054914</v>
      </c>
      <c r="AO47" s="59">
        <f t="shared" si="36"/>
        <v>121.75506329394773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18.387105054985149</v>
      </c>
      <c r="AV47" s="21">
        <f>EXP(-LN(2)/25)*AV46+(1-EXP(-LN(2)/25))/(LN(2)/25)*Calculateur!AQ47*Calculateur!AS47*VLOOKUP('Données projet'!$B$10,Paramètres!$A$1:$I$89,3,0)*0.475*44/12</f>
        <v>6.608617938353353</v>
      </c>
      <c r="AW47" s="21">
        <f>EXP(-LN(2)/2)*AW46+(1-EXP(-LN(2)/2))/(LN(2)/2)*AQ47*AT47*VLOOKUP('Données projet'!$B$10,Paramètres!$A$1:$I$89,3,0)*0.475*44/12</f>
        <v>0.58894444184598937</v>
      </c>
      <c r="AX47" s="21">
        <f t="shared" si="6"/>
        <v>25.584667435184492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</v>
      </c>
      <c r="BD47" s="12">
        <f>IF('Données projet'!$A$88&gt;35,BD46+BC47-BL46,IF(A47&lt;'Données projet'!$A$88,$BA$205^A47,IF(A47='Données projet'!$A$88,'Données projet'!$B$88,BD46+BC47-BL46)))</f>
        <v>364.00000000000006</v>
      </c>
      <c r="BE47" s="13">
        <f>BD47*VLOOKUP('Données projet'!$B$11,Paramètres!$A$1:$I$89,3,0)*VLOOKUP('Données projet'!$B$11,Paramètres!$A$1:$I$89,5,0)</f>
        <v>217.67200000000005</v>
      </c>
      <c r="BF47" s="13">
        <f t="shared" si="37"/>
        <v>53.60859357546007</v>
      </c>
      <c r="BG47" s="20">
        <f t="shared" si="7"/>
        <v>472.48036714392634</v>
      </c>
      <c r="BH47" s="59">
        <f t="shared" si="8"/>
        <v>765.81370047725966</v>
      </c>
      <c r="BI47" s="59">
        <f ca="1">AVERAGE(OFFSET($BH$3,0,0,'Données projet'!$E$11+1,1))-AVERAGE(OFFSET($H$3,0,0,'Données projet'!$E$11+1,1))</f>
        <v>260.97162394079265</v>
      </c>
      <c r="BJ47" s="59">
        <f t="shared" si="38"/>
        <v>279.1836614199691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38.982126735129512</v>
      </c>
      <c r="BQ47" s="21">
        <f>EXP(-LN(2)/25)*BQ46+(1-EXP(-LN(2)/25))/(LN(2)/25)*Calculateur!BL47*Calculateur!BN47*VLOOKUP('Données projet'!$B$11,Paramètres!$A$1:$I$89,3,0)*0.475*44/12</f>
        <v>10.221769957584755</v>
      </c>
      <c r="BR47" s="21">
        <f>EXP(-LN(2)/2)*BR46+(1-EXP(-LN(2)/2))/(LN(2)/2)*BL47*BO47*VLOOKUP('Données projet'!$B$11,Paramètres!$A$1:$I$89,3,0)*0.475*44/12</f>
        <v>1.3127851675001274</v>
      </c>
      <c r="BS47" s="22">
        <f t="shared" si="9"/>
        <v>50.516681860214391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16.600000000000001</v>
      </c>
      <c r="BY47" s="12">
        <f>IF('Données projet'!$A$114&gt;35,BY46+BX47-CG46,IF(A47&lt;'Données projet'!$A$114,$BV$205^A47,IF(A47='Données projet'!$A$114,'Données projet'!$B$114,BY46+BX47-CG46)))</f>
        <v>289.40000000000009</v>
      </c>
      <c r="BZ47" s="13">
        <f>BY47*VLOOKUP('Données projet'!$B$12,Paramètres!$A$1:$I$89,3,0)*VLOOKUP('Données projet'!$B$12,Paramètres!$A$1:$I$89,5,0)</f>
        <v>173.06120000000007</v>
      </c>
      <c r="CA47" s="13">
        <f t="shared" si="39"/>
        <v>43.774916798471111</v>
      </c>
      <c r="CB47" s="20">
        <f t="shared" si="10"/>
        <v>377.65623675733724</v>
      </c>
      <c r="CC47" s="59">
        <f t="shared" si="11"/>
        <v>670.98957009067055</v>
      </c>
      <c r="CD47" s="59">
        <f ca="1">AVERAGE(OFFSET($CC$3,0,0,'Données projet'!$E$12+1,1))-AVERAGE(OFFSET($H$3,0,0,'Données projet'!$E$12+1,1))</f>
        <v>264.70281355687837</v>
      </c>
      <c r="CE47" s="59">
        <f t="shared" si="40"/>
        <v>199.74194600786768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24.476501320815935</v>
      </c>
      <c r="CL47" s="21">
        <f>EXP(-LN(2)/25)*CL46+(1-EXP(-LN(2)/25))/(LN(2)/25)*Calculateur!CG47*Calculateur!CI47*VLOOKUP('Données projet'!$B$12,Paramètres!$A$1:$I$89,3,0)*0.475*44/12</f>
        <v>7.5421334091483123</v>
      </c>
      <c r="CM47" s="21">
        <f>EXP(-LN(2)/2)*CM46+(1-EXP(-LN(2)/2))/(LN(2)/2)*CG47*CJ47*VLOOKUP('Données projet'!$B$12,Paramètres!$A$1:$I$89,3,0)*0.475*44/12</f>
        <v>1.0920653576891106</v>
      </c>
      <c r="CN47" s="22">
        <f t="shared" si="12"/>
        <v>33.110700087653356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9.6999999999999993</v>
      </c>
      <c r="CT47" s="12">
        <f>IF('Données projet'!$A$140&gt;35,CT46+CS47-DB46,IF(A47&lt;'Données projet'!$A$140,$CQ$205^A47,IF(A47='Données projet'!$A$140,'Données projet'!$B$140,CT46+CS47-DB46)))</f>
        <v>199.79999999999995</v>
      </c>
      <c r="CU47" s="17">
        <f>CT47*VLOOKUP('Données projet'!$B$13,Paramètres!$A$1:$I$89,3,0)*VLOOKUP('Données projet'!$B$13,Paramètres!$A$1:$I$89,5,0)</f>
        <v>114.28559999999997</v>
      </c>
      <c r="CV47" s="13">
        <f t="shared" si="41"/>
        <v>30.338448371411889</v>
      </c>
      <c r="CW47" s="20">
        <f t="shared" si="13"/>
        <v>251.88688424687567</v>
      </c>
      <c r="CX47" s="59">
        <f t="shared" si="14"/>
        <v>545.22021758020901</v>
      </c>
      <c r="CY47" s="59">
        <f ca="1">AVERAGE(OFFSET($CX$3,0,0,'Données projet'!$E$13+1,1))-AVERAGE(OFFSET($H$3,0,0,'Données projet'!$E$13+1,1))</f>
        <v>149.8619613776458</v>
      </c>
      <c r="CZ47" s="59">
        <f t="shared" si="42"/>
        <v>108.55560257938146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17.936476862379351</v>
      </c>
      <c r="DG47" s="21">
        <f>EXP(-LN(2)/25)*DG46+(1-EXP(-LN(2)/25))/(LN(2)/25)*Calculateur!DB47*Calculateur!DD47*VLOOKUP('Données projet'!$B$13,Paramètres!$A$1:$I$89,3,0)*0.475*44/12</f>
        <v>5.4278086916100463</v>
      </c>
      <c r="DH47" s="21">
        <f>EXP(-LN(2)/2)*DH46+(1-EXP(-LN(2)/2))/(LN(2)/2)*DB47*DE47*VLOOKUP('Données projet'!$B$13,Paramètres!$A$1:$I$89,3,0)*0.475*44/12</f>
        <v>0.90281759375066928</v>
      </c>
      <c r="DI47" s="22">
        <f t="shared" si="15"/>
        <v>24.267103147740066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1">
        <f t="shared" si="32"/>
        <v>11.067157525971371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67">
        <f t="shared" si="1"/>
        <v>376.18643269106678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686</v>
      </c>
      <c r="L48" s="12">
        <f>VLOOKUP(A48,'Données projet'!$A$35:$I$55,9,0)</f>
        <v>24.8</v>
      </c>
      <c r="M48" s="12">
        <f t="array" ref="M48">INDEX(L:L,MIN(IF(ISNUMBER(L48:L244),ROW(L48:L244),"")))</f>
        <v>24.8</v>
      </c>
      <c r="N48" s="13">
        <f>IF('Données projet'!$A$36&gt;35,N47+M48-V47,IF(A48&lt;'Données projet'!$A$36,$K$205^A48,IF(A48='Données projet'!$A$36,'Données projet'!$B$36,N47+M48-V47)))</f>
        <v>685.99999999999966</v>
      </c>
      <c r="O48" s="13">
        <f>N48*VLOOKUP('Données projet'!$B$9,Paramètres!$A$1:$I$89,3,0)*VLOOKUP('Données projet'!$B$9,Paramètres!$A$1:$I$89,5,0)</f>
        <v>383.47399999999982</v>
      </c>
      <c r="P48" s="13">
        <f t="shared" si="33"/>
        <v>88.418089567872116</v>
      </c>
      <c r="Q48" s="20">
        <f t="shared" si="53"/>
        <v>821.87872266404372</v>
      </c>
      <c r="R48" s="59">
        <f t="shared" si="0"/>
        <v>1115.2120559973771</v>
      </c>
      <c r="S48" s="59">
        <f ca="1">AVERAGE(OFFSET($R$3,0,0,'Données projet'!$E$9+1,1))-AVERAGE(OFFSET($H$3,0,0,'Données projet'!$E$9+1,1))</f>
        <v>467.03705646400994</v>
      </c>
      <c r="T48" s="59">
        <f t="shared" si="34"/>
        <v>575.68119027684361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85.663707137165687</v>
      </c>
      <c r="AA48" s="21">
        <f>EXP(-LN(2)/25)*AA47+(1-EXP(-LN(2)/25))/(LN(2)/25)*Calculateur!V48*Calculateur!X48*VLOOKUP('Données projet'!$B$9,Paramètres!$A$1:$I$89,3,0)*0.475*44/12</f>
        <v>24.189651546021132</v>
      </c>
      <c r="AB48" s="21">
        <f>EXP(-LN(2)/2)*AB47+(1-EXP(-LN(2)/2))/(LN(2)/2)*V48*Y48*VLOOKUP('Données projet'!$B$9,Paramètres!$A$1:$I$89,3,0)*0.475*44/12</f>
        <v>6.6187714443259029</v>
      </c>
      <c r="AC48" s="22">
        <f t="shared" si="3"/>
        <v>116.47213012751273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260</v>
      </c>
      <c r="AG48" s="12">
        <f>VLOOKUP(A48,'Données projet'!$A$61:$I$81,9,0)</f>
        <v>12.6</v>
      </c>
      <c r="AH48" s="12">
        <f t="array" ref="AH48">INDEX(AG:AG,MIN(IF(ISNUMBER(AG48:AG244),ROW(AG48:AG244),"")))</f>
        <v>12.6</v>
      </c>
      <c r="AI48" s="13">
        <f>IF('Données projet'!$A$62&gt;35,AI47+AH48-AQ47,IF(A48&lt;'Données projet'!$A$62,$AF$205^A48,IF(A48='Données projet'!$A$62,'Données projet'!$B$62,AI47+AH48-AQ47)))</f>
        <v>260</v>
      </c>
      <c r="AJ48" s="13">
        <f>AI48*VLOOKUP('Données projet'!$B$10,Paramètres!$A$1:$I$89,3,0)*VLOOKUP('Données projet'!$B$10,Paramètres!$A$1:$I$89,5,0)</f>
        <v>162.24</v>
      </c>
      <c r="AK48" s="13">
        <f t="shared" si="35"/>
        <v>41.347344120141088</v>
      </c>
      <c r="AL48" s="20">
        <f t="shared" si="4"/>
        <v>354.58129100924572</v>
      </c>
      <c r="AM48" s="59">
        <f t="shared" si="5"/>
        <v>647.91462434257903</v>
      </c>
      <c r="AN48" s="59">
        <f ca="1">AVERAGE(OFFSET($AM$3,0,0,'Données projet'!$E$10+1,1))-AVERAGE(OFFSET($H$3,0,0,'Données projet'!$E$10+1,1))</f>
        <v>252.44760109054914</v>
      </c>
      <c r="AO48" s="59">
        <f t="shared" si="36"/>
        <v>121.75506329394773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0.42</v>
      </c>
      <c r="AS48" s="16">
        <f>IF(ISNA(VLOOKUP(A48,'Données projet'!$A$61:$I$81,6,0)),0%,VLOOKUP(A48,'Données projet'!$A$61:$I$81,6,0)*VLOOKUP('Données projet'!$B$10,Paramètres!$A$1:$I$89,7,0))</f>
        <v>0.10200000000000001</v>
      </c>
      <c r="AT48" s="16">
        <f>IF(ISNA(VLOOKUP(A48,'Données projet'!$A$61:$I$81,7,0)),0%,VLOOKUP(A48,'Données projet'!$A$61:$I$81,7,0))</f>
        <v>0.13</v>
      </c>
      <c r="AU48" s="21">
        <f>EXP(-LN(2)/35)*AU47+(1-EXP(-LN(2)/35))/(LN(2)/35)*AQ48*AR48*VLOOKUP('Données projet'!$B$10,Paramètres!$A$1:$I$89,3,0)*0.475*44/12</f>
        <v>25.327531401997067</v>
      </c>
      <c r="AV48" s="21">
        <f>EXP(-LN(2)/25)*AV47+(1-EXP(-LN(2)/25))/(LN(2)/25)*Calculateur!AQ48*Calculateur!AS48*VLOOKUP('Données projet'!$B$10,Paramètres!$A$1:$I$89,3,0)*0.475*44/12</f>
        <v>8.1940202397854911</v>
      </c>
      <c r="AW48" s="21">
        <f>EXP(-LN(2)/2)*AW47+(1-EXP(-LN(2)/2))/(LN(2)/2)*AQ48*AT48*VLOOKUP('Données projet'!$B$10,Paramètres!$A$1:$I$89,3,0)*0.475*44/12</f>
        <v>2.3452269720537102</v>
      </c>
      <c r="AX48" s="21">
        <f t="shared" si="6"/>
        <v>35.866778613836267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384</v>
      </c>
      <c r="BB48" s="12">
        <f>VLOOKUP(A48,'Données projet'!$A$87:$I$107,9,0)</f>
        <v>20</v>
      </c>
      <c r="BC48" s="12">
        <f t="array" ref="BC48">INDEX(BB:BB,MIN(IF(ISNUMBER(BB48:BB244),ROW(BB48:BB244),"")))</f>
        <v>20</v>
      </c>
      <c r="BD48" s="12">
        <f>IF('Données projet'!$A$88&gt;35,BD47+BC48-BL47,IF(A48&lt;'Données projet'!$A$88,$BA$205^A48,IF(A48='Données projet'!$A$88,'Données projet'!$B$88,BD47+BC48-BL47)))</f>
        <v>384.00000000000006</v>
      </c>
      <c r="BE48" s="13">
        <f>BD48*VLOOKUP('Données projet'!$B$11,Paramètres!$A$1:$I$89,3,0)*VLOOKUP('Données projet'!$B$11,Paramètres!$A$1:$I$89,5,0)</f>
        <v>229.63200000000006</v>
      </c>
      <c r="BF48" s="13">
        <f t="shared" si="37"/>
        <v>56.20310391330667</v>
      </c>
      <c r="BG48" s="20">
        <f t="shared" si="7"/>
        <v>497.82947264900918</v>
      </c>
      <c r="BH48" s="59">
        <f t="shared" si="8"/>
        <v>791.16280598234243</v>
      </c>
      <c r="BI48" s="59">
        <f ca="1">AVERAGE(OFFSET($BH$3,0,0,'Données projet'!$E$11+1,1))-AVERAGE(OFFSET($H$3,0,0,'Données projet'!$E$11+1,1))</f>
        <v>260.97162394079265</v>
      </c>
      <c r="BJ48" s="59">
        <f t="shared" si="38"/>
        <v>279.1836614199691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0.315</v>
      </c>
      <c r="BN48" s="16">
        <f>IF(ISNA(VLOOKUP(A48,'Données projet'!$A$87:$I$107,6,0)),0%,VLOOKUP(A48,'Données projet'!$A$87:$I$107,6,0)*VLOOKUP('Données projet'!$B$11,Paramètres!$A$1:$I$89,7,0))</f>
        <v>7.6500000000000012E-2</v>
      </c>
      <c r="BO48" s="16">
        <f>IF(ISNA(VLOOKUP(A48,'Données projet'!$A$87:$I$107,7,0)),0%,VLOOKUP(A48,'Données projet'!$A$87:$I$107,7,0))</f>
        <v>0.13</v>
      </c>
      <c r="BP48" s="21">
        <f>EXP(-LN(2)/35)*BP47+(1-EXP(-LN(2)/35))/(LN(2)/35)*BL48*BM48*VLOOKUP('Données projet'!$B$11,Paramètres!$A$1:$I$89,3,0)*0.475*44/12</f>
        <v>52.461152955458509</v>
      </c>
      <c r="BQ48" s="21">
        <f>EXP(-LN(2)/25)*BQ47+(1-EXP(-LN(2)/25))/(LN(2)/25)*Calculateur!BL48*Calculateur!BN48*VLOOKUP('Données projet'!$B$11,Paramètres!$A$1:$I$89,3,0)*0.475*44/12</f>
        <v>13.387756856874208</v>
      </c>
      <c r="BR48" s="21">
        <f>EXP(-LN(2)/2)*BR47+(1-EXP(-LN(2)/2))/(LN(2)/2)*BL48*BO48*VLOOKUP('Données projet'!$B$11,Paramètres!$A$1:$I$89,3,0)*0.475*44/12</f>
        <v>5.9454044063337843</v>
      </c>
      <c r="BS48" s="22">
        <f t="shared" si="9"/>
        <v>71.7943142186665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306</v>
      </c>
      <c r="BW48" s="12">
        <f>VLOOKUP(A48,'Données projet'!$A$113:$I$133,9,0)</f>
        <v>16.600000000000001</v>
      </c>
      <c r="BX48" s="12">
        <f t="array" ref="BX48">INDEX(BW:BW,MIN(IF(ISNUMBER(BW48:BW244),ROW(BW48:BW244),"")))</f>
        <v>16.600000000000001</v>
      </c>
      <c r="BY48" s="12">
        <f>IF('Données projet'!$A$114&gt;35,BY47+BX48-CG47,IF(A48&lt;'Données projet'!$A$114,$BV$205^A48,IF(A48='Données projet'!$A$114,'Données projet'!$B$114,BY47+BX48-CG47)))</f>
        <v>306.00000000000011</v>
      </c>
      <c r="BZ48" s="13">
        <f>BY48*VLOOKUP('Données projet'!$B$12,Paramètres!$A$1:$I$89,3,0)*VLOOKUP('Données projet'!$B$12,Paramètres!$A$1:$I$89,5,0)</f>
        <v>182.98800000000006</v>
      </c>
      <c r="CA48" s="13">
        <f t="shared" si="39"/>
        <v>45.986322796524874</v>
      </c>
      <c r="CB48" s="20">
        <f t="shared" si="10"/>
        <v>398.79694553728086</v>
      </c>
      <c r="CC48" s="59">
        <f t="shared" si="11"/>
        <v>692.13027887061412</v>
      </c>
      <c r="CD48" s="59">
        <f ca="1">AVERAGE(OFFSET($CC$3,0,0,'Données projet'!$E$12+1,1))-AVERAGE(OFFSET($H$3,0,0,'Données projet'!$E$12+1,1))</f>
        <v>264.70281355687837</v>
      </c>
      <c r="CE48" s="59">
        <f t="shared" si="40"/>
        <v>199.74194600786768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41</v>
      </c>
      <c r="CH48" s="16">
        <f>IF(ISNA(VLOOKUP(A48,'Données projet'!$A$113:$I$133,5,0)),0%,VLOOKUP(A48,'Données projet'!$A$113:$I$133,5,0)*VLOOKUP('Données projet'!$B$12,Paramètres!$A$1:$I$89,7,0))</f>
        <v>0.315</v>
      </c>
      <c r="CI48" s="16">
        <f>IF(ISNA(VLOOKUP(A48,'Données projet'!$A$113:$I$133,6,0)),0%,VLOOKUP(A48,'Données projet'!$A$113:$I$133,6,0)*VLOOKUP('Données projet'!$B$12,Paramètres!$A$1:$I$89,7,0))</f>
        <v>7.6500000000000012E-2</v>
      </c>
      <c r="CJ48" s="16">
        <f>IF(ISNA(VLOOKUP(A48,'Données projet'!$A$113:$I$133,7,0)),0%,VLOOKUP(A48,'Données projet'!$A$113:$I$133,7,0))</f>
        <v>0.13</v>
      </c>
      <c r="CK48" s="21">
        <f>EXP(-LN(2)/35)*CK47+(1-EXP(-LN(2)/35))/(LN(2)/35)*CG48*CH48*VLOOKUP('Données projet'!$B$12,Paramètres!$A$1:$I$89,3,0)*0.475*44/12</f>
        <v>34.241814864423397</v>
      </c>
      <c r="CL48" s="21">
        <f>EXP(-LN(2)/25)*CL47+(1-EXP(-LN(2)/25))/(LN(2)/25)*Calculateur!CG48*Calculateur!CI48*VLOOKUP('Données projet'!$B$12,Paramètres!$A$1:$I$89,3,0)*0.475*44/12</f>
        <v>9.8142367286460548</v>
      </c>
      <c r="CM48" s="21">
        <f>EXP(-LN(2)/2)*CM47+(1-EXP(-LN(2)/2))/(LN(2)/2)*CG48*CJ48*VLOOKUP('Données projet'!$B$12,Paramètres!$A$1:$I$89,3,0)*0.475*44/12</f>
        <v>4.3810161111188881</v>
      </c>
      <c r="CN48" s="22">
        <f t="shared" si="12"/>
        <v>48.437067704188344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9.6999999999999993</v>
      </c>
      <c r="CT48" s="12">
        <f>IF('Données projet'!$A$140&gt;35,CT47+CS48-DB47,IF(A48&lt;'Données projet'!$A$140,$CQ$205^A48,IF(A48='Données projet'!$A$140,'Données projet'!$B$140,CT47+CS48-DB47)))</f>
        <v>209.49999999999994</v>
      </c>
      <c r="CU48" s="17">
        <f>CT48*VLOOKUP('Données projet'!$B$13,Paramètres!$A$1:$I$89,3,0)*VLOOKUP('Données projet'!$B$13,Paramètres!$A$1:$I$89,5,0)</f>
        <v>119.83399999999997</v>
      </c>
      <c r="CV48" s="13">
        <f t="shared" si="41"/>
        <v>31.63627940145923</v>
      </c>
      <c r="CW48" s="20">
        <f t="shared" si="13"/>
        <v>263.81073662420812</v>
      </c>
      <c r="CX48" s="59">
        <f t="shared" si="14"/>
        <v>557.14406995754143</v>
      </c>
      <c r="CY48" s="59">
        <f ca="1">AVERAGE(OFFSET($CX$3,0,0,'Données projet'!$E$13+1,1))-AVERAGE(OFFSET($H$3,0,0,'Données projet'!$E$13+1,1))</f>
        <v>149.8619613776458</v>
      </c>
      <c r="CZ48" s="59">
        <f t="shared" si="42"/>
        <v>108.55560257938146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17.584753491278725</v>
      </c>
      <c r="DG48" s="21">
        <f>EXP(-LN(2)/25)*DG47+(1-EXP(-LN(2)/25))/(LN(2)/25)*Calculateur!DB48*Calculateur!DD48*VLOOKUP('Données projet'!$B$13,Paramètres!$A$1:$I$89,3,0)*0.475*44/12</f>
        <v>5.2793849775019162</v>
      </c>
      <c r="DH48" s="21">
        <f>EXP(-LN(2)/2)*DH47+(1-EXP(-LN(2)/2))/(LN(2)/2)*DB48*DE48*VLOOKUP('Données projet'!$B$13,Paramètres!$A$1:$I$89,3,0)*0.475*44/12</f>
        <v>0.6383884427156199</v>
      </c>
      <c r="DI48" s="22">
        <f t="shared" si="15"/>
        <v>23.502526911496261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1">
        <f t="shared" si="32"/>
        <v>11.284188555681862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67">
        <f t="shared" si="1"/>
        <v>377.97726840114586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20.399999999999999</v>
      </c>
      <c r="N49" s="13">
        <f>IF('Données projet'!$A$36&gt;35,N48+M49-V48,IF(A49&lt;'Données projet'!$A$36,$K$205^A49,IF(A49='Données projet'!$A$36,'Données projet'!$B$36,N48+M49-V48)))</f>
        <v>642.39999999999964</v>
      </c>
      <c r="O49" s="13">
        <f>N49*VLOOKUP('Données projet'!$B$9,Paramètres!$A$1:$I$89,3,0)*VLOOKUP('Données projet'!$B$9,Paramètres!$A$1:$I$89,5,0)</f>
        <v>359.10159999999985</v>
      </c>
      <c r="P49" s="13">
        <f t="shared" si="33"/>
        <v>83.433815871723468</v>
      </c>
      <c r="Q49" s="20">
        <f t="shared" si="53"/>
        <v>770.74918264325152</v>
      </c>
      <c r="R49" s="59">
        <f t="shared" si="0"/>
        <v>1064.0825159765848</v>
      </c>
      <c r="S49" s="59">
        <f ca="1">AVERAGE(OFFSET($R$3,0,0,'Données projet'!$E$9+1,1))-AVERAGE(OFFSET($H$3,0,0,'Données projet'!$E$9+1,1))</f>
        <v>467.03705646400994</v>
      </c>
      <c r="T49" s="59">
        <f t="shared" si="34"/>
        <v>575.68119027684361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83.983894089907992</v>
      </c>
      <c r="AA49" s="21">
        <f>EXP(-LN(2)/25)*AA48+(1-EXP(-LN(2)/25))/(LN(2)/25)*Calculateur!V49*Calculateur!X49*VLOOKUP('Données projet'!$B$9,Paramètres!$A$1:$I$89,3,0)*0.475*44/12</f>
        <v>23.528184252416697</v>
      </c>
      <c r="AB49" s="21">
        <f>EXP(-LN(2)/2)*AB48+(1-EXP(-LN(2)/2))/(LN(2)/2)*V49*Y49*VLOOKUP('Données projet'!$B$9,Paramètres!$A$1:$I$89,3,0)*0.475*44/12</f>
        <v>4.6801781714067259</v>
      </c>
      <c r="AC49" s="22">
        <f t="shared" si="3"/>
        <v>112.19225651373141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11.6</v>
      </c>
      <c r="AI49" s="13">
        <f>IF('Données projet'!$A$62&gt;35,AI48+AH49-AQ48,IF(A49&lt;'Données projet'!$A$62,$AF$205^A49,IF(A49='Données projet'!$A$62,'Données projet'!$B$62,AI48+AH49-AQ48)))</f>
        <v>250.60000000000002</v>
      </c>
      <c r="AJ49" s="13">
        <f>AI49*VLOOKUP('Données projet'!$B$10,Paramètres!$A$1:$I$89,3,0)*VLOOKUP('Données projet'!$B$10,Paramètres!$A$1:$I$89,5,0)</f>
        <v>156.37440000000001</v>
      </c>
      <c r="AK49" s="13">
        <f t="shared" si="35"/>
        <v>40.023663524293205</v>
      </c>
      <c r="AL49" s="20">
        <f t="shared" si="4"/>
        <v>342.05996063814399</v>
      </c>
      <c r="AM49" s="59">
        <f t="shared" si="5"/>
        <v>635.39329397147731</v>
      </c>
      <c r="AN49" s="59">
        <f ca="1">AVERAGE(OFFSET($AM$3,0,0,'Données projet'!$E$10+1,1))-AVERAGE(OFFSET($H$3,0,0,'Données projet'!$E$10+1,1))</f>
        <v>252.44760109054914</v>
      </c>
      <c r="AO49" s="59">
        <f t="shared" si="36"/>
        <v>121.75506329394773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24.830873959472669</v>
      </c>
      <c r="AV49" s="21">
        <f>EXP(-LN(2)/25)*AV48+(1-EXP(-LN(2)/25))/(LN(2)/25)*Calculateur!AQ49*Calculateur!AS49*VLOOKUP('Données projet'!$B$10,Paramètres!$A$1:$I$89,3,0)*0.475*44/12</f>
        <v>7.9699543254237604</v>
      </c>
      <c r="AW49" s="21">
        <f>EXP(-LN(2)/2)*AW48+(1-EXP(-LN(2)/2))/(LN(2)/2)*AQ49*AT49*VLOOKUP('Données projet'!$B$10,Paramètres!$A$1:$I$89,3,0)*0.475*44/12</f>
        <v>1.6583258953607725</v>
      </c>
      <c r="AX49" s="21">
        <f t="shared" si="6"/>
        <v>34.459154180257201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344.40000000000003</v>
      </c>
      <c r="BE49" s="13">
        <f>BD49*VLOOKUP('Données projet'!$B$11,Paramètres!$A$1:$I$89,3,0)*VLOOKUP('Données projet'!$B$11,Paramètres!$A$1:$I$89,5,0)</f>
        <v>205.95120000000006</v>
      </c>
      <c r="BF49" s="13">
        <f t="shared" si="37"/>
        <v>51.049821044529857</v>
      </c>
      <c r="BG49" s="20">
        <f t="shared" si="7"/>
        <v>447.61011165255627</v>
      </c>
      <c r="BH49" s="59">
        <f t="shared" si="8"/>
        <v>740.94344498588953</v>
      </c>
      <c r="BI49" s="59">
        <f ca="1">AVERAGE(OFFSET($BH$3,0,0,'Données projet'!$E$11+1,1))-AVERAGE(OFFSET($H$3,0,0,'Données projet'!$E$11+1,1))</f>
        <v>260.97162394079265</v>
      </c>
      <c r="BJ49" s="59">
        <f t="shared" si="38"/>
        <v>279.1836614199691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51.432421744145714</v>
      </c>
      <c r="BQ49" s="21">
        <f>EXP(-LN(2)/25)*BQ48+(1-EXP(-LN(2)/25))/(LN(2)/25)*Calculateur!BL49*Calculateur!BN49*VLOOKUP('Données projet'!$B$11,Paramètres!$A$1:$I$89,3,0)*0.475*44/12</f>
        <v>13.021667941591449</v>
      </c>
      <c r="BR49" s="21">
        <f>EXP(-LN(2)/2)*BR48+(1-EXP(-LN(2)/2))/(LN(2)/2)*BL49*BO49*VLOOKUP('Données projet'!$B$11,Paramètres!$A$1:$I$89,3,0)*0.475*44/12</f>
        <v>4.2040357726149988</v>
      </c>
      <c r="BS49" s="22">
        <f t="shared" si="9"/>
        <v>68.65812545835216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282.40000000000009</v>
      </c>
      <c r="BZ49" s="13">
        <f>BY49*VLOOKUP('Données projet'!$B$12,Paramètres!$A$1:$I$89,3,0)*VLOOKUP('Données projet'!$B$12,Paramètres!$A$1:$I$89,5,0)</f>
        <v>168.87520000000006</v>
      </c>
      <c r="CA49" s="13">
        <f t="shared" si="39"/>
        <v>42.838008554673955</v>
      </c>
      <c r="CB49" s="20">
        <f t="shared" si="10"/>
        <v>368.73383823272394</v>
      </c>
      <c r="CC49" s="59">
        <f t="shared" si="11"/>
        <v>662.06717156605725</v>
      </c>
      <c r="CD49" s="59">
        <f ca="1">AVERAGE(OFFSET($CC$3,0,0,'Données projet'!$E$12+1,1))-AVERAGE(OFFSET($H$3,0,0,'Données projet'!$E$12+1,1))</f>
        <v>264.70281355687837</v>
      </c>
      <c r="CE49" s="59">
        <f t="shared" si="40"/>
        <v>199.74194600786768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33.570353760376854</v>
      </c>
      <c r="CL49" s="21">
        <f>EXP(-LN(2)/25)*CL48+(1-EXP(-LN(2)/25))/(LN(2)/25)*Calculateur!CG49*Calculateur!CI49*VLOOKUP('Données projet'!$B$12,Paramètres!$A$1:$I$89,3,0)*0.475*44/12</f>
        <v>9.5458659091929494</v>
      </c>
      <c r="CM49" s="21">
        <f>EXP(-LN(2)/2)*CM48+(1-EXP(-LN(2)/2))/(LN(2)/2)*CG49*CJ49*VLOOKUP('Données projet'!$B$12,Paramètres!$A$1:$I$89,3,0)*0.475*44/12</f>
        <v>3.0978462006596832</v>
      </c>
      <c r="CN49" s="22">
        <f t="shared" si="12"/>
        <v>46.214065870229483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9.6999999999999993</v>
      </c>
      <c r="CT49" s="12">
        <f>IF('Données projet'!$A$140&gt;35,CT48+CS49-DB48,IF(A49&lt;'Données projet'!$A$140,$CQ$205^A49,IF(A49='Données projet'!$A$140,'Données projet'!$B$140,CT48+CS49-DB48)))</f>
        <v>219.19999999999993</v>
      </c>
      <c r="CU49" s="17">
        <f>CT49*VLOOKUP('Données projet'!$B$13,Paramètres!$A$1:$I$89,3,0)*VLOOKUP('Données projet'!$B$13,Paramètres!$A$1:$I$89,5,0)</f>
        <v>125.38239999999996</v>
      </c>
      <c r="CV49" s="13">
        <f t="shared" si="41"/>
        <v>32.927132078296104</v>
      </c>
      <c r="CW49" s="20">
        <f t="shared" si="13"/>
        <v>275.72243503636565</v>
      </c>
      <c r="CX49" s="59">
        <f t="shared" si="14"/>
        <v>569.05576836969897</v>
      </c>
      <c r="CY49" s="59">
        <f ca="1">AVERAGE(OFFSET($CX$3,0,0,'Données projet'!$E$13+1,1))-AVERAGE(OFFSET($H$3,0,0,'Données projet'!$E$13+1,1))</f>
        <v>149.8619613776458</v>
      </c>
      <c r="CZ49" s="59">
        <f t="shared" si="42"/>
        <v>108.55560257938146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17.239927200955311</v>
      </c>
      <c r="DG49" s="21">
        <f>EXP(-LN(2)/25)*DG48+(1-EXP(-LN(2)/25))/(LN(2)/25)*Calculateur!DB49*Calculateur!DD49*VLOOKUP('Données projet'!$B$13,Paramètres!$A$1:$I$89,3,0)*0.475*44/12</f>
        <v>5.1350199176613369</v>
      </c>
      <c r="DH49" s="21">
        <f>EXP(-LN(2)/2)*DH48+(1-EXP(-LN(2)/2))/(LN(2)/2)*DB49*DE49*VLOOKUP('Données projet'!$B$13,Paramètres!$A$1:$I$89,3,0)*0.475*44/12</f>
        <v>0.45140879687533469</v>
      </c>
      <c r="DI49" s="22">
        <f t="shared" si="15"/>
        <v>22.82635591549198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1">
        <f t="shared" si="32"/>
        <v>11.500671051108629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67">
        <f t="shared" si="1"/>
        <v>379.76714874734751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20.399999999999999</v>
      </c>
      <c r="N50" s="13">
        <f>IF('Données projet'!$A$36&gt;35,N49+M50-V49,IF(A50&lt;'Données projet'!$A$36,$K$205^A50,IF(A50='Données projet'!$A$36,'Données projet'!$B$36,N49+M50-V49)))</f>
        <v>662.79999999999961</v>
      </c>
      <c r="O50" s="13">
        <f>N50*VLOOKUP('Données projet'!$B$9,Paramètres!$A$1:$I$89,3,0)*VLOOKUP('Données projet'!$B$9,Paramètres!$A$1:$I$89,5,0)</f>
        <v>370.50519999999983</v>
      </c>
      <c r="P50" s="13">
        <f t="shared" si="33"/>
        <v>85.770652719303072</v>
      </c>
      <c r="Q50" s="20">
        <f t="shared" si="53"/>
        <v>794.6804434861192</v>
      </c>
      <c r="R50" s="59">
        <f t="shared" si="0"/>
        <v>1088.0137768194525</v>
      </c>
      <c r="S50" s="59">
        <f ca="1">AVERAGE(OFFSET($R$3,0,0,'Données projet'!$E$9+1,1))-AVERAGE(OFFSET($H$3,0,0,'Données projet'!$E$9+1,1))</f>
        <v>467.03705646400994</v>
      </c>
      <c r="T50" s="59">
        <f t="shared" si="34"/>
        <v>575.68119027684361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82.337021151922229</v>
      </c>
      <c r="AA50" s="21">
        <f>EXP(-LN(2)/25)*AA49+(1-EXP(-LN(2)/25))/(LN(2)/25)*Calculateur!V50*Calculateur!X50*VLOOKUP('Données projet'!$B$9,Paramètres!$A$1:$I$89,3,0)*0.475*44/12</f>
        <v>22.884804816740928</v>
      </c>
      <c r="AB50" s="21">
        <f>EXP(-LN(2)/2)*AB49+(1-EXP(-LN(2)/2))/(LN(2)/2)*V50*Y50*VLOOKUP('Données projet'!$B$9,Paramètres!$A$1:$I$89,3,0)*0.475*44/12</f>
        <v>3.3093857221629519</v>
      </c>
      <c r="AC50" s="22">
        <f t="shared" si="3"/>
        <v>108.53121169082611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11.6</v>
      </c>
      <c r="AI50" s="13">
        <f>IF('Données projet'!$A$62&gt;35,AI49+AH50-AQ49,IF(A50&lt;'Données projet'!$A$62,$AF$205^A50,IF(A50='Données projet'!$A$62,'Données projet'!$B$62,AI49+AH50-AQ49)))</f>
        <v>262.20000000000005</v>
      </c>
      <c r="AJ50" s="13">
        <f>AI50*VLOOKUP('Données projet'!$B$10,Paramètres!$A$1:$I$89,3,0)*VLOOKUP('Données projet'!$B$10,Paramètres!$A$1:$I$89,5,0)</f>
        <v>163.61280000000002</v>
      </c>
      <c r="AK50" s="13">
        <f t="shared" si="35"/>
        <v>41.656330547871846</v>
      </c>
      <c r="AL50" s="20">
        <f t="shared" si="4"/>
        <v>357.51040237087682</v>
      </c>
      <c r="AM50" s="59">
        <f t="shared" si="5"/>
        <v>650.84373570421008</v>
      </c>
      <c r="AN50" s="59">
        <f ca="1">AVERAGE(OFFSET($AM$3,0,0,'Données projet'!$E$10+1,1))-AVERAGE(OFFSET($H$3,0,0,'Données projet'!$E$10+1,1))</f>
        <v>252.44760109054914</v>
      </c>
      <c r="AO50" s="59">
        <f t="shared" si="36"/>
        <v>121.75506329394773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24.343955666465046</v>
      </c>
      <c r="AV50" s="21">
        <f>EXP(-LN(2)/25)*AV49+(1-EXP(-LN(2)/25))/(LN(2)/25)*Calculateur!AQ50*Calculateur!AS50*VLOOKUP('Données projet'!$B$10,Paramètres!$A$1:$I$89,3,0)*0.475*44/12</f>
        <v>7.7520155052733655</v>
      </c>
      <c r="AW50" s="21">
        <f>EXP(-LN(2)/2)*AW49+(1-EXP(-LN(2)/2))/(LN(2)/2)*AQ50*AT50*VLOOKUP('Données projet'!$B$10,Paramètres!$A$1:$I$89,3,0)*0.475*44/12</f>
        <v>1.1726134860268553</v>
      </c>
      <c r="AX50" s="21">
        <f t="shared" si="6"/>
        <v>33.268584657765267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361.8</v>
      </c>
      <c r="BE50" s="13">
        <f>BD50*VLOOKUP('Données projet'!$B$11,Paramètres!$A$1:$I$89,3,0)*VLOOKUP('Données projet'!$B$11,Paramètres!$A$1:$I$89,5,0)</f>
        <v>216.35640000000004</v>
      </c>
      <c r="BF50" s="13">
        <f t="shared" si="37"/>
        <v>53.322199188237285</v>
      </c>
      <c r="BG50" s="20">
        <f t="shared" si="7"/>
        <v>469.69022691951341</v>
      </c>
      <c r="BH50" s="59">
        <f t="shared" si="8"/>
        <v>763.02356025284666</v>
      </c>
      <c r="BI50" s="59">
        <f ca="1">AVERAGE(OFFSET($BH$3,0,0,'Données projet'!$E$11+1,1))-AVERAGE(OFFSET($H$3,0,0,'Données projet'!$E$11+1,1))</f>
        <v>260.97162394079265</v>
      </c>
      <c r="BJ50" s="59">
        <f t="shared" si="38"/>
        <v>279.1836614199691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50.423863324422683</v>
      </c>
      <c r="BQ50" s="21">
        <f>EXP(-LN(2)/25)*BQ49+(1-EXP(-LN(2)/25))/(LN(2)/25)*Calculateur!BL50*Calculateur!BN50*VLOOKUP('Données projet'!$B$11,Paramètres!$A$1:$I$89,3,0)*0.475*44/12</f>
        <v>12.665589746948875</v>
      </c>
      <c r="BR50" s="21">
        <f>EXP(-LN(2)/2)*BR49+(1-EXP(-LN(2)/2))/(LN(2)/2)*BL50*BO50*VLOOKUP('Données projet'!$B$11,Paramètres!$A$1:$I$89,3,0)*0.475*44/12</f>
        <v>2.9727022031668926</v>
      </c>
      <c r="BS50" s="22">
        <f t="shared" si="9"/>
        <v>66.062155274538455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299.80000000000007</v>
      </c>
      <c r="BZ50" s="13">
        <f>BY50*VLOOKUP('Données projet'!$B$12,Paramètres!$A$1:$I$89,3,0)*VLOOKUP('Données projet'!$B$12,Paramètres!$A$1:$I$89,5,0)</f>
        <v>179.28040000000007</v>
      </c>
      <c r="CA50" s="13">
        <f t="shared" si="39"/>
        <v>45.16205111882433</v>
      </c>
      <c r="CB50" s="20">
        <f t="shared" si="10"/>
        <v>390.90393569861914</v>
      </c>
      <c r="CC50" s="59">
        <f t="shared" si="11"/>
        <v>684.23726903195245</v>
      </c>
      <c r="CD50" s="59">
        <f ca="1">AVERAGE(OFFSET($CC$3,0,0,'Données projet'!$E$12+1,1))-AVERAGE(OFFSET($H$3,0,0,'Données projet'!$E$12+1,1))</f>
        <v>264.70281355687837</v>
      </c>
      <c r="CE50" s="59">
        <f t="shared" si="40"/>
        <v>199.74194600786768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32.912059599029831</v>
      </c>
      <c r="CL50" s="21">
        <f>EXP(-LN(2)/25)*CL49+(1-EXP(-LN(2)/25))/(LN(2)/25)*Calculateur!CG50*Calculateur!CI50*VLOOKUP('Données projet'!$B$12,Paramètres!$A$1:$I$89,3,0)*0.475*44/12</f>
        <v>9.2848337039107971</v>
      </c>
      <c r="CM50" s="21">
        <f>EXP(-LN(2)/2)*CM49+(1-EXP(-LN(2)/2))/(LN(2)/2)*CG50*CJ50*VLOOKUP('Données projet'!$B$12,Paramètres!$A$1:$I$89,3,0)*0.475*44/12</f>
        <v>2.1905080555594445</v>
      </c>
      <c r="CN50" s="22">
        <f t="shared" si="12"/>
        <v>44.387401358500071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9.6999999999999993</v>
      </c>
      <c r="CT50" s="12">
        <f>IF('Données projet'!$A$140&gt;35,CT49+CS50-DB49,IF(A50&lt;'Données projet'!$A$140,$CQ$205^A50,IF(A50='Données projet'!$A$140,'Données projet'!$B$140,CT49+CS50-DB49)))</f>
        <v>228.89999999999992</v>
      </c>
      <c r="CU50" s="17">
        <f>CT50*VLOOKUP('Données projet'!$B$13,Paramètres!$A$1:$I$89,3,0)*VLOOKUP('Données projet'!$B$13,Paramètres!$A$1:$I$89,5,0)</f>
        <v>130.93079999999995</v>
      </c>
      <c r="CV50" s="13">
        <f t="shared" si="41"/>
        <v>34.211350494649842</v>
      </c>
      <c r="CW50" s="20">
        <f t="shared" si="13"/>
        <v>287.62257877818172</v>
      </c>
      <c r="CX50" s="59">
        <f t="shared" si="14"/>
        <v>580.95591211151509</v>
      </c>
      <c r="CY50" s="59">
        <f ca="1">AVERAGE(OFFSET($CX$3,0,0,'Données projet'!$E$13+1,1))-AVERAGE(OFFSET($H$3,0,0,'Données projet'!$E$13+1,1))</f>
        <v>149.8619613776458</v>
      </c>
      <c r="CZ50" s="59">
        <f t="shared" si="42"/>
        <v>108.55560257938146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16.901862743861869</v>
      </c>
      <c r="DG50" s="21">
        <f>EXP(-LN(2)/25)*DG49+(1-EXP(-LN(2)/25))/(LN(2)/25)*Calculateur!DB50*Calculateur!DD50*VLOOKUP('Données projet'!$B$13,Paramètres!$A$1:$I$89,3,0)*0.475*44/12</f>
        <v>4.9946025279739263</v>
      </c>
      <c r="DH50" s="21">
        <f>EXP(-LN(2)/2)*DH49+(1-EXP(-LN(2)/2))/(LN(2)/2)*DB50*DE50*VLOOKUP('Données projet'!$B$13,Paramètres!$A$1:$I$89,3,0)*0.475*44/12</f>
        <v>0.31919422135781</v>
      </c>
      <c r="DI50" s="22">
        <f t="shared" si="15"/>
        <v>22.215659493193606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1">
        <f t="shared" si="32"/>
        <v>11.716618027553629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67">
        <f t="shared" si="1"/>
        <v>381.55609639798917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20.399999999999999</v>
      </c>
      <c r="N51" s="13">
        <f>IF('Données projet'!$A$36&gt;35,N50+M51-V50,IF(A51&lt;'Données projet'!$A$36,$K$205^A51,IF(A51='Données projet'!$A$36,'Données projet'!$B$36,N50+M51-V50)))</f>
        <v>683.19999999999959</v>
      </c>
      <c r="O51" s="13">
        <f>N51*VLOOKUP('Données projet'!$B$9,Paramètres!$A$1:$I$89,3,0)*VLOOKUP('Données projet'!$B$9,Paramètres!$A$1:$I$89,5,0)</f>
        <v>381.90879999999981</v>
      </c>
      <c r="P51" s="13">
        <f t="shared" si="33"/>
        <v>88.099131154986978</v>
      </c>
      <c r="Q51" s="20">
        <f t="shared" si="53"/>
        <v>818.59714676160195</v>
      </c>
      <c r="R51" s="59">
        <f t="shared" si="0"/>
        <v>1111.9304800949353</v>
      </c>
      <c r="S51" s="59">
        <f ca="1">AVERAGE(OFFSET($R$3,0,0,'Données projet'!$E$9+1,1))-AVERAGE(OFFSET($H$3,0,0,'Données projet'!$E$9+1,1))</f>
        <v>467.03705646400994</v>
      </c>
      <c r="T51" s="59">
        <f t="shared" si="34"/>
        <v>575.68119027684361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80.722442387757056</v>
      </c>
      <c r="AA51" s="21">
        <f>EXP(-LN(2)/25)*AA50+(1-EXP(-LN(2)/25))/(LN(2)/25)*Calculateur!V51*Calculateur!X51*VLOOKUP('Données projet'!$B$9,Paramètres!$A$1:$I$89,3,0)*0.475*44/12</f>
        <v>22.259018625567567</v>
      </c>
      <c r="AB51" s="21">
        <f>EXP(-LN(2)/2)*AB50+(1-EXP(-LN(2)/2))/(LN(2)/2)*V51*Y51*VLOOKUP('Données projet'!$B$9,Paramètres!$A$1:$I$89,3,0)*0.475*44/12</f>
        <v>2.3400890857033629</v>
      </c>
      <c r="AC51" s="22">
        <f t="shared" si="3"/>
        <v>105.32155009902799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11.6</v>
      </c>
      <c r="AI51" s="13">
        <f>IF('Données projet'!$A$62&gt;35,AI50+AH51-AQ50,IF(A51&lt;'Données projet'!$A$62,$AF$205^A51,IF(A51='Données projet'!$A$62,'Données projet'!$B$62,AI50+AH51-AQ50)))</f>
        <v>273.80000000000007</v>
      </c>
      <c r="AJ51" s="13">
        <f>AI51*VLOOKUP('Données projet'!$B$10,Paramètres!$A$1:$I$89,3,0)*VLOOKUP('Données projet'!$B$10,Paramètres!$A$1:$I$89,5,0)</f>
        <v>170.85120000000006</v>
      </c>
      <c r="AK51" s="13">
        <f t="shared" si="35"/>
        <v>43.280608618134067</v>
      </c>
      <c r="AL51" s="20">
        <f t="shared" si="4"/>
        <v>372.94623334325024</v>
      </c>
      <c r="AM51" s="59">
        <f t="shared" si="5"/>
        <v>666.2795666765835</v>
      </c>
      <c r="AN51" s="59">
        <f ca="1">AVERAGE(OFFSET($AM$3,0,0,'Données projet'!$E$10+1,1))-AVERAGE(OFFSET($H$3,0,0,'Données projet'!$E$10+1,1))</f>
        <v>252.44760109054914</v>
      </c>
      <c r="AO51" s="59">
        <f t="shared" si="36"/>
        <v>121.75506329394773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23.866585544192471</v>
      </c>
      <c r="AV51" s="21">
        <f>EXP(-LN(2)/25)*AV50+(1-EXP(-LN(2)/25))/(LN(2)/25)*Calculateur!AQ51*Calculateur!AS51*VLOOKUP('Données projet'!$B$10,Paramètres!$A$1:$I$89,3,0)*0.475*44/12</f>
        <v>7.5400362336208877</v>
      </c>
      <c r="AW51" s="21">
        <f>EXP(-LN(2)/2)*AW50+(1-EXP(-LN(2)/2))/(LN(2)/2)*AQ51*AT51*VLOOKUP('Données projet'!$B$10,Paramètres!$A$1:$I$89,3,0)*0.475*44/12</f>
        <v>0.82916294768038634</v>
      </c>
      <c r="AX51" s="21">
        <f t="shared" si="6"/>
        <v>32.235784725493744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379.2</v>
      </c>
      <c r="BE51" s="13">
        <f>BD51*VLOOKUP('Données projet'!$B$11,Paramètres!$A$1:$I$89,3,0)*VLOOKUP('Données projet'!$B$11,Paramètres!$A$1:$I$89,5,0)</f>
        <v>226.76160000000002</v>
      </c>
      <c r="BF51" s="13">
        <f t="shared" si="37"/>
        <v>55.581886910575967</v>
      </c>
      <c r="BG51" s="20">
        <f t="shared" si="7"/>
        <v>491.74823970258643</v>
      </c>
      <c r="BH51" s="59">
        <f t="shared" si="8"/>
        <v>785.08157303591975</v>
      </c>
      <c r="BI51" s="59">
        <f ca="1">AVERAGE(OFFSET($BH$3,0,0,'Données projet'!$E$11+1,1))-AVERAGE(OFFSET($H$3,0,0,'Données projet'!$E$11+1,1))</f>
        <v>260.97162394079265</v>
      </c>
      <c r="BJ51" s="59">
        <f t="shared" si="38"/>
        <v>279.1836614199691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49.435082120150525</v>
      </c>
      <c r="BQ51" s="21">
        <f>EXP(-LN(2)/25)*BQ50+(1-EXP(-LN(2)/25))/(LN(2)/25)*Calculateur!BL51*Calculateur!BN51*VLOOKUP('Données projet'!$B$11,Paramètres!$A$1:$I$89,3,0)*0.475*44/12</f>
        <v>12.31924852926414</v>
      </c>
      <c r="BR51" s="21">
        <f>EXP(-LN(2)/2)*BR50+(1-EXP(-LN(2)/2))/(LN(2)/2)*BL51*BO51*VLOOKUP('Données projet'!$B$11,Paramètres!$A$1:$I$89,3,0)*0.475*44/12</f>
        <v>2.1020178863074999</v>
      </c>
      <c r="BS51" s="22">
        <f t="shared" si="9"/>
        <v>63.856348535722169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317.20000000000005</v>
      </c>
      <c r="BZ51" s="13">
        <f>BY51*VLOOKUP('Données projet'!$B$12,Paramètres!$A$1:$I$89,3,0)*VLOOKUP('Données projet'!$B$12,Paramètres!$A$1:$I$89,5,0)</f>
        <v>189.68560000000005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706.38009738638675</v>
      </c>
      <c r="CD51" s="59">
        <f ca="1">AVERAGE(OFFSET($CC$3,0,0,'Données projet'!$E$12+1,1))-AVERAGE(OFFSET($H$3,0,0,'Données projet'!$E$12+1,1))</f>
        <v>264.70281355687837</v>
      </c>
      <c r="CE51" s="59">
        <f t="shared" si="40"/>
        <v>199.74194600786768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32.266674184667032</v>
      </c>
      <c r="CL51" s="21">
        <f>EXP(-LN(2)/25)*CL50+(1-EXP(-LN(2)/25))/(LN(2)/25)*Calculateur!CG51*Calculateur!CI51*VLOOKUP('Données projet'!$B$12,Paramètres!$A$1:$I$89,3,0)*0.475*44/12</f>
        <v>9.0309394380091721</v>
      </c>
      <c r="CM51" s="21">
        <f>EXP(-LN(2)/2)*CM50+(1-EXP(-LN(2)/2))/(LN(2)/2)*CG51*CJ51*VLOOKUP('Données projet'!$B$12,Paramètres!$A$1:$I$89,3,0)*0.475*44/12</f>
        <v>1.5489231003298418</v>
      </c>
      <c r="CN51" s="22">
        <f t="shared" si="12"/>
        <v>42.846536723006047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9.6999999999999993</v>
      </c>
      <c r="CT51" s="12">
        <f>IF('Données projet'!$A$140&gt;35,CT50+CS51-DB50,IF(A51&lt;'Données projet'!$A$140,$CQ$205^A51,IF(A51='Données projet'!$A$140,'Données projet'!$B$140,CT50+CS51-DB50)))</f>
        <v>238.59999999999991</v>
      </c>
      <c r="CU51" s="17">
        <f>CT51*VLOOKUP('Données projet'!$B$13,Paramètres!$A$1:$I$89,3,0)*VLOOKUP('Données projet'!$B$13,Paramètres!$A$1:$I$89,5,0)</f>
        <v>136.47919999999996</v>
      </c>
      <c r="CV51" s="13">
        <f t="shared" si="41"/>
        <v>35.489247930687732</v>
      </c>
      <c r="CW51" s="20">
        <f t="shared" si="13"/>
        <v>299.51171347928101</v>
      </c>
      <c r="CX51" s="59">
        <f t="shared" si="14"/>
        <v>592.84504681261433</v>
      </c>
      <c r="CY51" s="59">
        <f ca="1">AVERAGE(OFFSET($CX$3,0,0,'Données projet'!$E$13+1,1))-AVERAGE(OFFSET($H$3,0,0,'Données projet'!$E$13+1,1))</f>
        <v>149.8619613776458</v>
      </c>
      <c r="CZ51" s="59">
        <f t="shared" si="42"/>
        <v>108.55560257938146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16.57042752457307</v>
      </c>
      <c r="DG51" s="21">
        <f>EXP(-LN(2)/25)*DG50+(1-EXP(-LN(2)/25))/(LN(2)/25)*Calculateur!DB51*Calculateur!DD51*VLOOKUP('Données projet'!$B$13,Paramètres!$A$1:$I$89,3,0)*0.475*44/12</f>
        <v>4.8580248591917474</v>
      </c>
      <c r="DH51" s="21">
        <f>EXP(-LN(2)/2)*DH50+(1-EXP(-LN(2)/2))/(LN(2)/2)*DB51*DE51*VLOOKUP('Données projet'!$B$13,Paramètres!$A$1:$I$89,3,0)*0.475*44/12</f>
        <v>0.22570439843766738</v>
      </c>
      <c r="DI51" s="22">
        <f t="shared" si="15"/>
        <v>21.654156782202485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1">
        <f t="shared" si="32"/>
        <v>11.93204192702321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67">
        <f t="shared" si="1"/>
        <v>383.34413302289869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20.399999999999999</v>
      </c>
      <c r="N52" s="13">
        <f>IF('Données projet'!$A$36&gt;35,N51+M52-V51,IF(A52&lt;'Données projet'!$A$36,$K$205^A52,IF(A52='Données projet'!$A$36,'Données projet'!$B$36,N51+M52-V51)))</f>
        <v>703.59999999999957</v>
      </c>
      <c r="O52" s="13">
        <f>N52*VLOOKUP('Données projet'!$B$9,Paramètres!$A$1:$I$89,3,0)*VLOOKUP('Données projet'!$B$9,Paramètres!$A$1:$I$89,5,0)</f>
        <v>393.3123999999998</v>
      </c>
      <c r="P52" s="13">
        <f t="shared" si="33"/>
        <v>90.419529407700907</v>
      </c>
      <c r="Q52" s="20">
        <f t="shared" si="53"/>
        <v>842.49977705174535</v>
      </c>
      <c r="R52" s="59">
        <f t="shared" si="0"/>
        <v>1135.8331103850787</v>
      </c>
      <c r="S52" s="59">
        <f ca="1">AVERAGE(OFFSET($R$3,0,0,'Données projet'!$E$9+1,1))-AVERAGE(OFFSET($H$3,0,0,'Données projet'!$E$9+1,1))</f>
        <v>467.03705646400994</v>
      </c>
      <c r="T52" s="59">
        <f t="shared" si="34"/>
        <v>575.68119027684361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79.139524528361363</v>
      </c>
      <c r="AA52" s="21">
        <f>EXP(-LN(2)/25)*AA51+(1-EXP(-LN(2)/25))/(LN(2)/25)*Calculateur!V52*Calculateur!X52*VLOOKUP('Données projet'!$B$9,Paramètres!$A$1:$I$89,3,0)*0.475*44/12</f>
        <v>21.650344590700506</v>
      </c>
      <c r="AB52" s="21">
        <f>EXP(-LN(2)/2)*AB51+(1-EXP(-LN(2)/2))/(LN(2)/2)*V52*Y52*VLOOKUP('Données projet'!$B$9,Paramètres!$A$1:$I$89,3,0)*0.475*44/12</f>
        <v>1.654692861081476</v>
      </c>
      <c r="AC52" s="22">
        <f t="shared" si="3"/>
        <v>102.44456198014335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11.6</v>
      </c>
      <c r="AI52" s="13">
        <f>IF('Données projet'!$A$62&gt;35,AI51+AH52-AQ51,IF(A52&lt;'Données projet'!$A$62,$AF$205^A52,IF(A52='Données projet'!$A$62,'Données projet'!$B$62,AI51+AH52-AQ51)))</f>
        <v>285.40000000000009</v>
      </c>
      <c r="AJ52" s="13">
        <f>AI52*VLOOKUP('Données projet'!$B$10,Paramètres!$A$1:$I$89,3,0)*VLOOKUP('Données projet'!$B$10,Paramètres!$A$1:$I$89,5,0)</f>
        <v>178.08960000000008</v>
      </c>
      <c r="AK52" s="13">
        <f t="shared" si="35"/>
        <v>44.896893782226606</v>
      </c>
      <c r="AL52" s="20">
        <f t="shared" si="4"/>
        <v>388.36814333737811</v>
      </c>
      <c r="AM52" s="59">
        <f t="shared" si="5"/>
        <v>681.70147667071137</v>
      </c>
      <c r="AN52" s="59">
        <f ca="1">AVERAGE(OFFSET($AM$3,0,0,'Données projet'!$E$10+1,1))-AVERAGE(OFFSET($H$3,0,0,'Données projet'!$E$10+1,1))</f>
        <v>252.44760109054914</v>
      </c>
      <c r="AO52" s="59">
        <f t="shared" si="36"/>
        <v>121.75506329394773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23.398576358850637</v>
      </c>
      <c r="AV52" s="21">
        <f>EXP(-LN(2)/25)*AV51+(1-EXP(-LN(2)/25))/(LN(2)/25)*Calculateur!AQ52*Calculateur!AS52*VLOOKUP('Données projet'!$B$10,Paramètres!$A$1:$I$89,3,0)*0.475*44/12</f>
        <v>7.3338535462992516</v>
      </c>
      <c r="AW52" s="21">
        <f>EXP(-LN(2)/2)*AW51+(1-EXP(-LN(2)/2))/(LN(2)/2)*AQ52*AT52*VLOOKUP('Données projet'!$B$10,Paramètres!$A$1:$I$89,3,0)*0.475*44/12</f>
        <v>0.58630674301342778</v>
      </c>
      <c r="AX52" s="21">
        <f t="shared" si="6"/>
        <v>31.318736648163316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396.59999999999997</v>
      </c>
      <c r="BE52" s="13">
        <f>BD52*VLOOKUP('Données projet'!$B$11,Paramètres!$A$1:$I$89,3,0)*VLOOKUP('Données projet'!$B$11,Paramètres!$A$1:$I$89,5,0)</f>
        <v>237.16679999999997</v>
      </c>
      <c r="BF52" s="13">
        <f t="shared" si="37"/>
        <v>57.829533038824209</v>
      </c>
      <c r="BG52" s="20">
        <f t="shared" si="7"/>
        <v>513.78528004261875</v>
      </c>
      <c r="BH52" s="59">
        <f t="shared" si="8"/>
        <v>807.11861337595201</v>
      </c>
      <c r="BI52" s="59">
        <f ca="1">AVERAGE(OFFSET($BH$3,0,0,'Données projet'!$E$11+1,1))-AVERAGE(OFFSET($H$3,0,0,'Données projet'!$E$11+1,1))</f>
        <v>260.97162394079265</v>
      </c>
      <c r="BJ52" s="59">
        <f t="shared" si="38"/>
        <v>279.1836614199691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48.465690312197161</v>
      </c>
      <c r="BQ52" s="21">
        <f>EXP(-LN(2)/25)*BQ51+(1-EXP(-LN(2)/25))/(LN(2)/25)*Calculateur!BL52*Calculateur!BN52*VLOOKUP('Données projet'!$B$11,Paramètres!$A$1:$I$89,3,0)*0.475*44/12</f>
        <v>11.982378030390288</v>
      </c>
      <c r="BR52" s="21">
        <f>EXP(-LN(2)/2)*BR51+(1-EXP(-LN(2)/2))/(LN(2)/2)*BL52*BO52*VLOOKUP('Données projet'!$B$11,Paramètres!$A$1:$I$89,3,0)*0.475*44/12</f>
        <v>1.4863511015834465</v>
      </c>
      <c r="BS52" s="22">
        <f t="shared" si="9"/>
        <v>61.934419444170892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334.6</v>
      </c>
      <c r="BZ52" s="13">
        <f>BY52*VLOOKUP('Données projet'!$B$12,Paramètres!$A$1:$I$89,3,0)*VLOOKUP('Données projet'!$B$12,Paramètres!$A$1:$I$89,5,0)</f>
        <v>200.09080000000003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728.49732298834738</v>
      </c>
      <c r="CD52" s="59">
        <f ca="1">AVERAGE(OFFSET($CC$3,0,0,'Données projet'!$E$12+1,1))-AVERAGE(OFFSET($H$3,0,0,'Données projet'!$E$12+1,1))</f>
        <v>264.70281355687837</v>
      </c>
      <c r="CE52" s="59">
        <f t="shared" si="40"/>
        <v>199.74194600786768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31.633944384633654</v>
      </c>
      <c r="CL52" s="21">
        <f>EXP(-LN(2)/25)*CL51+(1-EXP(-LN(2)/25))/(LN(2)/25)*Calculateur!CG52*Calculateur!CI52*VLOOKUP('Données projet'!$B$12,Paramètres!$A$1:$I$89,3,0)*0.475*44/12</f>
        <v>8.7839879241603462</v>
      </c>
      <c r="CM52" s="21">
        <f>EXP(-LN(2)/2)*CM51+(1-EXP(-LN(2)/2))/(LN(2)/2)*CG52*CJ52*VLOOKUP('Données projet'!$B$12,Paramètres!$A$1:$I$89,3,0)*0.475*44/12</f>
        <v>1.0952540277797223</v>
      </c>
      <c r="CN52" s="22">
        <f t="shared" si="12"/>
        <v>41.513186336573725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9.6999999999999993</v>
      </c>
      <c r="CT52" s="12">
        <f>IF('Données projet'!$A$140&gt;35,CT51+CS52-DB51,IF(A52&lt;'Données projet'!$A$140,$CQ$205^A52,IF(A52='Données projet'!$A$140,'Données projet'!$B$140,CT51+CS52-DB51)))</f>
        <v>248.2999999999999</v>
      </c>
      <c r="CU52" s="17">
        <f>CT52*VLOOKUP('Données projet'!$B$13,Paramètres!$A$1:$I$89,3,0)*VLOOKUP('Données projet'!$B$13,Paramètres!$A$1:$I$89,5,0)</f>
        <v>142.02759999999995</v>
      </c>
      <c r="CV52" s="13">
        <f t="shared" si="41"/>
        <v>36.761110752991748</v>
      </c>
      <c r="CW52" s="20">
        <f t="shared" si="13"/>
        <v>311.3903378947939</v>
      </c>
      <c r="CX52" s="59">
        <f t="shared" si="14"/>
        <v>604.72367122812716</v>
      </c>
      <c r="CY52" s="59">
        <f ca="1">AVERAGE(OFFSET($CX$3,0,0,'Données projet'!$E$13+1,1))-AVERAGE(OFFSET($H$3,0,0,'Données projet'!$E$13+1,1))</f>
        <v>149.8619613776458</v>
      </c>
      <c r="CZ52" s="59">
        <f t="shared" si="42"/>
        <v>108.55560257938146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16.245491547779004</v>
      </c>
      <c r="DG52" s="21">
        <f>EXP(-LN(2)/25)*DG51+(1-EXP(-LN(2)/25))/(LN(2)/25)*Calculateur!DB52*Calculateur!DD52*VLOOKUP('Données projet'!$B$13,Paramètres!$A$1:$I$89,3,0)*0.475*44/12</f>
        <v>4.7251819139447253</v>
      </c>
      <c r="DH52" s="21">
        <f>EXP(-LN(2)/2)*DH51+(1-EXP(-LN(2)/2))/(LN(2)/2)*DB52*DE52*VLOOKUP('Données projet'!$B$13,Paramètres!$A$1:$I$89,3,0)*0.475*44/12</f>
        <v>0.159597110678905</v>
      </c>
      <c r="DI52" s="22">
        <f t="shared" si="15"/>
        <v>21.130270572402633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1">
        <f t="shared" si="32"/>
        <v>12.146954654656575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67">
        <f t="shared" si="1"/>
        <v>385.13127935686015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724</v>
      </c>
      <c r="L53" s="12">
        <f>VLOOKUP(A53,'Données projet'!$A$35:$I$55,9,0)</f>
        <v>20.399999999999999</v>
      </c>
      <c r="M53" s="12">
        <f t="array" ref="M53">INDEX(L:L,MIN(IF(ISNUMBER(L53:L249),ROW(L53:L249),"")))</f>
        <v>20.399999999999999</v>
      </c>
      <c r="N53" s="13">
        <f>IF('Données projet'!$A$36&gt;35,N52+M53-V52,IF(A53&lt;'Données projet'!$A$36,$K$205^A53,IF(A53='Données projet'!$A$36,'Données projet'!$B$36,N52+M53-V52)))</f>
        <v>723.99999999999955</v>
      </c>
      <c r="O53" s="13">
        <f>N53*VLOOKUP('Données projet'!$B$9,Paramètres!$A$1:$I$89,3,0)*VLOOKUP('Données projet'!$B$9,Paramètres!$A$1:$I$89,5,0)</f>
        <v>404.71599999999978</v>
      </c>
      <c r="P53" s="13">
        <f t="shared" si="33"/>
        <v>92.732108655131142</v>
      </c>
      <c r="Q53" s="20">
        <f t="shared" si="53"/>
        <v>866.38878924101971</v>
      </c>
      <c r="R53" s="59">
        <f t="shared" si="0"/>
        <v>1159.7221225743531</v>
      </c>
      <c r="S53" s="59">
        <f ca="1">AVERAGE(OFFSET($R$3,0,0,'Données projet'!$E$9+1,1))-AVERAGE(OFFSET($H$3,0,0,'Données projet'!$E$9+1,1))</f>
        <v>467.03705646400994</v>
      </c>
      <c r="T53" s="59">
        <f t="shared" si="34"/>
        <v>575.68119027684361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62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9.3500000000000014E-2</v>
      </c>
      <c r="Y53" s="16">
        <f>IF(ISNA(VLOOKUP(A53,'Données projet'!$A$35:$I$55,7,0)),0%,VLOOKUP(A53,'Données projet'!$A$35:$I$55,7,0))</f>
        <v>0.13</v>
      </c>
      <c r="Z53" s="21">
        <f>EXP(-LN(2)/35)*Z52+(1-EXP(-LN(2)/35))/(LN(2)/35)*V53*W53*VLOOKUP('Données projet'!$B$9,Paramètres!$A$1:$I$89,3,0)*0.475*44/12</f>
        <v>95.288434017903938</v>
      </c>
      <c r="AA53" s="21">
        <f>EXP(-LN(2)/25)*AA52+(1-EXP(-LN(2)/25))/(LN(2)/25)*Calculateur!V53*Calculateur!X53*VLOOKUP('Données projet'!$B$9,Paramètres!$A$1:$I$89,3,0)*0.475*44/12</f>
        <v>25.34015154173327</v>
      </c>
      <c r="AB53" s="21">
        <f>EXP(-LN(2)/2)*AB52+(1-EXP(-LN(2)/2))/(LN(2)/2)*V53*Y53*VLOOKUP('Données projet'!$B$9,Paramètres!$A$1:$I$89,3,0)*0.475*44/12</f>
        <v>6.2713624486490751</v>
      </c>
      <c r="AC53" s="22">
        <f t="shared" si="3"/>
        <v>126.89994800828627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297</v>
      </c>
      <c r="AG53" s="12">
        <f>VLOOKUP(A53,'Données projet'!$A$61:$I$81,9,0)</f>
        <v>11.6</v>
      </c>
      <c r="AH53" s="12">
        <f t="array" ref="AH53">INDEX(AG:AG,MIN(IF(ISNUMBER(AG53:AG249),ROW(AG53:AG249),"")))</f>
        <v>11.6</v>
      </c>
      <c r="AI53" s="13">
        <f>IF('Données projet'!$A$62&gt;35,AI52+AH53-AQ52,IF(A53&lt;'Données projet'!$A$62,$AF$205^A53,IF(A53='Données projet'!$A$62,'Données projet'!$B$62,AI52+AH53-AQ52)))</f>
        <v>297.00000000000011</v>
      </c>
      <c r="AJ53" s="13">
        <f>AI53*VLOOKUP('Données projet'!$B$10,Paramètres!$A$1:$I$89,3,0)*VLOOKUP('Données projet'!$B$10,Paramètres!$A$1:$I$89,5,0)</f>
        <v>185.32800000000009</v>
      </c>
      <c r="AK53" s="13">
        <f t="shared" si="35"/>
        <v>46.505548070897625</v>
      </c>
      <c r="AL53" s="20">
        <f t="shared" si="4"/>
        <v>403.77676289014681</v>
      </c>
      <c r="AM53" s="59">
        <f t="shared" si="5"/>
        <v>697.11009622348013</v>
      </c>
      <c r="AN53" s="59">
        <f ca="1">AVERAGE(OFFSET($AM$3,0,0,'Données projet'!$E$10+1,1))-AVERAGE(OFFSET($H$3,0,0,'Données projet'!$E$10+1,1))</f>
        <v>252.44760109054914</v>
      </c>
      <c r="AO53" s="59">
        <f t="shared" si="36"/>
        <v>121.75506329394773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0.42</v>
      </c>
      <c r="AS53" s="16">
        <f>IF(ISNA(VLOOKUP(A53,'Données projet'!$A$61:$I$81,6,0)),0%,VLOOKUP(A53,'Données projet'!$A$61:$I$81,6,0)*VLOOKUP('Données projet'!$B$10,Paramètres!$A$1:$I$89,7,0))</f>
        <v>0.10200000000000001</v>
      </c>
      <c r="AT53" s="16">
        <f>IF(ISNA(VLOOKUP(A53,'Données projet'!$A$61:$I$81,7,0)),0%,VLOOKUP(A53,'Données projet'!$A$61:$I$81,7,0))</f>
        <v>0.13</v>
      </c>
      <c r="AU53" s="21">
        <f>EXP(-LN(2)/35)*AU52+(1-EXP(-LN(2)/35))/(LN(2)/35)*AQ53*AR53*VLOOKUP('Données projet'!$B$10,Paramètres!$A$1:$I$89,3,0)*0.475*44/12</f>
        <v>30.240730810289424</v>
      </c>
      <c r="AV53" s="21">
        <f>EXP(-LN(2)/25)*AV52+(1-EXP(-LN(2)/25))/(LN(2)/25)*Calculateur!AQ53*Calculateur!AS53*VLOOKUP('Données projet'!$B$10,Paramètres!$A$1:$I$89,3,0)*0.475*44/12</f>
        <v>8.8994242418936267</v>
      </c>
      <c r="AW53" s="21">
        <f>EXP(-LN(2)/2)*AW52+(1-EXP(-LN(2)/2))/(LN(2)/2)*AQ53*AT53*VLOOKUP('Données projet'!$B$10,Paramètres!$A$1:$I$89,3,0)*0.475*44/12</f>
        <v>2.3433618373224783</v>
      </c>
      <c r="AX53" s="21">
        <f t="shared" si="6"/>
        <v>41.483516889505523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414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413.99999999999994</v>
      </c>
      <c r="BE53" s="13">
        <f>BD53*VLOOKUP('Données projet'!$B$11,Paramètres!$A$1:$I$89,3,0)*VLOOKUP('Données projet'!$B$11,Paramètres!$A$1:$I$89,5,0)</f>
        <v>247.57199999999997</v>
      </c>
      <c r="BF53" s="13">
        <f t="shared" si="37"/>
        <v>60.065726249156526</v>
      </c>
      <c r="BG53" s="20">
        <f t="shared" si="7"/>
        <v>535.80237321728089</v>
      </c>
      <c r="BH53" s="59">
        <f t="shared" si="8"/>
        <v>829.13570655061426</v>
      </c>
      <c r="BI53" s="59">
        <f ca="1">AVERAGE(OFFSET($BH$3,0,0,'Données projet'!$E$11+1,1))-AVERAGE(OFFSET($H$3,0,0,'Données projet'!$E$11+1,1))</f>
        <v>260.97162394079265</v>
      </c>
      <c r="BJ53" s="59">
        <f t="shared" si="38"/>
        <v>279.1836614199691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7.6500000000000012E-2</v>
      </c>
      <c r="BO53" s="16">
        <f>IF(ISNA(VLOOKUP(A53,'Données projet'!$A$87:$I$107,7,0)),0%,VLOOKUP(A53,'Données projet'!$A$87:$I$107,7,0))</f>
        <v>0.13</v>
      </c>
      <c r="BP53" s="21">
        <f>EXP(-LN(2)/35)*BP52+(1-EXP(-LN(2)/35))/(LN(2)/35)*BL53*BM53*VLOOKUP('Données projet'!$B$11,Paramètres!$A$1:$I$89,3,0)*0.475*44/12</f>
        <v>59.259900170471013</v>
      </c>
      <c r="BQ53" s="21">
        <f>EXP(-LN(2)/25)*BQ52+(1-EXP(-LN(2)/25))/(LN(2)/25)*Calculateur!BL53*Calculateur!BN53*VLOOKUP('Données projet'!$B$11,Paramètres!$A$1:$I$89,3,0)*0.475*44/12</f>
        <v>14.495747020514603</v>
      </c>
      <c r="BR53" s="21">
        <f>EXP(-LN(2)/2)*BR52+(1-EXP(-LN(2)/2))/(LN(2)/2)*BL53*BO53*VLOOKUP('Données projet'!$B$11,Paramètres!$A$1:$I$89,3,0)*0.475*44/12</f>
        <v>5.1879366672100007</v>
      </c>
      <c r="BS53" s="22">
        <f t="shared" si="9"/>
        <v>78.943583858195609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352</v>
      </c>
      <c r="BZ53" s="13">
        <f>BY53*VLOOKUP('Données projet'!$B$12,Paramètres!$A$1:$I$89,3,0)*VLOOKUP('Données projet'!$B$12,Paramètres!$A$1:$I$89,5,0)</f>
        <v>210.49600000000004</v>
      </c>
      <c r="CA53" s="13">
        <f t="shared" si="39"/>
        <v>52.043959291168512</v>
      </c>
      <c r="CB53" s="20">
        <f t="shared" si="10"/>
        <v>457.25709576545188</v>
      </c>
      <c r="CC53" s="59">
        <f t="shared" si="11"/>
        <v>750.59042909878519</v>
      </c>
      <c r="CD53" s="59">
        <f ca="1">AVERAGE(OFFSET($CC$3,0,0,'Données projet'!$E$12+1,1))-AVERAGE(OFFSET($H$3,0,0,'Données projet'!$E$12+1,1))</f>
        <v>264.70281355687837</v>
      </c>
      <c r="CE53" s="59">
        <f t="shared" si="40"/>
        <v>199.74194600786768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7.6500000000000012E-2</v>
      </c>
      <c r="CJ53" s="16">
        <f>IF(ISNA(VLOOKUP(A53,'Données projet'!$A$113:$I$133,7,0)),0%,VLOOKUP(A53,'Données projet'!$A$113:$I$133,7,0))</f>
        <v>0.13</v>
      </c>
      <c r="CK53" s="21">
        <f>EXP(-LN(2)/35)*CK52+(1-EXP(-LN(2)/35))/(LN(2)/35)*CG53*CH53*VLOOKUP('Données projet'!$B$12,Paramètres!$A$1:$I$89,3,0)*0.475*44/12</f>
        <v>44.257524193022611</v>
      </c>
      <c r="CL53" s="21">
        <f>EXP(-LN(2)/25)*CL52+(1-EXP(-LN(2)/25))/(LN(2)/25)*Calculateur!CG53*Calculateur!CI53*VLOOKUP('Données projet'!$B$12,Paramètres!$A$1:$I$89,3,0)*0.475*44/12</f>
        <v>11.747501453232294</v>
      </c>
      <c r="CM53" s="21">
        <f>EXP(-LN(2)/2)*CM52+(1-EXP(-LN(2)/2))/(LN(2)/2)*CG53*CJ53*VLOOKUP('Données projet'!$B$12,Paramètres!$A$1:$I$89,3,0)*0.475*44/12</f>
        <v>5.4395077070794171</v>
      </c>
      <c r="CN53" s="22">
        <f t="shared" si="12"/>
        <v>61.444533353334322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258</v>
      </c>
      <c r="CR53" s="12">
        <f>VLOOKUP(A53,'Données projet'!$A$139:$I$159,9,0)</f>
        <v>9.6999999999999993</v>
      </c>
      <c r="CS53" s="12">
        <f t="array" ref="CS53">INDEX(CR:CR,MIN(IF(ISNUMBER(CR53:CR249),ROW(CR53:CR249),"")))</f>
        <v>9.6999999999999993</v>
      </c>
      <c r="CT53" s="12">
        <f>IF('Données projet'!$A$140&gt;35,CT52+CS53-DB52,IF(A53&lt;'Données projet'!$A$140,$CQ$205^A53,IF(A53='Données projet'!$A$140,'Données projet'!$B$140,CT52+CS53-DB52)))</f>
        <v>257.99999999999989</v>
      </c>
      <c r="CU53" s="17">
        <f>CT53*VLOOKUP('Données projet'!$B$13,Paramètres!$A$1:$I$89,3,0)*VLOOKUP('Données projet'!$B$13,Paramètres!$A$1:$I$89,5,0)</f>
        <v>147.57599999999994</v>
      </c>
      <c r="CV53" s="13">
        <f t="shared" si="41"/>
        <v>38.027201687128048</v>
      </c>
      <c r="CW53" s="20">
        <f t="shared" si="13"/>
        <v>323.25890960508121</v>
      </c>
      <c r="CX53" s="59">
        <f t="shared" si="14"/>
        <v>616.59224293841453</v>
      </c>
      <c r="CY53" s="59">
        <f ca="1">AVERAGE(OFFSET($CX$3,0,0,'Données projet'!$E$13+1,1))-AVERAGE(OFFSET($H$3,0,0,'Données projet'!$E$13+1,1))</f>
        <v>149.8619613776458</v>
      </c>
      <c r="CZ53" s="59">
        <f t="shared" si="42"/>
        <v>108.55560257938146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65</v>
      </c>
      <c r="DC53" s="16">
        <f>IF(ISNA(VLOOKUP(A53,'Données projet'!$A$139:$I$159,5,0)),0%,VLOOKUP(A53,'Données projet'!$A$139:$I$159,5,0)*VLOOKUP('Données projet'!$B$13,Paramètres!$A$1:$I$89,7,0))</f>
        <v>0.315</v>
      </c>
      <c r="DD53" s="16">
        <f>IF(ISNA(VLOOKUP(A53,'Données projet'!$A$139:$I$159,6,0)),0%,VLOOKUP(A53,'Données projet'!$A$139:$I$159,6,0)*VLOOKUP('Données projet'!$B$13,Paramètres!$A$1:$I$89,7,0))</f>
        <v>7.6500000000000012E-2</v>
      </c>
      <c r="DE53" s="16">
        <f>IF(ISNA(VLOOKUP(A53,'Données projet'!$A$139:$I$159,7,0)),0%,VLOOKUP(A53,'Données projet'!$A$139:$I$159,7,0))</f>
        <v>0.13</v>
      </c>
      <c r="DF53" s="21">
        <f>EXP(-LN(2)/35)*DF52+(1-EXP(-LN(2)/35))/(LN(2)/35)*DB53*DC53*VLOOKUP('Données projet'!$B$13,Paramètres!$A$1:$I$89,3,0)*0.475*44/12</f>
        <v>31.463252300069755</v>
      </c>
      <c r="DG53" s="21">
        <f>EXP(-LN(2)/25)*DG52+(1-EXP(-LN(2)/25))/(LN(2)/25)*Calculateur!DB53*Calculateur!DD53*VLOOKUP('Données projet'!$B$13,Paramètres!$A$1:$I$89,3,0)*0.475*44/12</f>
        <v>8.3542228878645268</v>
      </c>
      <c r="DH53" s="21">
        <f>EXP(-LN(2)/2)*DH52+(1-EXP(-LN(2)/2))/(LN(2)/2)*DB53*DE53*VLOOKUP('Données projet'!$B$13,Paramètres!$A$1:$I$89,3,0)*0.475*44/12</f>
        <v>5.5853837860832547</v>
      </c>
      <c r="DI53" s="22">
        <f t="shared" si="15"/>
        <v>45.402858974017533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1">
        <f t="shared" si="32"/>
        <v>12.361367612157633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67">
        <f t="shared" si="1"/>
        <v>386.91755525784112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15.4</v>
      </c>
      <c r="N54" s="13">
        <f>IF('Données projet'!$A$36&gt;35,N53+M54-V53,IF(A54&lt;'Données projet'!$A$36,$K$205^A54,IF(A54='Données projet'!$A$36,'Données projet'!$B$36,N53+M54-V53)))</f>
        <v>677.39999999999952</v>
      </c>
      <c r="O54" s="13">
        <f>N54*VLOOKUP('Données projet'!$B$9,Paramètres!$A$1:$I$89,3,0)*VLOOKUP('Données projet'!$B$9,Paramètres!$A$1:$I$89,5,0)</f>
        <v>378.66659999999979</v>
      </c>
      <c r="P54" s="13">
        <f t="shared" si="33"/>
        <v>87.437946637883755</v>
      </c>
      <c r="Q54" s="20">
        <f t="shared" si="53"/>
        <v>811.79875206098052</v>
      </c>
      <c r="R54" s="59">
        <f t="shared" si="0"/>
        <v>1105.1320853943139</v>
      </c>
      <c r="S54" s="59">
        <f ca="1">AVERAGE(OFFSET($R$3,0,0,'Données projet'!$E$9+1,1))-AVERAGE(OFFSET($H$3,0,0,'Données projet'!$E$9+1,1))</f>
        <v>467.03705646400994</v>
      </c>
      <c r="T54" s="59">
        <f t="shared" si="34"/>
        <v>575.68119027684361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93.419885947018699</v>
      </c>
      <c r="AA54" s="21">
        <f>EXP(-LN(2)/25)*AA53+(1-EXP(-LN(2)/25))/(LN(2)/25)*Calculateur!V54*Calculateur!X54*VLOOKUP('Données projet'!$B$9,Paramètres!$A$1:$I$89,3,0)*0.475*44/12</f>
        <v>24.647223765243922</v>
      </c>
      <c r="AB54" s="21">
        <f>EXP(-LN(2)/2)*AB53+(1-EXP(-LN(2)/2))/(LN(2)/2)*V54*Y54*VLOOKUP('Données projet'!$B$9,Paramètres!$A$1:$I$89,3,0)*0.475*44/12</f>
        <v>4.4345229147184329</v>
      </c>
      <c r="AC54" s="22">
        <f t="shared" si="3"/>
        <v>122.50163262698105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10.8</v>
      </c>
      <c r="AI54" s="13">
        <f>IF('Données projet'!$A$62&gt;35,AI53+AH54-AQ53,IF(A54&lt;'Données projet'!$A$62,$AF$205^A54,IF(A54='Données projet'!$A$62,'Données projet'!$B$62,AI53+AH54-AQ53)))</f>
        <v>286.80000000000013</v>
      </c>
      <c r="AJ54" s="13">
        <f>AI54*VLOOKUP('Données projet'!$B$10,Paramètres!$A$1:$I$89,3,0)*VLOOKUP('Données projet'!$B$10,Paramètres!$A$1:$I$89,5,0)</f>
        <v>178.96320000000006</v>
      </c>
      <c r="AK54" s="13">
        <f t="shared" si="35"/>
        <v>45.091439774616795</v>
      </c>
      <c r="AL54" s="20">
        <f t="shared" si="4"/>
        <v>390.22849760745765</v>
      </c>
      <c r="AM54" s="59">
        <f t="shared" si="5"/>
        <v>683.56183094079097</v>
      </c>
      <c r="AN54" s="59">
        <f ca="1">AVERAGE(OFFSET($AM$3,0,0,'Données projet'!$E$10+1,1))-AVERAGE(OFFSET($H$3,0,0,'Données projet'!$E$10+1,1))</f>
        <v>252.44760109054914</v>
      </c>
      <c r="AO54" s="59">
        <f t="shared" si="36"/>
        <v>121.75506329394773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29.647728524124147</v>
      </c>
      <c r="AV54" s="21">
        <f>EXP(-LN(2)/25)*AV53+(1-EXP(-LN(2)/25))/(LN(2)/25)*Calculateur!AQ54*Calculateur!AS54*VLOOKUP('Données projet'!$B$10,Paramètres!$A$1:$I$89,3,0)*0.475*44/12</f>
        <v>8.6560690179986643</v>
      </c>
      <c r="AW54" s="21">
        <f>EXP(-LN(2)/2)*AW53+(1-EXP(-LN(2)/2))/(LN(2)/2)*AQ54*AT54*VLOOKUP('Données projet'!$B$10,Paramètres!$A$1:$I$89,3,0)*0.475*44/12</f>
        <v>1.6570070459444917</v>
      </c>
      <c r="AX54" s="21">
        <f t="shared" si="6"/>
        <v>39.960804588067298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386.19999999999993</v>
      </c>
      <c r="BE54" s="13">
        <f>BD54*VLOOKUP('Données projet'!$B$11,Paramètres!$A$1:$I$89,3,0)*VLOOKUP('Données projet'!$B$11,Paramètres!$A$1:$I$89,5,0)</f>
        <v>230.94759999999999</v>
      </c>
      <c r="BF54" s="13">
        <f t="shared" si="37"/>
        <v>56.487525751065782</v>
      </c>
      <c r="BG54" s="20">
        <f t="shared" si="7"/>
        <v>500.61617734977284</v>
      </c>
      <c r="BH54" s="59">
        <f t="shared" si="8"/>
        <v>793.94951068310615</v>
      </c>
      <c r="BI54" s="59">
        <f ca="1">AVERAGE(OFFSET($BH$3,0,0,'Données projet'!$E$11+1,1))-AVERAGE(OFFSET($H$3,0,0,'Données projet'!$E$11+1,1))</f>
        <v>260.97162394079265</v>
      </c>
      <c r="BJ54" s="59">
        <f t="shared" si="38"/>
        <v>279.1836614199691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58.09784967309816</v>
      </c>
      <c r="BQ54" s="21">
        <f>EXP(-LN(2)/25)*BQ53+(1-EXP(-LN(2)/25))/(LN(2)/25)*Calculateur!BL54*Calculateur!BN54*VLOOKUP('Données projet'!$B$11,Paramètres!$A$1:$I$89,3,0)*0.475*44/12</f>
        <v>14.099360055940426</v>
      </c>
      <c r="BR54" s="21">
        <f>EXP(-LN(2)/2)*BR53+(1-EXP(-LN(2)/2))/(LN(2)/2)*BL54*BO54*VLOOKUP('Données projet'!$B$11,Paramètres!$A$1:$I$89,3,0)*0.475*44/12</f>
        <v>3.6684251977505289</v>
      </c>
      <c r="BS54" s="22">
        <f t="shared" si="9"/>
        <v>75.865634926789113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316.625</v>
      </c>
      <c r="BZ54" s="13">
        <f>BY54*VLOOKUP('Données projet'!$B$12,Paramètres!$A$1:$I$89,3,0)*VLOOKUP('Données projet'!$B$12,Paramètres!$A$1:$I$89,5,0)</f>
        <v>189.34175000000002</v>
      </c>
      <c r="CA54" s="13">
        <f t="shared" si="39"/>
        <v>47.394393740797923</v>
      </c>
      <c r="CB54" s="20">
        <f t="shared" si="10"/>
        <v>412.3154503485564</v>
      </c>
      <c r="CC54" s="59">
        <f t="shared" si="11"/>
        <v>705.64878368188965</v>
      </c>
      <c r="CD54" s="59">
        <f ca="1">AVERAGE(OFFSET($CC$3,0,0,'Données projet'!$E$12+1,1))-AVERAGE(OFFSET($H$3,0,0,'Données projet'!$E$12+1,1))</f>
        <v>264.70281355687837</v>
      </c>
      <c r="CE54" s="59">
        <f t="shared" si="40"/>
        <v>199.74194600786768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43.389661138021715</v>
      </c>
      <c r="CL54" s="21">
        <f>EXP(-LN(2)/25)*CL53+(1-EXP(-LN(2)/25))/(LN(2)/25)*Calculateur!CG54*Calculateur!CI54*VLOOKUP('Données projet'!$B$12,Paramètres!$A$1:$I$89,3,0)*0.475*44/12</f>
        <v>11.426265408219406</v>
      </c>
      <c r="CM54" s="21">
        <f>EXP(-LN(2)/2)*CM53+(1-EXP(-LN(2)/2))/(LN(2)/2)*CG54*CJ54*VLOOKUP('Données projet'!$B$12,Paramètres!$A$1:$I$89,3,0)*0.475*44/12</f>
        <v>3.8463127859923447</v>
      </c>
      <c r="CN54" s="22">
        <f t="shared" si="12"/>
        <v>58.662239332233469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14.1</v>
      </c>
      <c r="CT54" s="12">
        <f>IF('Données projet'!$A$140&gt;35,CT53+CS54-DB53,IF(A54&lt;'Données projet'!$A$140,$CQ$205^A54,IF(A54='Données projet'!$A$140,'Données projet'!$B$140,CT53+CS54-DB53)))</f>
        <v>207.09999999999991</v>
      </c>
      <c r="CU54" s="17">
        <f>CT54*VLOOKUP('Données projet'!$B$13,Paramètres!$A$1:$I$89,3,0)*VLOOKUP('Données projet'!$B$13,Paramètres!$A$1:$I$89,5,0)</f>
        <v>118.46119999999996</v>
      </c>
      <c r="CV54" s="13">
        <f t="shared" si="41"/>
        <v>31.315830323748475</v>
      </c>
      <c r="CW54" s="20">
        <f t="shared" si="13"/>
        <v>260.86166114719521</v>
      </c>
      <c r="CX54" s="59">
        <f t="shared" si="14"/>
        <v>554.19499448052852</v>
      </c>
      <c r="CY54" s="59">
        <f ca="1">AVERAGE(OFFSET($CX$3,0,0,'Données projet'!$E$13+1,1))-AVERAGE(OFFSET($H$3,0,0,'Données projet'!$E$13+1,1))</f>
        <v>149.8619613776458</v>
      </c>
      <c r="CZ54" s="59">
        <f t="shared" si="42"/>
        <v>108.55560257938146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30.846277113154368</v>
      </c>
      <c r="DG54" s="21">
        <f>EXP(-LN(2)/25)*DG53+(1-EXP(-LN(2)/25))/(LN(2)/25)*Calculateur!DB54*Calculateur!DD54*VLOOKUP('Données projet'!$B$13,Paramètres!$A$1:$I$89,3,0)*0.475*44/12</f>
        <v>8.1257762236663833</v>
      </c>
      <c r="DH54" s="21">
        <f>EXP(-LN(2)/2)*DH53+(1-EXP(-LN(2)/2))/(LN(2)/2)*DB54*DE54*VLOOKUP('Données projet'!$B$13,Paramètres!$A$1:$I$89,3,0)*0.475*44/12</f>
        <v>3.9494627506688627</v>
      </c>
      <c r="DI54" s="22">
        <f t="shared" si="15"/>
        <v>42.921516087489614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1">
        <f t="shared" si="32"/>
        <v>12.575291728530665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67">
        <f t="shared" si="1"/>
        <v>388.70297976052422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15.4</v>
      </c>
      <c r="N55" s="13">
        <f>IF('Données projet'!$A$36&gt;35,N54+M55-V54,IF(A55&lt;'Données projet'!$A$36,$K$205^A55,IF(A55='Données projet'!$A$36,'Données projet'!$B$36,N54+M55-V54)))</f>
        <v>692.7999999999995</v>
      </c>
      <c r="O55" s="13">
        <f>N55*VLOOKUP('Données projet'!$B$9,Paramètres!$A$1:$I$89,3,0)*VLOOKUP('Données projet'!$B$9,Paramètres!$A$1:$I$89,5,0)</f>
        <v>387.2751999999997</v>
      </c>
      <c r="P55" s="13">
        <f t="shared" si="33"/>
        <v>89.192073473767834</v>
      </c>
      <c r="Q55" s="20">
        <f t="shared" si="53"/>
        <v>829.84716796681175</v>
      </c>
      <c r="R55" s="59">
        <f t="shared" si="0"/>
        <v>1123.1805013001451</v>
      </c>
      <c r="S55" s="59">
        <f ca="1">AVERAGE(OFFSET($R$3,0,0,'Données projet'!$E$9+1,1))-AVERAGE(OFFSET($H$3,0,0,'Données projet'!$E$9+1,1))</f>
        <v>467.03705646400994</v>
      </c>
      <c r="T55" s="59">
        <f t="shared" si="34"/>
        <v>575.68119027684361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91.587978964101737</v>
      </c>
      <c r="AA55" s="21">
        <f>EXP(-LN(2)/25)*AA54+(1-EXP(-LN(2)/25))/(LN(2)/25)*Calculateur!V55*Calculateur!X55*VLOOKUP('Données projet'!$B$9,Paramètres!$A$1:$I$89,3,0)*0.475*44/12</f>
        <v>23.973244135242162</v>
      </c>
      <c r="AB55" s="21">
        <f>EXP(-LN(2)/2)*AB54+(1-EXP(-LN(2)/2))/(LN(2)/2)*V55*Y55*VLOOKUP('Données projet'!$B$9,Paramètres!$A$1:$I$89,3,0)*0.475*44/12</f>
        <v>3.135681224324538</v>
      </c>
      <c r="AC55" s="22">
        <f t="shared" si="3"/>
        <v>118.69690432366843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10.8</v>
      </c>
      <c r="AI55" s="13">
        <f>IF('Données projet'!$A$62&gt;35,AI54+AH55-AQ54,IF(A55&lt;'Données projet'!$A$62,$AF$205^A55,IF(A55='Données projet'!$A$62,'Données projet'!$B$62,AI54+AH55-AQ54)))</f>
        <v>297.60000000000014</v>
      </c>
      <c r="AJ55" s="13">
        <f>AI55*VLOOKUP('Données projet'!$B$10,Paramètres!$A$1:$I$89,3,0)*VLOOKUP('Données projet'!$B$10,Paramètres!$A$1:$I$89,5,0)</f>
        <v>185.7024000000001</v>
      </c>
      <c r="AK55" s="13">
        <f t="shared" si="35"/>
        <v>46.588553069776829</v>
      </c>
      <c r="AL55" s="20">
        <f t="shared" si="4"/>
        <v>404.57340992986138</v>
      </c>
      <c r="AM55" s="59">
        <f t="shared" si="5"/>
        <v>697.9067432631947</v>
      </c>
      <c r="AN55" s="59">
        <f ca="1">AVERAGE(OFFSET($AM$3,0,0,'Données projet'!$E$10+1,1))-AVERAGE(OFFSET($H$3,0,0,'Données projet'!$E$10+1,1))</f>
        <v>252.44760109054914</v>
      </c>
      <c r="AO55" s="59">
        <f t="shared" si="36"/>
        <v>121.75506329394773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29.066354651094894</v>
      </c>
      <c r="AV55" s="21">
        <f>EXP(-LN(2)/25)*AV54+(1-EXP(-LN(2)/25))/(LN(2)/25)*Calculateur!AQ55*Calculateur!AS55*VLOOKUP('Données projet'!$B$10,Paramètres!$A$1:$I$89,3,0)*0.475*44/12</f>
        <v>8.4193683554986052</v>
      </c>
      <c r="AW55" s="21">
        <f>EXP(-LN(2)/2)*AW54+(1-EXP(-LN(2)/2))/(LN(2)/2)*AQ55*AT55*VLOOKUP('Données projet'!$B$10,Paramètres!$A$1:$I$89,3,0)*0.475*44/12</f>
        <v>1.1716809186612394</v>
      </c>
      <c r="AX55" s="21">
        <f t="shared" si="6"/>
        <v>38.657403925254741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405.39999999999992</v>
      </c>
      <c r="BE55" s="13">
        <f>BD55*VLOOKUP('Données projet'!$B$11,Paramètres!$A$1:$I$89,3,0)*VLOOKUP('Données projet'!$B$11,Paramètres!$A$1:$I$89,5,0)</f>
        <v>242.42919999999998</v>
      </c>
      <c r="BF55" s="13">
        <f t="shared" si="37"/>
        <v>58.961877963646643</v>
      </c>
      <c r="BG55" s="20">
        <f t="shared" si="7"/>
        <v>524.9227941200179</v>
      </c>
      <c r="BH55" s="59">
        <f t="shared" si="8"/>
        <v>818.25612745335116</v>
      </c>
      <c r="BI55" s="59">
        <f ca="1">AVERAGE(OFFSET($BH$3,0,0,'Données projet'!$E$11+1,1))-AVERAGE(OFFSET($H$3,0,0,'Données projet'!$E$11+1,1))</f>
        <v>260.97162394079265</v>
      </c>
      <c r="BJ55" s="59">
        <f t="shared" si="38"/>
        <v>279.1836614199691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56.958586277197973</v>
      </c>
      <c r="BQ55" s="21">
        <f>EXP(-LN(2)/25)*BQ54+(1-EXP(-LN(2)/25))/(LN(2)/25)*Calculateur!BL55*Calculateur!BN55*VLOOKUP('Données projet'!$B$11,Paramètres!$A$1:$I$89,3,0)*0.475*44/12</f>
        <v>13.713812313757614</v>
      </c>
      <c r="BR55" s="21">
        <f>EXP(-LN(2)/2)*BR54+(1-EXP(-LN(2)/2))/(LN(2)/2)*BL55*BO55*VLOOKUP('Données projet'!$B$11,Paramètres!$A$1:$I$89,3,0)*0.475*44/12</f>
        <v>2.5939683336050008</v>
      </c>
      <c r="BS55" s="22">
        <f t="shared" si="9"/>
        <v>73.2663669245606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334.25</v>
      </c>
      <c r="BZ55" s="13">
        <f>BY55*VLOOKUP('Données projet'!$B$12,Paramètres!$A$1:$I$89,3,0)*VLOOKUP('Données projet'!$B$12,Paramètres!$A$1:$I$89,5,0)</f>
        <v>199.88149999999999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728.05267866483246</v>
      </c>
      <c r="CD55" s="59">
        <f ca="1">AVERAGE(OFFSET($CC$3,0,0,'Données projet'!$E$12+1,1))-AVERAGE(OFFSET($H$3,0,0,'Données projet'!$E$12+1,1))</f>
        <v>264.70281355687837</v>
      </c>
      <c r="CE55" s="59">
        <f t="shared" si="40"/>
        <v>199.74194600786768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42.538816348185193</v>
      </c>
      <c r="CL55" s="21">
        <f>EXP(-LN(2)/25)*CL54+(1-EXP(-LN(2)/25))/(LN(2)/25)*Calculateur!CG55*Calculateur!CI55*VLOOKUP('Données projet'!$B$12,Paramètres!$A$1:$I$89,3,0)*0.475*44/12</f>
        <v>11.113813579750463</v>
      </c>
      <c r="CM55" s="21">
        <f>EXP(-LN(2)/2)*CM54+(1-EXP(-LN(2)/2))/(LN(2)/2)*CG55*CJ55*VLOOKUP('Données projet'!$B$12,Paramètres!$A$1:$I$89,3,0)*0.475*44/12</f>
        <v>2.719753853539709</v>
      </c>
      <c r="CN55" s="22">
        <f t="shared" si="12"/>
        <v>56.372383781475364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14.1</v>
      </c>
      <c r="CT55" s="12">
        <f>IF('Données projet'!$A$140&gt;35,CT54+CS55-DB54,IF(A55&lt;'Données projet'!$A$140,$CQ$205^A55,IF(A55='Données projet'!$A$140,'Données projet'!$B$140,CT54+CS55-DB54)))</f>
        <v>221.1999999999999</v>
      </c>
      <c r="CU55" s="17">
        <f>CT55*VLOOKUP('Données projet'!$B$13,Paramètres!$A$1:$I$89,3,0)*VLOOKUP('Données projet'!$B$13,Paramètres!$A$1:$I$89,5,0)</f>
        <v>126.52639999999995</v>
      </c>
      <c r="CV55" s="13">
        <f t="shared" si="41"/>
        <v>33.192451570444668</v>
      </c>
      <c r="CW55" s="20">
        <f t="shared" si="13"/>
        <v>278.17699981852439</v>
      </c>
      <c r="CX55" s="59">
        <f t="shared" si="14"/>
        <v>571.51033315185771</v>
      </c>
      <c r="CY55" s="59">
        <f ca="1">AVERAGE(OFFSET($CX$3,0,0,'Données projet'!$E$13+1,1))-AVERAGE(OFFSET($H$3,0,0,'Données projet'!$E$13+1,1))</f>
        <v>149.8619613776458</v>
      </c>
      <c r="CZ55" s="59">
        <f t="shared" si="42"/>
        <v>108.55560257938146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30.241400433336686</v>
      </c>
      <c r="DG55" s="21">
        <f>EXP(-LN(2)/25)*DG54+(1-EXP(-LN(2)/25))/(LN(2)/25)*Calculateur!DB55*Calculateur!DD55*VLOOKUP('Données projet'!$B$13,Paramètres!$A$1:$I$89,3,0)*0.475*44/12</f>
        <v>7.9035764455142266</v>
      </c>
      <c r="DH55" s="21">
        <f>EXP(-LN(2)/2)*DH54+(1-EXP(-LN(2)/2))/(LN(2)/2)*DB55*DE55*VLOOKUP('Données projet'!$B$13,Paramètres!$A$1:$I$89,3,0)*0.475*44/12</f>
        <v>2.7926918930416278</v>
      </c>
      <c r="DI55" s="22">
        <f t="shared" si="15"/>
        <v>40.93766877189254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1">
        <f t="shared" si="32"/>
        <v>12.788737488384839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67">
        <f t="shared" si="1"/>
        <v>390.48757112560355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15.4</v>
      </c>
      <c r="N56" s="13">
        <f>IF('Données projet'!$A$36&gt;35,N55+M56-V55,IF(A56&lt;'Données projet'!$A$36,$K$205^A56,IF(A56='Données projet'!$A$36,'Données projet'!$B$36,N55+M56-V55)))</f>
        <v>708.19999999999948</v>
      </c>
      <c r="O56" s="13">
        <f>N56*VLOOKUP('Données projet'!$B$9,Paramètres!$A$1:$I$89,3,0)*VLOOKUP('Données projet'!$B$9,Paramètres!$A$1:$I$89,5,0)</f>
        <v>395.88379999999972</v>
      </c>
      <c r="P56" s="13">
        <f t="shared" si="33"/>
        <v>90.941667130422957</v>
      </c>
      <c r="Q56" s="20">
        <f t="shared" si="53"/>
        <v>847.8876885854861</v>
      </c>
      <c r="R56" s="59">
        <f t="shared" si="0"/>
        <v>1141.2210219188194</v>
      </c>
      <c r="S56" s="59">
        <f ca="1">AVERAGE(OFFSET($R$3,0,0,'Données projet'!$E$9+1,1))-AVERAGE(OFFSET($H$3,0,0,'Données projet'!$E$9+1,1))</f>
        <v>467.03705646400994</v>
      </c>
      <c r="T56" s="59">
        <f t="shared" si="34"/>
        <v>575.68119027684361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89.791994559766849</v>
      </c>
      <c r="AA56" s="21">
        <f>EXP(-LN(2)/25)*AA55+(1-EXP(-LN(2)/25))/(LN(2)/25)*Calculateur!V56*Calculateur!X56*VLOOKUP('Données projet'!$B$9,Paramètres!$A$1:$I$89,3,0)*0.475*44/12</f>
        <v>23.317694513665849</v>
      </c>
      <c r="AB56" s="21">
        <f>EXP(-LN(2)/2)*AB55+(1-EXP(-LN(2)/2))/(LN(2)/2)*V56*Y56*VLOOKUP('Données projet'!$B$9,Paramètres!$A$1:$I$89,3,0)*0.475*44/12</f>
        <v>2.2172614573592169</v>
      </c>
      <c r="AC56" s="22">
        <f t="shared" si="3"/>
        <v>115.3269505307919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10.8</v>
      </c>
      <c r="AI56" s="13">
        <f>IF('Données projet'!$A$62&gt;35,AI55+AH56-AQ55,IF(A56&lt;'Données projet'!$A$62,$AF$205^A56,IF(A56='Données projet'!$A$62,'Données projet'!$B$62,AI55+AH56-AQ55)))</f>
        <v>308.40000000000015</v>
      </c>
      <c r="AJ56" s="13">
        <f>AI56*VLOOKUP('Données projet'!$B$10,Paramètres!$A$1:$I$89,3,0)*VLOOKUP('Données projet'!$B$10,Paramètres!$A$1:$I$89,5,0)</f>
        <v>192.44160000000011</v>
      </c>
      <c r="AK56" s="13">
        <f t="shared" si="35"/>
        <v>48.079354143400316</v>
      </c>
      <c r="AL56" s="20">
        <f t="shared" si="4"/>
        <v>418.90732846642237</v>
      </c>
      <c r="AM56" s="59">
        <f t="shared" si="5"/>
        <v>712.24066179975569</v>
      </c>
      <c r="AN56" s="59">
        <f ca="1">AVERAGE(OFFSET($AM$3,0,0,'Données projet'!$E$10+1,1))-AVERAGE(OFFSET($H$3,0,0,'Données projet'!$E$10+1,1))</f>
        <v>252.44760109054914</v>
      </c>
      <c r="AO56" s="59">
        <f t="shared" si="36"/>
        <v>121.75506329394773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28.496381165112695</v>
      </c>
      <c r="AV56" s="21">
        <f>EXP(-LN(2)/25)*AV55+(1-EXP(-LN(2)/25))/(LN(2)/25)*Calculateur!AQ56*Calculateur!AS56*VLOOKUP('Données projet'!$B$10,Paramètres!$A$1:$I$89,3,0)*0.475*44/12</f>
        <v>8.1891402850621571</v>
      </c>
      <c r="AW56" s="21">
        <f>EXP(-LN(2)/2)*AW55+(1-EXP(-LN(2)/2))/(LN(2)/2)*AQ56*AT56*VLOOKUP('Données projet'!$B$10,Paramètres!$A$1:$I$89,3,0)*0.475*44/12</f>
        <v>0.82850352297224605</v>
      </c>
      <c r="AX56" s="21">
        <f t="shared" si="6"/>
        <v>37.514024973147102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424.59999999999991</v>
      </c>
      <c r="BE56" s="13">
        <f>BD56*VLOOKUP('Données projet'!$B$11,Paramètres!$A$1:$I$89,3,0)*VLOOKUP('Données projet'!$B$11,Paramètres!$A$1:$I$89,5,0)</f>
        <v>253.91079999999997</v>
      </c>
      <c r="BF56" s="13">
        <f t="shared" si="37"/>
        <v>61.422621781167194</v>
      </c>
      <c r="BG56" s="20">
        <f t="shared" si="7"/>
        <v>549.20570960219936</v>
      </c>
      <c r="BH56" s="59">
        <f t="shared" si="8"/>
        <v>842.53904293553273</v>
      </c>
      <c r="BI56" s="59">
        <f ca="1">AVERAGE(OFFSET($BH$3,0,0,'Données projet'!$E$11+1,1))-AVERAGE(OFFSET($H$3,0,0,'Données projet'!$E$11+1,1))</f>
        <v>260.97162394079265</v>
      </c>
      <c r="BJ56" s="59">
        <f t="shared" si="38"/>
        <v>279.1836614199691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55.841663141609331</v>
      </c>
      <c r="BQ56" s="21">
        <f>EXP(-LN(2)/25)*BQ55+(1-EXP(-LN(2)/25))/(LN(2)/25)*Calculateur!BL56*Calculateur!BN56*VLOOKUP('Données projet'!$B$11,Paramètres!$A$1:$I$89,3,0)*0.475*44/12</f>
        <v>13.338807394859867</v>
      </c>
      <c r="BR56" s="21">
        <f>EXP(-LN(2)/2)*BR55+(1-EXP(-LN(2)/2))/(LN(2)/2)*BL56*BO56*VLOOKUP('Données projet'!$B$11,Paramètres!$A$1:$I$89,3,0)*0.475*44/12</f>
        <v>1.8342125988752647</v>
      </c>
      <c r="BS56" s="22">
        <f t="shared" si="9"/>
        <v>71.01468313534447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351.875</v>
      </c>
      <c r="BZ56" s="13">
        <f>BY56*VLOOKUP('Données projet'!$B$12,Paramètres!$A$1:$I$89,3,0)*VLOOKUP('Données projet'!$B$12,Paramètres!$A$1:$I$89,5,0)</f>
        <v>210.42125000000001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750.43179703932651</v>
      </c>
      <c r="CD56" s="59">
        <f ca="1">AVERAGE(OFFSET($CC$3,0,0,'Données projet'!$E$12+1,1))-AVERAGE(OFFSET($H$3,0,0,'Données projet'!$E$12+1,1))</f>
        <v>264.70281355687837</v>
      </c>
      <c r="CE56" s="59">
        <f t="shared" si="40"/>
        <v>199.74194600786768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41.704656105713291</v>
      </c>
      <c r="CL56" s="21">
        <f>EXP(-LN(2)/25)*CL55+(1-EXP(-LN(2)/25))/(LN(2)/25)*Calculateur!CG56*Calculateur!CI56*VLOOKUP('Données projet'!$B$12,Paramètres!$A$1:$I$89,3,0)*0.475*44/12</f>
        <v>10.809905762962131</v>
      </c>
      <c r="CM56" s="21">
        <f>EXP(-LN(2)/2)*CM55+(1-EXP(-LN(2)/2))/(LN(2)/2)*CG56*CJ56*VLOOKUP('Données projet'!$B$12,Paramètres!$A$1:$I$89,3,0)*0.475*44/12</f>
        <v>1.9231563929961726</v>
      </c>
      <c r="CN56" s="22">
        <f t="shared" si="12"/>
        <v>54.437718261671591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14.1</v>
      </c>
      <c r="CT56" s="12">
        <f>IF('Données projet'!$A$140&gt;35,CT55+CS56-DB55,IF(A56&lt;'Données projet'!$A$140,$CQ$205^A56,IF(A56='Données projet'!$A$140,'Données projet'!$B$140,CT55+CS56-DB55)))</f>
        <v>235.2999999999999</v>
      </c>
      <c r="CU56" s="17">
        <f>CT56*VLOOKUP('Données projet'!$B$13,Paramètres!$A$1:$I$89,3,0)*VLOOKUP('Données projet'!$B$13,Paramètres!$A$1:$I$89,5,0)</f>
        <v>134.59159999999994</v>
      </c>
      <c r="CV56" s="13">
        <f t="shared" si="41"/>
        <v>35.055190437702223</v>
      </c>
      <c r="CW56" s="20">
        <f t="shared" si="13"/>
        <v>295.46816001233128</v>
      </c>
      <c r="CX56" s="59">
        <f t="shared" si="14"/>
        <v>588.80149334566454</v>
      </c>
      <c r="CY56" s="59">
        <f ca="1">AVERAGE(OFFSET($CX$3,0,0,'Données projet'!$E$13+1,1))-AVERAGE(OFFSET($H$3,0,0,'Données projet'!$E$13+1,1))</f>
        <v>149.8619613776458</v>
      </c>
      <c r="CZ56" s="59">
        <f t="shared" si="42"/>
        <v>108.55560257938146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29.648385016271884</v>
      </c>
      <c r="DG56" s="21">
        <f>EXP(-LN(2)/25)*DG55+(1-EXP(-LN(2)/25))/(LN(2)/25)*Calculateur!DB56*Calculateur!DD56*VLOOKUP('Données projet'!$B$13,Paramètres!$A$1:$I$89,3,0)*0.475*44/12</f>
        <v>7.6874527319806187</v>
      </c>
      <c r="DH56" s="21">
        <f>EXP(-LN(2)/2)*DH55+(1-EXP(-LN(2)/2))/(LN(2)/2)*DB56*DE56*VLOOKUP('Données projet'!$B$13,Paramètres!$A$1:$I$89,3,0)*0.475*44/12</f>
        <v>1.9747313753344315</v>
      </c>
      <c r="DI56" s="22">
        <f t="shared" si="15"/>
        <v>39.31056912358693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1">
        <f t="shared" si="32"/>
        <v>13.001714958042184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67">
        <f t="shared" si="1"/>
        <v>392.27134688525672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15.4</v>
      </c>
      <c r="N57" s="13">
        <f>IF('Données projet'!$A$36&gt;35,N56+M57-V56,IF(A57&lt;'Données projet'!$A$36,$K$205^A57,IF(A57='Données projet'!$A$36,'Données projet'!$B$36,N56+M57-V56)))</f>
        <v>723.59999999999945</v>
      </c>
      <c r="O57" s="13">
        <f>N57*VLOOKUP('Données projet'!$B$9,Paramètres!$A$1:$I$89,3,0)*VLOOKUP('Données projet'!$B$9,Paramètres!$A$1:$I$89,5,0)</f>
        <v>404.49239999999969</v>
      </c>
      <c r="P57" s="13">
        <f t="shared" si="33"/>
        <v>92.686837535548761</v>
      </c>
      <c r="Q57" s="20">
        <f t="shared" si="53"/>
        <v>865.92050537441344</v>
      </c>
      <c r="R57" s="59">
        <f t="shared" si="0"/>
        <v>1159.2538387077468</v>
      </c>
      <c r="S57" s="59">
        <f ca="1">AVERAGE(OFFSET($R$3,0,0,'Données projet'!$E$9+1,1))-AVERAGE(OFFSET($H$3,0,0,'Données projet'!$E$9+1,1))</f>
        <v>467.03705646400994</v>
      </c>
      <c r="T57" s="59">
        <f t="shared" si="34"/>
        <v>575.68119027684361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88.031228314158639</v>
      </c>
      <c r="AA57" s="21">
        <f>EXP(-LN(2)/25)*AA56+(1-EXP(-LN(2)/25))/(LN(2)/25)*Calculateur!V57*Calculateur!X57*VLOOKUP('Données projet'!$B$9,Paramètres!$A$1:$I$89,3,0)*0.475*44/12</f>
        <v>22.680070930965396</v>
      </c>
      <c r="AB57" s="21">
        <f>EXP(-LN(2)/2)*AB56+(1-EXP(-LN(2)/2))/(LN(2)/2)*V57*Y57*VLOOKUP('Données projet'!$B$9,Paramètres!$A$1:$I$89,3,0)*0.475*44/12</f>
        <v>1.5678406121622694</v>
      </c>
      <c r="AC57" s="22">
        <f t="shared" si="3"/>
        <v>112.27913985728631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10.8</v>
      </c>
      <c r="AI57" s="13">
        <f>IF('Données projet'!$A$62&gt;35,AI56+AH57-AQ56,IF(A57&lt;'Données projet'!$A$62,$AF$205^A57,IF(A57='Données projet'!$A$62,'Données projet'!$B$62,AI56+AH57-AQ56)))</f>
        <v>319.20000000000016</v>
      </c>
      <c r="AJ57" s="13">
        <f>AI57*VLOOKUP('Données projet'!$B$10,Paramètres!$A$1:$I$89,3,0)*VLOOKUP('Données projet'!$B$10,Paramètres!$A$1:$I$89,5,0)</f>
        <v>199.18080000000009</v>
      </c>
      <c r="AK57" s="13">
        <f t="shared" si="35"/>
        <v>49.564089376413726</v>
      </c>
      <c r="AL57" s="20">
        <f t="shared" si="4"/>
        <v>433.2306823305874</v>
      </c>
      <c r="AM57" s="59">
        <f t="shared" si="5"/>
        <v>726.56401566392071</v>
      </c>
      <c r="AN57" s="59">
        <f ca="1">AVERAGE(OFFSET($AM$3,0,0,'Données projet'!$E$10+1,1))-AVERAGE(OFFSET($H$3,0,0,'Données projet'!$E$10+1,1))</f>
        <v>252.44760109054914</v>
      </c>
      <c r="AO57" s="59">
        <f t="shared" si="36"/>
        <v>121.75506329394773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27.937584511541107</v>
      </c>
      <c r="AV57" s="21">
        <f>EXP(-LN(2)/25)*AV56+(1-EXP(-LN(2)/25))/(LN(2)/25)*Calculateur!AQ57*Calculateur!AS57*VLOOKUP('Données projet'!$B$10,Paramètres!$A$1:$I$89,3,0)*0.475*44/12</f>
        <v>7.965207813318961</v>
      </c>
      <c r="AW57" s="21">
        <f>EXP(-LN(2)/2)*AW56+(1-EXP(-LN(2)/2))/(LN(2)/2)*AQ57*AT57*VLOOKUP('Données projet'!$B$10,Paramètres!$A$1:$I$89,3,0)*0.475*44/12</f>
        <v>0.58584045933061979</v>
      </c>
      <c r="AX57" s="21">
        <f t="shared" si="6"/>
        <v>36.488632784190685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443.7999999999999</v>
      </c>
      <c r="BE57" s="13">
        <f>BD57*VLOOKUP('Données projet'!$B$11,Paramètres!$A$1:$I$89,3,0)*VLOOKUP('Données projet'!$B$11,Paramètres!$A$1:$I$89,5,0)</f>
        <v>265.39239999999995</v>
      </c>
      <c r="BF57" s="13">
        <f t="shared" si="37"/>
        <v>63.870442862391762</v>
      </c>
      <c r="BG57" s="20">
        <f t="shared" si="7"/>
        <v>573.46611798533218</v>
      </c>
      <c r="BH57" s="59">
        <f t="shared" si="8"/>
        <v>866.79945131866543</v>
      </c>
      <c r="BI57" s="59">
        <f ca="1">AVERAGE(OFFSET($BH$3,0,0,'Données projet'!$E$11+1,1))-AVERAGE(OFFSET($H$3,0,0,'Données projet'!$E$11+1,1))</f>
        <v>260.97162394079265</v>
      </c>
      <c r="BJ57" s="59">
        <f t="shared" si="38"/>
        <v>279.1836614199691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54.746642187453737</v>
      </c>
      <c r="BQ57" s="21">
        <f>EXP(-LN(2)/25)*BQ56+(1-EXP(-LN(2)/25))/(LN(2)/25)*Calculateur!BL57*Calculateur!BN57*VLOOKUP('Données projet'!$B$11,Paramètres!$A$1:$I$89,3,0)*0.475*44/12</f>
        <v>12.974057005190028</v>
      </c>
      <c r="BR57" s="21">
        <f>EXP(-LN(2)/2)*BR56+(1-EXP(-LN(2)/2))/(LN(2)/2)*BL57*BO57*VLOOKUP('Données projet'!$B$11,Paramètres!$A$1:$I$89,3,0)*0.475*44/12</f>
        <v>1.2969841668025006</v>
      </c>
      <c r="BS57" s="22">
        <f t="shared" si="9"/>
        <v>69.017683359446266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369.5</v>
      </c>
      <c r="BZ57" s="13">
        <f>BY57*VLOOKUP('Données projet'!$B$12,Paramètres!$A$1:$I$89,3,0)*VLOOKUP('Données projet'!$B$12,Paramètres!$A$1:$I$89,5,0)</f>
        <v>220.96100000000001</v>
      </c>
      <c r="CA57" s="13">
        <f t="shared" si="39"/>
        <v>54.323701308314739</v>
      </c>
      <c r="CB57" s="20">
        <f t="shared" si="10"/>
        <v>479.45418811198152</v>
      </c>
      <c r="CC57" s="59">
        <f t="shared" si="11"/>
        <v>772.78752144531484</v>
      </c>
      <c r="CD57" s="59">
        <f ca="1">AVERAGE(OFFSET($CC$3,0,0,'Données projet'!$E$12+1,1))-AVERAGE(OFFSET($H$3,0,0,'Données projet'!$E$12+1,1))</f>
        <v>264.70281355687837</v>
      </c>
      <c r="CE57" s="59">
        <f t="shared" si="40"/>
        <v>199.74194600786768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40.886853236808747</v>
      </c>
      <c r="CL57" s="21">
        <f>EXP(-LN(2)/25)*CL56+(1-EXP(-LN(2)/25))/(LN(2)/25)*Calculateur!CG57*Calculateur!CI57*VLOOKUP('Données projet'!$B$12,Paramètres!$A$1:$I$89,3,0)*0.475*44/12</f>
        <v>10.514308321405695</v>
      </c>
      <c r="CM57" s="21">
        <f>EXP(-LN(2)/2)*CM56+(1-EXP(-LN(2)/2))/(LN(2)/2)*CG57*CJ57*VLOOKUP('Données projet'!$B$12,Paramètres!$A$1:$I$89,3,0)*0.475*44/12</f>
        <v>1.3598769267698547</v>
      </c>
      <c r="CN57" s="22">
        <f t="shared" si="12"/>
        <v>52.761038484984297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14.1</v>
      </c>
      <c r="CT57" s="12">
        <f>IF('Données projet'!$A$140&gt;35,CT56+CS57-DB56,IF(A57&lt;'Données projet'!$A$140,$CQ$205^A57,IF(A57='Données projet'!$A$140,'Données projet'!$B$140,CT56+CS57-DB56)))</f>
        <v>249.39999999999989</v>
      </c>
      <c r="CU57" s="17">
        <f>CT57*VLOOKUP('Données projet'!$B$13,Paramètres!$A$1:$I$89,3,0)*VLOOKUP('Données projet'!$B$13,Paramètres!$A$1:$I$89,5,0)</f>
        <v>142.65679999999995</v>
      </c>
      <c r="CV57" s="13">
        <f t="shared" si="41"/>
        <v>36.904973547563429</v>
      </c>
      <c r="CW57" s="20">
        <f t="shared" si="13"/>
        <v>312.73675559533956</v>
      </c>
      <c r="CX57" s="59">
        <f t="shared" si="14"/>
        <v>606.07008892867293</v>
      </c>
      <c r="CY57" s="59">
        <f ca="1">AVERAGE(OFFSET($CX$3,0,0,'Données projet'!$E$13+1,1))-AVERAGE(OFFSET($H$3,0,0,'Données projet'!$E$13+1,1))</f>
        <v>149.8619613776458</v>
      </c>
      <c r="CZ57" s="59">
        <f t="shared" si="42"/>
        <v>108.55560257938146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29.066998269832034</v>
      </c>
      <c r="DG57" s="21">
        <f>EXP(-LN(2)/25)*DG56+(1-EXP(-LN(2)/25))/(LN(2)/25)*Calculateur!DB57*Calculateur!DD57*VLOOKUP('Données projet'!$B$13,Paramètres!$A$1:$I$89,3,0)*0.475*44/12</f>
        <v>7.4772389327590396</v>
      </c>
      <c r="DH57" s="21">
        <f>EXP(-LN(2)/2)*DH56+(1-EXP(-LN(2)/2))/(LN(2)/2)*DB57*DE57*VLOOKUP('Données projet'!$B$13,Paramètres!$A$1:$I$89,3,0)*0.475*44/12</f>
        <v>1.3963459465208141</v>
      </c>
      <c r="DI57" s="22">
        <f t="shared" si="15"/>
        <v>37.940583149111895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1">
        <f t="shared" si="32"/>
        <v>13.214233809656902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67">
        <f t="shared" si="1"/>
        <v>394.05432388515237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739</v>
      </c>
      <c r="L58" s="12">
        <f>VLOOKUP(A58,'Données projet'!$A$35:$I$55,9,0)</f>
        <v>15.4</v>
      </c>
      <c r="M58" s="12">
        <f t="array" ref="M58">INDEX(L:L,MIN(IF(ISNUMBER(L58:L254),ROW(L58:L254),"")))</f>
        <v>15.4</v>
      </c>
      <c r="N58" s="13">
        <f>IF('Données projet'!$A$36&gt;35,N57+M58-V57,IF(A58&lt;'Données projet'!$A$36,$K$205^A58,IF(A58='Données projet'!$A$36,'Données projet'!$B$36,N57+M58-V57)))</f>
        <v>738.99999999999943</v>
      </c>
      <c r="O58" s="13">
        <f>N58*VLOOKUP('Données projet'!$B$9,Paramètres!$A$1:$I$89,3,0)*VLOOKUP('Données projet'!$B$9,Paramètres!$A$1:$I$89,5,0)</f>
        <v>413.10099999999971</v>
      </c>
      <c r="P58" s="13">
        <f t="shared" si="33"/>
        <v>94.427689670462271</v>
      </c>
      <c r="Q58" s="20">
        <f t="shared" si="53"/>
        <v>883.94580117605472</v>
      </c>
      <c r="R58" s="59">
        <f t="shared" si="0"/>
        <v>1177.2791345093881</v>
      </c>
      <c r="S58" s="59">
        <f ca="1">AVERAGE(OFFSET($R$3,0,0,'Données projet'!$E$9+1,1))-AVERAGE(OFFSET($H$3,0,0,'Données projet'!$E$9+1,1))</f>
        <v>467.03705646400994</v>
      </c>
      <c r="T58" s="59">
        <f t="shared" si="34"/>
        <v>575.68119027684361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46</v>
      </c>
      <c r="W58" s="16">
        <f>IF(ISNA(VLOOKUP(A58,'Données projet'!$A$35:$I$55,5,0)),0%,VLOOKUP(A58,'Données projet'!$A$35:$I$55,5,0)*VLOOKUP('Données projet'!$B$9,Paramètres!$A$1:$I$89,7,0))</f>
        <v>0.38500000000000001</v>
      </c>
      <c r="X58" s="16">
        <f>IF(ISNA(VLOOKUP(A58,'Données projet'!$A$35:$I$55,6,0)),0%,VLOOKUP(A58,'Données projet'!$A$35:$I$55,6,0)*VLOOKUP('Données projet'!$B$9,Paramètres!$A$1:$I$89,7,0))</f>
        <v>9.3500000000000014E-2</v>
      </c>
      <c r="Y58" s="16">
        <f>IF(ISNA(VLOOKUP(A58,'Données projet'!$A$35:$I$55,7,0)),0%,VLOOKUP(A58,'Données projet'!$A$35:$I$55,7,0))</f>
        <v>0.13</v>
      </c>
      <c r="Z58" s="21">
        <f>EXP(-LN(2)/35)*Z57+(1-EXP(-LN(2)/35))/(LN(2)/35)*V58*W58*VLOOKUP('Données projet'!$B$9,Paramètres!$A$1:$I$89,3,0)*0.475*44/12</f>
        <v>99.43783180742679</v>
      </c>
      <c r="AA58" s="21">
        <f>EXP(-LN(2)/25)*AA57+(1-EXP(-LN(2)/25))/(LN(2)/25)*Calculateur!V58*Calculateur!X58*VLOOKUP('Données projet'!$B$9,Paramètres!$A$1:$I$89,3,0)*0.475*44/12</f>
        <v>25.236729828838442</v>
      </c>
      <c r="AB58" s="21">
        <f>EXP(-LN(2)/2)*AB57+(1-EXP(-LN(2)/2))/(LN(2)/2)*V58*Y58*VLOOKUP('Données projet'!$B$9,Paramètres!$A$1:$I$89,3,0)*0.475*44/12</f>
        <v>4.8934794974970286</v>
      </c>
      <c r="AC58" s="22">
        <f t="shared" si="3"/>
        <v>129.56804113376225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330</v>
      </c>
      <c r="AG58" s="12">
        <f>VLOOKUP(A58,'Données projet'!$A$61:$I$81,9,0)</f>
        <v>10.8</v>
      </c>
      <c r="AH58" s="12">
        <f t="array" ref="AH58">INDEX(AG:AG,MIN(IF(ISNUMBER(AG58:AG254),ROW(AG58:AG254),"")))</f>
        <v>10.8</v>
      </c>
      <c r="AI58" s="13">
        <f>IF('Données projet'!$A$62&gt;35,AI57+AH58-AQ57,IF(A58&lt;'Données projet'!$A$62,$AF$205^A58,IF(A58='Données projet'!$A$62,'Données projet'!$B$62,AI57+AH58-AQ57)))</f>
        <v>330.00000000000017</v>
      </c>
      <c r="AJ58" s="13">
        <f>AI58*VLOOKUP('Données projet'!$B$10,Paramètres!$A$1:$I$89,3,0)*VLOOKUP('Données projet'!$B$10,Paramètres!$A$1:$I$89,5,0)</f>
        <v>205.9200000000001</v>
      </c>
      <c r="AK58" s="13">
        <f t="shared" si="35"/>
        <v>51.042987531485686</v>
      </c>
      <c r="AL58" s="20">
        <f t="shared" si="4"/>
        <v>447.54386995067108</v>
      </c>
      <c r="AM58" s="59">
        <f t="shared" si="5"/>
        <v>740.87720328400439</v>
      </c>
      <c r="AN58" s="59">
        <f ca="1">AVERAGE(OFFSET($AM$3,0,0,'Données projet'!$E$10+1,1))-AVERAGE(OFFSET($H$3,0,0,'Données projet'!$E$10+1,1))</f>
        <v>252.44760109054914</v>
      </c>
      <c r="AO58" s="59">
        <f t="shared" si="36"/>
        <v>121.75506329394773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0.42</v>
      </c>
      <c r="AS58" s="16">
        <f>IF(ISNA(VLOOKUP(A58,'Données projet'!$A$61:$I$81,6,0)),0%,VLOOKUP(A58,'Données projet'!$A$61:$I$81,6,0)*VLOOKUP('Données projet'!$B$10,Paramètres!$A$1:$I$89,7,0))</f>
        <v>0.10200000000000001</v>
      </c>
      <c r="AT58" s="16">
        <f>IF(ISNA(VLOOKUP(A58,'Données projet'!$A$61:$I$81,7,0)),0%,VLOOKUP(A58,'Données projet'!$A$61:$I$81,7,0))</f>
        <v>0.13</v>
      </c>
      <c r="AU58" s="21">
        <f>EXP(-LN(2)/35)*AU57+(1-EXP(-LN(2)/35))/(LN(2)/35)*AQ58*AR58*VLOOKUP('Données projet'!$B$10,Paramètres!$A$1:$I$89,3,0)*0.475*44/12</f>
        <v>32.952401719219267</v>
      </c>
      <c r="AV58" s="21">
        <f>EXP(-LN(2)/25)*AV57+(1-EXP(-LN(2)/25))/(LN(2)/25)*Calculateur!AQ58*Calculateur!AS58*VLOOKUP('Données projet'!$B$10,Paramètres!$A$1:$I$89,3,0)*0.475*44/12</f>
        <v>9.0930104488781751</v>
      </c>
      <c r="AW58" s="21">
        <f>EXP(-LN(2)/2)*AW57+(1-EXP(-LN(2)/2))/(LN(2)/2)*AQ58*AT58*VLOOKUP('Données projet'!$B$10,Paramètres!$A$1:$I$89,3,0)*0.475*44/12</f>
        <v>1.8837987050916736</v>
      </c>
      <c r="AX58" s="21">
        <f t="shared" si="6"/>
        <v>43.929210873189113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463</v>
      </c>
      <c r="BB58" s="12">
        <f>VLOOKUP(A58,'Données projet'!$A$87:$I$107,9,0)</f>
        <v>19.2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462.99999999999989</v>
      </c>
      <c r="BE58" s="13">
        <f>BD58*VLOOKUP('Données projet'!$B$11,Paramètres!$A$1:$I$89,3,0)*VLOOKUP('Données projet'!$B$11,Paramètres!$A$1:$I$89,5,0)</f>
        <v>276.87399999999997</v>
      </c>
      <c r="BF58" s="13">
        <f t="shared" si="37"/>
        <v>66.305964184031993</v>
      </c>
      <c r="BG58" s="20">
        <f t="shared" si="7"/>
        <v>597.70510428718899</v>
      </c>
      <c r="BH58" s="59">
        <f t="shared" si="8"/>
        <v>891.03843762052225</v>
      </c>
      <c r="BI58" s="59">
        <f ca="1">AVERAGE(OFFSET($BH$3,0,0,'Données projet'!$E$11+1,1))-AVERAGE(OFFSET($H$3,0,0,'Données projet'!$E$11+1,1))</f>
        <v>260.97162394079265</v>
      </c>
      <c r="BJ58" s="59">
        <f t="shared" si="38"/>
        <v>279.1836614199691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48</v>
      </c>
      <c r="BM58" s="16">
        <f>IF(ISNA(VLOOKUP(A58,'Données projet'!$A$87:$I$107,5,0)),0%,VLOOKUP(A58,'Données projet'!$A$87:$I$107,5,0)*VLOOKUP('Données projet'!$B$11,Paramètres!$A$1:$I$89,7,0))</f>
        <v>0.315</v>
      </c>
      <c r="BN58" s="16">
        <f>IF(ISNA(VLOOKUP(A58,'Données projet'!$A$87:$I$107,6,0)),0%,VLOOKUP(A58,'Données projet'!$A$87:$I$107,6,0)*VLOOKUP('Données projet'!$B$11,Paramètres!$A$1:$I$89,7,0))</f>
        <v>7.6500000000000012E-2</v>
      </c>
      <c r="BO58" s="16">
        <f>IF(ISNA(VLOOKUP(A58,'Données projet'!$A$87:$I$107,7,0)),0%,VLOOKUP(A58,'Données projet'!$A$87:$I$107,7,0))</f>
        <v>0.13</v>
      </c>
      <c r="BP58" s="21">
        <f>EXP(-LN(2)/35)*BP57+(1-EXP(-LN(2)/35))/(LN(2)/35)*BL58*BM58*VLOOKUP('Données projet'!$B$11,Paramètres!$A$1:$I$89,3,0)*0.475*44/12</f>
        <v>65.667571356927326</v>
      </c>
      <c r="BQ58" s="21">
        <f>EXP(-LN(2)/25)*BQ57+(1-EXP(-LN(2)/25))/(LN(2)/25)*Calculateur!BL58*Calculateur!BN58*VLOOKUP('Données projet'!$B$11,Paramètres!$A$1:$I$89,3,0)*0.475*44/12</f>
        <v>15.520755880481106</v>
      </c>
      <c r="BR58" s="21">
        <f>EXP(-LN(2)/2)*BR57+(1-EXP(-LN(2)/2))/(LN(2)/2)*BL58*BO58*VLOOKUP('Données projet'!$B$11,Paramètres!$A$1:$I$89,3,0)*0.475*44/12</f>
        <v>5.1420537623035907</v>
      </c>
      <c r="BS58" s="22">
        <f t="shared" si="9"/>
        <v>86.33038099971202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387.125</v>
      </c>
      <c r="BZ58" s="13">
        <f>BY58*VLOOKUP('Données projet'!$B$12,Paramètres!$A$1:$I$89,3,0)*VLOOKUP('Données projet'!$B$12,Paramètres!$A$1:$I$89,5,0)</f>
        <v>231.50075000000004</v>
      </c>
      <c r="CA58" s="13">
        <f t="shared" si="39"/>
        <v>56.607055837426749</v>
      </c>
      <c r="CB58" s="20">
        <f t="shared" si="10"/>
        <v>501.78776183351829</v>
      </c>
      <c r="CC58" s="59">
        <f t="shared" si="11"/>
        <v>795.12109516685155</v>
      </c>
      <c r="CD58" s="59">
        <f ca="1">AVERAGE(OFFSET($CC$3,0,0,'Données projet'!$E$12+1,1))-AVERAGE(OFFSET($H$3,0,0,'Données projet'!$E$12+1,1))</f>
        <v>264.70281355687837</v>
      </c>
      <c r="CE58" s="59">
        <f t="shared" si="40"/>
        <v>199.74194600786768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40.08508698335293</v>
      </c>
      <c r="CL58" s="21">
        <f>EXP(-LN(2)/25)*CL57+(1-EXP(-LN(2)/25))/(LN(2)/25)*Calculateur!CG58*Calculateur!CI58*VLOOKUP('Données projet'!$B$12,Paramètres!$A$1:$I$89,3,0)*0.475*44/12</f>
        <v>10.226794007433412</v>
      </c>
      <c r="CM58" s="21">
        <f>EXP(-LN(2)/2)*CM57+(1-EXP(-LN(2)/2))/(LN(2)/2)*CG58*CJ58*VLOOKUP('Données projet'!$B$12,Paramètres!$A$1:$I$89,3,0)*0.475*44/12</f>
        <v>0.9615781964980864</v>
      </c>
      <c r="CN58" s="22">
        <f t="shared" si="12"/>
        <v>51.273459187284431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14.1</v>
      </c>
      <c r="CT58" s="12">
        <f>IF('Données projet'!$A$140&gt;35,CT57+CS58-DB57,IF(A58&lt;'Données projet'!$A$140,$CQ$205^A58,IF(A58='Données projet'!$A$140,'Données projet'!$B$140,CT57+CS58-DB57)))</f>
        <v>263.49999999999989</v>
      </c>
      <c r="CU58" s="17">
        <f>CT58*VLOOKUP('Données projet'!$B$13,Paramètres!$A$1:$I$89,3,0)*VLOOKUP('Données projet'!$B$13,Paramètres!$A$1:$I$89,5,0)</f>
        <v>150.72199999999995</v>
      </c>
      <c r="CV58" s="13">
        <f t="shared" si="41"/>
        <v>38.742616829874109</v>
      </c>
      <c r="CW58" s="20">
        <f t="shared" si="13"/>
        <v>329.98420764536394</v>
      </c>
      <c r="CX58" s="59">
        <f t="shared" si="14"/>
        <v>623.31754097869725</v>
      </c>
      <c r="CY58" s="59">
        <f ca="1">AVERAGE(OFFSET($CX$3,0,0,'Données projet'!$E$13+1,1))-AVERAGE(OFFSET($H$3,0,0,'Données projet'!$E$13+1,1))</f>
        <v>149.8619613776458</v>
      </c>
      <c r="CZ58" s="59">
        <f t="shared" si="42"/>
        <v>108.55560257938146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28.497012162878967</v>
      </c>
      <c r="DG58" s="21">
        <f>EXP(-LN(2)/25)*DG57+(1-EXP(-LN(2)/25))/(LN(2)/25)*Calculateur!DB58*Calculateur!DD58*VLOOKUP('Données projet'!$B$13,Paramètres!$A$1:$I$89,3,0)*0.475*44/12</f>
        <v>7.2727734409318376</v>
      </c>
      <c r="DH58" s="21">
        <f>EXP(-LN(2)/2)*DH57+(1-EXP(-LN(2)/2))/(LN(2)/2)*DB58*DE58*VLOOKUP('Données projet'!$B$13,Paramètres!$A$1:$I$89,3,0)*0.475*44/12</f>
        <v>0.987365687667216</v>
      </c>
      <c r="DI58" s="22">
        <f t="shared" si="15"/>
        <v>36.757151291478017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1">
        <f t="shared" si="32"/>
        <v>13.426303343530915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67">
        <f t="shared" si="1"/>
        <v>395.83651832331628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12.2</v>
      </c>
      <c r="N59" s="13">
        <f>IF('Données projet'!$A$36&gt;35,N58+M59-V58,IF(A59&lt;'Données projet'!$A$36,$K$205^A59,IF(A59='Données projet'!$A$36,'Données projet'!$B$36,N58+M59-V58)))</f>
        <v>705.19999999999948</v>
      </c>
      <c r="O59" s="13">
        <f>N59*VLOOKUP('Données projet'!$B$9,Paramètres!$A$1:$I$89,3,0)*VLOOKUP('Données projet'!$B$9,Paramètres!$A$1:$I$89,5,0)</f>
        <v>394.2067999999997</v>
      </c>
      <c r="P59" s="13">
        <f t="shared" si="33"/>
        <v>90.601187466199292</v>
      </c>
      <c r="Q59" s="20">
        <f t="shared" si="53"/>
        <v>844.37391150362998</v>
      </c>
      <c r="R59" s="59">
        <f t="shared" si="0"/>
        <v>1137.7072448369634</v>
      </c>
      <c r="S59" s="59">
        <f ca="1">AVERAGE(OFFSET($R$3,0,0,'Données projet'!$E$9+1,1))-AVERAGE(OFFSET($H$3,0,0,'Données projet'!$E$9+1,1))</f>
        <v>467.03705646400994</v>
      </c>
      <c r="T59" s="59">
        <f t="shared" si="34"/>
        <v>575.68119027684361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97.487916576771752</v>
      </c>
      <c r="AA59" s="21">
        <f>EXP(-LN(2)/25)*AA58+(1-EXP(-LN(2)/25))/(LN(2)/25)*Calculateur!V59*Calculateur!X59*VLOOKUP('Données projet'!$B$9,Paramètres!$A$1:$I$89,3,0)*0.475*44/12</f>
        <v>24.546630124526914</v>
      </c>
      <c r="AB59" s="21">
        <f>EXP(-LN(2)/2)*AB58+(1-EXP(-LN(2)/2))/(LN(2)/2)*V59*Y59*VLOOKUP('Données projet'!$B$9,Paramètres!$A$1:$I$89,3,0)*0.475*44/12</f>
        <v>3.460212536277488</v>
      </c>
      <c r="AC59" s="22">
        <f t="shared" si="3"/>
        <v>125.49475923757615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322.80000000000018</v>
      </c>
      <c r="AJ59" s="13">
        <f>AI59*VLOOKUP('Données projet'!$B$10,Paramètres!$A$1:$I$89,3,0)*VLOOKUP('Données projet'!$B$10,Paramètres!$A$1:$I$89,5,0)</f>
        <v>201.42720000000011</v>
      </c>
      <c r="AK59" s="13">
        <f t="shared" si="35"/>
        <v>50.057693167122643</v>
      </c>
      <c r="AL59" s="20">
        <f t="shared" si="4"/>
        <v>438.00285559940539</v>
      </c>
      <c r="AM59" s="59">
        <f t="shared" si="5"/>
        <v>731.33618893273865</v>
      </c>
      <c r="AN59" s="59">
        <f ca="1">AVERAGE(OFFSET($AM$3,0,0,'Données projet'!$E$10+1,1))-AVERAGE(OFFSET($H$3,0,0,'Données projet'!$E$10+1,1))</f>
        <v>252.44760109054914</v>
      </c>
      <c r="AO59" s="59">
        <f t="shared" si="36"/>
        <v>121.75506329394773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32.306225220485814</v>
      </c>
      <c r="AV59" s="21">
        <f>EXP(-LN(2)/25)*AV58+(1-EXP(-LN(2)/25))/(LN(2)/25)*Calculateur!AQ59*Calculateur!AS59*VLOOKUP('Données projet'!$B$10,Paramètres!$A$1:$I$89,3,0)*0.475*44/12</f>
        <v>8.8443615999729648</v>
      </c>
      <c r="AW59" s="21">
        <f>EXP(-LN(2)/2)*AW58+(1-EXP(-LN(2)/2))/(LN(2)/2)*AQ59*AT59*VLOOKUP('Données projet'!$B$10,Paramètres!$A$1:$I$89,3,0)*0.475*44/12</f>
        <v>1.3320468387607596</v>
      </c>
      <c r="AX59" s="21">
        <f t="shared" si="6"/>
        <v>42.482633659219537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431.99999999999989</v>
      </c>
      <c r="BE59" s="13">
        <f>BD59*VLOOKUP('Données projet'!$B$11,Paramètres!$A$1:$I$89,3,0)*VLOOKUP('Données projet'!$B$11,Paramètres!$A$1:$I$89,5,0)</f>
        <v>258.33599999999996</v>
      </c>
      <c r="BF59" s="13">
        <f t="shared" si="37"/>
        <v>62.367547966451262</v>
      </c>
      <c r="BG59" s="20">
        <f t="shared" si="7"/>
        <v>558.55867937490245</v>
      </c>
      <c r="BH59" s="59">
        <f t="shared" si="8"/>
        <v>851.89201270823582</v>
      </c>
      <c r="BI59" s="59">
        <f ca="1">AVERAGE(OFFSET($BH$3,0,0,'Données projet'!$E$11+1,1))-AVERAGE(OFFSET($H$3,0,0,'Données projet'!$E$11+1,1))</f>
        <v>260.97162394079265</v>
      </c>
      <c r="BJ59" s="59">
        <f t="shared" si="38"/>
        <v>279.1836614199691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64.379870335881577</v>
      </c>
      <c r="BQ59" s="21">
        <f>EXP(-LN(2)/25)*BQ58+(1-EXP(-LN(2)/25))/(LN(2)/25)*Calculateur!BL59*Calculateur!BN59*VLOOKUP('Données projet'!$B$11,Paramètres!$A$1:$I$89,3,0)*0.475*44/12</f>
        <v>15.096339994728272</v>
      </c>
      <c r="BR59" s="21">
        <f>EXP(-LN(2)/2)*BR58+(1-EXP(-LN(2)/2))/(LN(2)/2)*BL59*BO59*VLOOKUP('Données projet'!$B$11,Paramètres!$A$1:$I$89,3,0)*0.475*44/12</f>
        <v>3.6359810845506688</v>
      </c>
      <c r="BS59" s="22">
        <f t="shared" si="9"/>
        <v>83.11219141516051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404.75</v>
      </c>
      <c r="BZ59" s="13">
        <f>BY59*VLOOKUP('Données projet'!$B$12,Paramètres!$A$1:$I$89,3,0)*VLOOKUP('Données projet'!$B$12,Paramètres!$A$1:$I$89,5,0)</f>
        <v>242.04050000000001</v>
      </c>
      <c r="CA59" s="13">
        <f t="shared" si="39"/>
        <v>58.878337443371535</v>
      </c>
      <c r="CB59" s="20">
        <f t="shared" si="10"/>
        <v>524.10030854720537</v>
      </c>
      <c r="CC59" s="59">
        <f t="shared" si="11"/>
        <v>817.43364188053874</v>
      </c>
      <c r="CD59" s="59">
        <f ca="1">AVERAGE(OFFSET($CC$3,0,0,'Données projet'!$E$12+1,1))-AVERAGE(OFFSET($H$3,0,0,'Données projet'!$E$12+1,1))</f>
        <v>264.70281355687837</v>
      </c>
      <c r="CE59" s="59">
        <f t="shared" si="40"/>
        <v>199.74194600786768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39.299042877098252</v>
      </c>
      <c r="CL59" s="21">
        <f>EXP(-LN(2)/25)*CL58+(1-EXP(-LN(2)/25))/(LN(2)/25)*Calculateur!CG59*Calculateur!CI59*VLOOKUP('Données projet'!$B$12,Paramètres!$A$1:$I$89,3,0)*0.475*44/12</f>
        <v>9.9471417874964221</v>
      </c>
      <c r="CM59" s="21">
        <f>EXP(-LN(2)/2)*CM58+(1-EXP(-LN(2)/2))/(LN(2)/2)*CG59*CJ59*VLOOKUP('Données projet'!$B$12,Paramètres!$A$1:$I$89,3,0)*0.475*44/12</f>
        <v>0.67993846338492747</v>
      </c>
      <c r="CN59" s="22">
        <f t="shared" si="12"/>
        <v>49.926123127979601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14.1</v>
      </c>
      <c r="CT59" s="12">
        <f>IF('Données projet'!$A$140&gt;35,CT58+CS59-DB58,IF(A59&lt;'Données projet'!$A$140,$CQ$205^A59,IF(A59='Données projet'!$A$140,'Données projet'!$B$140,CT58+CS59-DB58)))</f>
        <v>277.59999999999991</v>
      </c>
      <c r="CU59" s="17">
        <f>CT59*VLOOKUP('Données projet'!$B$13,Paramètres!$A$1:$I$89,3,0)*VLOOKUP('Données projet'!$B$13,Paramètres!$A$1:$I$89,5,0)</f>
        <v>158.78719999999996</v>
      </c>
      <c r="CV59" s="13">
        <f t="shared" si="41"/>
        <v>40.568843961177279</v>
      </c>
      <c r="CW59" s="20">
        <f t="shared" si="13"/>
        <v>347.211776565717</v>
      </c>
      <c r="CX59" s="59">
        <f t="shared" si="14"/>
        <v>640.54510989905032</v>
      </c>
      <c r="CY59" s="59">
        <f ca="1">AVERAGE(OFFSET($CX$3,0,0,'Données projet'!$E$13+1,1))-AVERAGE(OFFSET($H$3,0,0,'Données projet'!$E$13+1,1))</f>
        <v>149.8619613776458</v>
      </c>
      <c r="CZ59" s="59">
        <f t="shared" si="42"/>
        <v>108.55560257938146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27.938203135826054</v>
      </c>
      <c r="DG59" s="21">
        <f>EXP(-LN(2)/25)*DG58+(1-EXP(-LN(2)/25))/(LN(2)/25)*Calculateur!DB59*Calculateur!DD59*VLOOKUP('Données projet'!$B$13,Paramètres!$A$1:$I$89,3,0)*0.475*44/12</f>
        <v>7.0738990687310235</v>
      </c>
      <c r="DH59" s="21">
        <f>EXP(-LN(2)/2)*DH58+(1-EXP(-LN(2)/2))/(LN(2)/2)*DB59*DE59*VLOOKUP('Données projet'!$B$13,Paramètres!$A$1:$I$89,3,0)*0.475*44/12</f>
        <v>0.69817297326040717</v>
      </c>
      <c r="DI59" s="22">
        <f t="shared" si="15"/>
        <v>35.710275177817486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1">
        <f t="shared" si="32"/>
        <v>13.637932508790355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67">
        <f t="shared" si="1"/>
        <v>397.61794578614314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12.2</v>
      </c>
      <c r="N60" s="13">
        <f>IF('Données projet'!$A$36&gt;35,N59+M60-V59,IF(A60&lt;'Données projet'!$A$36,$K$205^A60,IF(A60='Données projet'!$A$36,'Données projet'!$B$36,N59+M60-V59)))</f>
        <v>717.39999999999952</v>
      </c>
      <c r="O60" s="13">
        <f>N60*VLOOKUP('Données projet'!$B$9,Paramètres!$A$1:$I$89,3,0)*VLOOKUP('Données projet'!$B$9,Paramètres!$A$1:$I$89,5,0)</f>
        <v>401.02659999999975</v>
      </c>
      <c r="P60" s="13">
        <f t="shared" si="33"/>
        <v>91.984761558101539</v>
      </c>
      <c r="Q60" s="20">
        <f t="shared" si="53"/>
        <v>858.66145471369293</v>
      </c>
      <c r="R60" s="59">
        <f t="shared" si="0"/>
        <v>1151.9947880470263</v>
      </c>
      <c r="S60" s="59">
        <f ca="1">AVERAGE(OFFSET($R$3,0,0,'Données projet'!$E$9+1,1))-AVERAGE(OFFSET($H$3,0,0,'Données projet'!$E$9+1,1))</f>
        <v>467.03705646400994</v>
      </c>
      <c r="T60" s="59">
        <f t="shared" si="34"/>
        <v>575.68119027684361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95.576237994459007</v>
      </c>
      <c r="AA60" s="21">
        <f>EXP(-LN(2)/25)*AA59+(1-EXP(-LN(2)/25))/(LN(2)/25)*Calculateur!V60*Calculateur!X60*VLOOKUP('Données projet'!$B$9,Paramètres!$A$1:$I$89,3,0)*0.475*44/12</f>
        <v>23.875401232920549</v>
      </c>
      <c r="AB60" s="21">
        <f>EXP(-LN(2)/2)*AB59+(1-EXP(-LN(2)/2))/(LN(2)/2)*V60*Y60*VLOOKUP('Données projet'!$B$9,Paramètres!$A$1:$I$89,3,0)*0.475*44/12</f>
        <v>2.4467397487485147</v>
      </c>
      <c r="AC60" s="22">
        <f t="shared" si="3"/>
        <v>121.89837897612807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331.60000000000019</v>
      </c>
      <c r="AJ60" s="13">
        <f>AI60*VLOOKUP('Données projet'!$B$10,Paramètres!$A$1:$I$89,3,0)*VLOOKUP('Données projet'!$B$10,Paramètres!$A$1:$I$89,5,0)</f>
        <v>206.91840000000013</v>
      </c>
      <c r="AK60" s="13">
        <f t="shared" si="35"/>
        <v>51.261600282225153</v>
      </c>
      <c r="AL60" s="20">
        <f t="shared" si="4"/>
        <v>449.66350049154238</v>
      </c>
      <c r="AM60" s="59">
        <f t="shared" si="5"/>
        <v>742.99683382487569</v>
      </c>
      <c r="AN60" s="59">
        <f ca="1">AVERAGE(OFFSET($AM$3,0,0,'Données projet'!$E$10+1,1))-AVERAGE(OFFSET($H$3,0,0,'Données projet'!$E$10+1,1))</f>
        <v>252.44760109054914</v>
      </c>
      <c r="AO60" s="59">
        <f t="shared" si="36"/>
        <v>121.75506329394773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31.67271984876378</v>
      </c>
      <c r="AV60" s="21">
        <f>EXP(-LN(2)/25)*AV59+(1-EXP(-LN(2)/25))/(LN(2)/25)*Calculateur!AQ60*Calculateur!AS60*VLOOKUP('Données projet'!$B$10,Paramètres!$A$1:$I$89,3,0)*0.475*44/12</f>
        <v>8.6025120669169421</v>
      </c>
      <c r="AW60" s="21">
        <f>EXP(-LN(2)/2)*AW59+(1-EXP(-LN(2)/2))/(LN(2)/2)*AQ60*AT60*VLOOKUP('Données projet'!$B$10,Paramètres!$A$1:$I$89,3,0)*0.475*44/12</f>
        <v>0.94189935254583679</v>
      </c>
      <c r="AX60" s="21">
        <f t="shared" si="6"/>
        <v>41.217131268226559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448.99999999999989</v>
      </c>
      <c r="BE60" s="13">
        <f>BD60*VLOOKUP('Données projet'!$B$11,Paramètres!$A$1:$I$89,3,0)*VLOOKUP('Données projet'!$B$11,Paramètres!$A$1:$I$89,5,0)</f>
        <v>268.50199999999995</v>
      </c>
      <c r="BF60" s="13">
        <f t="shared" si="37"/>
        <v>64.531253013339168</v>
      </c>
      <c r="BG60" s="20">
        <f t="shared" si="7"/>
        <v>580.03291566489895</v>
      </c>
      <c r="BH60" s="59">
        <f t="shared" si="8"/>
        <v>873.36624899823232</v>
      </c>
      <c r="BI60" s="59">
        <f ca="1">AVERAGE(OFFSET($BH$3,0,0,'Données projet'!$E$11+1,1))-AVERAGE(OFFSET($H$3,0,0,'Données projet'!$E$11+1,1))</f>
        <v>260.97162394079265</v>
      </c>
      <c r="BJ60" s="59">
        <f t="shared" si="38"/>
        <v>279.1836614199691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63.117420346438465</v>
      </c>
      <c r="BQ60" s="21">
        <f>EXP(-LN(2)/25)*BQ59+(1-EXP(-LN(2)/25))/(LN(2)/25)*Calculateur!BL60*Calculateur!BN60*VLOOKUP('Données projet'!$B$11,Paramètres!$A$1:$I$89,3,0)*0.475*44/12</f>
        <v>14.68352978369041</v>
      </c>
      <c r="BR60" s="21">
        <f>EXP(-LN(2)/2)*BR59+(1-EXP(-LN(2)/2))/(LN(2)/2)*BL60*BO60*VLOOKUP('Données projet'!$B$11,Paramètres!$A$1:$I$89,3,0)*0.475*44/12</f>
        <v>2.5710268811517958</v>
      </c>
      <c r="BS60" s="22">
        <f t="shared" si="9"/>
        <v>80.371977011280677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422.375</v>
      </c>
      <c r="BZ60" s="13">
        <f>BY60*VLOOKUP('Données projet'!$B$12,Paramètres!$A$1:$I$89,3,0)*VLOOKUP('Données projet'!$B$12,Paramètres!$A$1:$I$89,5,0)</f>
        <v>252.58025000000004</v>
      </c>
      <c r="CA60" s="13">
        <f t="shared" si="39"/>
        <v>61.138131933251593</v>
      </c>
      <c r="CB60" s="20">
        <f t="shared" si="10"/>
        <v>546.39284853374659</v>
      </c>
      <c r="CC60" s="59">
        <f t="shared" si="11"/>
        <v>839.72618186707996</v>
      </c>
      <c r="CD60" s="59">
        <f ca="1">AVERAGE(OFFSET($CC$3,0,0,'Données projet'!$E$12+1,1))-AVERAGE(OFFSET($H$3,0,0,'Données projet'!$E$12+1,1))</f>
        <v>264.70281355687837</v>
      </c>
      <c r="CE60" s="59">
        <f t="shared" si="40"/>
        <v>199.74194600786768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38.528412616327664</v>
      </c>
      <c r="CL60" s="21">
        <f>EXP(-LN(2)/25)*CL59+(1-EXP(-LN(2)/25))/(LN(2)/25)*Calculateur!CG60*Calculateur!CI60*VLOOKUP('Données projet'!$B$12,Paramètres!$A$1:$I$89,3,0)*0.475*44/12</f>
        <v>9.6751366722198799</v>
      </c>
      <c r="CM60" s="21">
        <f>EXP(-LN(2)/2)*CM59+(1-EXP(-LN(2)/2))/(LN(2)/2)*CG60*CJ60*VLOOKUP('Données projet'!$B$12,Paramètres!$A$1:$I$89,3,0)*0.475*44/12</f>
        <v>0.48078909824904331</v>
      </c>
      <c r="CN60" s="22">
        <f t="shared" si="12"/>
        <v>48.684338386796583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14.1</v>
      </c>
      <c r="CT60" s="12">
        <f>IF('Données projet'!$A$140&gt;35,CT59+CS60-DB59,IF(A60&lt;'Données projet'!$A$140,$CQ$205^A60,IF(A60='Données projet'!$A$140,'Données projet'!$B$140,CT59+CS60-DB59)))</f>
        <v>291.69999999999993</v>
      </c>
      <c r="CU60" s="17">
        <f>CT60*VLOOKUP('Données projet'!$B$13,Paramètres!$A$1:$I$89,3,0)*VLOOKUP('Données projet'!$B$13,Paramètres!$A$1:$I$89,5,0)</f>
        <v>166.85239999999999</v>
      </c>
      <c r="CV60" s="13">
        <f t="shared" si="41"/>
        <v>42.384300950798298</v>
      </c>
      <c r="CW60" s="20">
        <f t="shared" si="13"/>
        <v>364.42058748930702</v>
      </c>
      <c r="CX60" s="59">
        <f t="shared" si="14"/>
        <v>657.75392082264034</v>
      </c>
      <c r="CY60" s="59">
        <f ca="1">AVERAGE(OFFSET($CX$3,0,0,'Données projet'!$E$13+1,1))-AVERAGE(OFFSET($H$3,0,0,'Données projet'!$E$13+1,1))</f>
        <v>149.8619613776458</v>
      </c>
      <c r="CZ60" s="59">
        <f t="shared" si="42"/>
        <v>108.55560257938146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27.390352012953798</v>
      </c>
      <c r="DG60" s="21">
        <f>EXP(-LN(2)/25)*DG59+(1-EXP(-LN(2)/25))/(LN(2)/25)*Calculateur!DB60*Calculateur!DD60*VLOOKUP('Données projet'!$B$13,Paramètres!$A$1:$I$89,3,0)*0.475*44/12</f>
        <v>6.8804629266963895</v>
      </c>
      <c r="DH60" s="21">
        <f>EXP(-LN(2)/2)*DH59+(1-EXP(-LN(2)/2))/(LN(2)/2)*DB60*DE60*VLOOKUP('Données projet'!$B$13,Paramètres!$A$1:$I$89,3,0)*0.475*44/12</f>
        <v>0.49368284383360805</v>
      </c>
      <c r="DI60" s="22">
        <f t="shared" si="15"/>
        <v>34.764497783483797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1">
        <f t="shared" si="32"/>
        <v>13.849129922569929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67">
        <f t="shared" si="1"/>
        <v>399.3986212818092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12.2</v>
      </c>
      <c r="N61" s="13">
        <f>IF('Données projet'!$A$36&gt;35,N60+M61-V60,IF(A61&lt;'Données projet'!$A$36,$K$205^A61,IF(A61='Données projet'!$A$36,'Données projet'!$B$36,N60+M61-V60)))</f>
        <v>729.59999999999957</v>
      </c>
      <c r="O61" s="13">
        <f>N61*VLOOKUP('Données projet'!$B$9,Paramètres!$A$1:$I$89,3,0)*VLOOKUP('Données projet'!$B$9,Paramètres!$A$1:$I$89,5,0)</f>
        <v>407.84639999999973</v>
      </c>
      <c r="P61" s="13">
        <f t="shared" si="33"/>
        <v>93.365599460181741</v>
      </c>
      <c r="Q61" s="20">
        <f t="shared" si="53"/>
        <v>872.94423239314926</v>
      </c>
      <c r="R61" s="59">
        <f t="shared" si="0"/>
        <v>1166.2775657264826</v>
      </c>
      <c r="S61" s="59">
        <f ca="1">AVERAGE(OFFSET($R$3,0,0,'Données projet'!$E$9+1,1))-AVERAGE(OFFSET($H$3,0,0,'Données projet'!$E$9+1,1))</f>
        <v>467.03705646400994</v>
      </c>
      <c r="T61" s="59">
        <f t="shared" si="34"/>
        <v>575.68119027684361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93.702046263136609</v>
      </c>
      <c r="AA61" s="21">
        <f>EXP(-LN(2)/25)*AA60+(1-EXP(-LN(2)/25))/(LN(2)/25)*Calculateur!V61*Calculateur!X61*VLOOKUP('Données projet'!$B$9,Paramètres!$A$1:$I$89,3,0)*0.475*44/12</f>
        <v>23.222527130653553</v>
      </c>
      <c r="AB61" s="21">
        <f>EXP(-LN(2)/2)*AB60+(1-EXP(-LN(2)/2))/(LN(2)/2)*V61*Y61*VLOOKUP('Données projet'!$B$9,Paramètres!$A$1:$I$89,3,0)*0.475*44/12</f>
        <v>1.7301062681387445</v>
      </c>
      <c r="AC61" s="22">
        <f t="shared" si="3"/>
        <v>118.6546796619289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340.4000000000002</v>
      </c>
      <c r="AJ61" s="13">
        <f>AI61*VLOOKUP('Données projet'!$B$10,Paramètres!$A$1:$I$89,3,0)*VLOOKUP('Données projet'!$B$10,Paramètres!$A$1:$I$89,5,0)</f>
        <v>212.40960000000013</v>
      </c>
      <c r="AK61" s="13">
        <f t="shared" si="35"/>
        <v>52.461793777994082</v>
      </c>
      <c r="AL61" s="20">
        <f t="shared" si="4"/>
        <v>461.31767749667324</v>
      </c>
      <c r="AM61" s="59">
        <f t="shared" si="5"/>
        <v>754.6510108300065</v>
      </c>
      <c r="AN61" s="59">
        <f ca="1">AVERAGE(OFFSET($AM$3,0,0,'Données projet'!$E$10+1,1))-AVERAGE(OFFSET($H$3,0,0,'Données projet'!$E$10+1,1))</f>
        <v>252.44760109054914</v>
      </c>
      <c r="AO61" s="59">
        <f t="shared" si="36"/>
        <v>121.75506329394773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31.051637130981092</v>
      </c>
      <c r="AV61" s="21">
        <f>EXP(-LN(2)/25)*AV60+(1-EXP(-LN(2)/25))/(LN(2)/25)*Calculateur!AQ61*Calculateur!AS61*VLOOKUP('Données projet'!$B$10,Paramètres!$A$1:$I$89,3,0)*0.475*44/12</f>
        <v>8.3672759220606494</v>
      </c>
      <c r="AW61" s="21">
        <f>EXP(-LN(2)/2)*AW60+(1-EXP(-LN(2)/2))/(LN(2)/2)*AQ61*AT61*VLOOKUP('Données projet'!$B$10,Paramètres!$A$1:$I$89,3,0)*0.475*44/12</f>
        <v>0.66602341938037979</v>
      </c>
      <c r="AX61" s="21">
        <f t="shared" si="6"/>
        <v>40.084936472422122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465.99999999999989</v>
      </c>
      <c r="BE61" s="13">
        <f>BD61*VLOOKUP('Données projet'!$B$11,Paramètres!$A$1:$I$89,3,0)*VLOOKUP('Données projet'!$B$11,Paramètres!$A$1:$I$89,5,0)</f>
        <v>278.66799999999995</v>
      </c>
      <c r="BF61" s="13">
        <f t="shared" si="37"/>
        <v>66.685440917424486</v>
      </c>
      <c r="BG61" s="20">
        <f t="shared" si="7"/>
        <v>601.49057626451429</v>
      </c>
      <c r="BH61" s="59">
        <f t="shared" si="8"/>
        <v>894.82390959784766</v>
      </c>
      <c r="BI61" s="59">
        <f ca="1">AVERAGE(OFFSET($BH$3,0,0,'Données projet'!$E$11+1,1))-AVERAGE(OFFSET($H$3,0,0,'Données projet'!$E$11+1,1))</f>
        <v>260.97162394079265</v>
      </c>
      <c r="BJ61" s="59">
        <f t="shared" si="38"/>
        <v>279.1836614199691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61.879726231269871</v>
      </c>
      <c r="BQ61" s="21">
        <f>EXP(-LN(2)/25)*BQ60+(1-EXP(-LN(2)/25))/(LN(2)/25)*Calculateur!BL61*Calculateur!BN61*VLOOKUP('Données projet'!$B$11,Paramètres!$A$1:$I$89,3,0)*0.475*44/12</f>
        <v>14.282007889582124</v>
      </c>
      <c r="BR61" s="21">
        <f>EXP(-LN(2)/2)*BR60+(1-EXP(-LN(2)/2))/(LN(2)/2)*BL61*BO61*VLOOKUP('Données projet'!$B$11,Paramètres!$A$1:$I$89,3,0)*0.475*44/12</f>
        <v>1.8179905422753346</v>
      </c>
      <c r="BS61" s="22">
        <f t="shared" si="9"/>
        <v>77.979724663127328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440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861.99964544065983</v>
      </c>
      <c r="CD61" s="59">
        <f ca="1">AVERAGE(OFFSET($CC$3,0,0,'Données projet'!$E$12+1,1))-AVERAGE(OFFSET($H$3,0,0,'Données projet'!$E$12+1,1))</f>
        <v>264.70281355687837</v>
      </c>
      <c r="CE61" s="59">
        <f t="shared" si="40"/>
        <v>199.74194600786768</v>
      </c>
      <c r="CF61" s="15">
        <f>IF(ISNA(VLOOKUP(A61,'Données projet'!$A$113:$I$133,3,0)),0,VLOOKUP(A61,'Données projet'!$A$113:$I$133,3,0))</f>
        <v>7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0.315</v>
      </c>
      <c r="CI61" s="16">
        <f>IF(ISNA(VLOOKUP(A61,'Données projet'!$A$113:$I$133,6,0)),0%,VLOOKUP(A61,'Données projet'!$A$113:$I$133,6,0)*VLOOKUP('Données projet'!$B$12,Paramètres!$A$1:$I$89,7,0))</f>
        <v>7.6500000000000012E-2</v>
      </c>
      <c r="CJ61" s="16">
        <f>IF(ISNA(VLOOKUP(A61,'Données projet'!$A$113:$I$133,7,0)),0%,VLOOKUP(A61,'Données projet'!$A$113:$I$133,7,0))</f>
        <v>0.13</v>
      </c>
      <c r="CK61" s="21">
        <f>EXP(-LN(2)/35)*CK60+(1-EXP(-LN(2)/35))/(LN(2)/35)*CG61*CH61*VLOOKUP('Données projet'!$B$12,Paramètres!$A$1:$I$89,3,0)*0.475*44/12</f>
        <v>57.263919769682147</v>
      </c>
      <c r="CL61" s="21">
        <f>EXP(-LN(2)/25)*CL60+(1-EXP(-LN(2)/25))/(LN(2)/25)*Calculateur!CG61*Calculateur!CI61*VLOOKUP('Données projet'!$B$12,Paramètres!$A$1:$I$89,3,0)*0.475*44/12</f>
        <v>14.125466663982458</v>
      </c>
      <c r="CM61" s="21">
        <f>EXP(-LN(2)/2)*CM60+(1-EXP(-LN(2)/2))/(LN(2)/2)*CG61*CJ61*VLOOKUP('Données projet'!$B$12,Paramètres!$A$1:$I$89,3,0)*0.475*44/12</f>
        <v>7.2055088588496465</v>
      </c>
      <c r="CN61" s="22">
        <f t="shared" si="12"/>
        <v>78.594895292514252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14.1</v>
      </c>
      <c r="CT61" s="12">
        <f>IF('Données projet'!$A$140&gt;35,CT60+CS61-DB60,IF(A61&lt;'Données projet'!$A$140,$CQ$205^A61,IF(A61='Données projet'!$A$140,'Données projet'!$B$140,CT60+CS61-DB60)))</f>
        <v>305.79999999999995</v>
      </c>
      <c r="CU61" s="17">
        <f>CT61*VLOOKUP('Données projet'!$B$13,Paramètres!$A$1:$I$89,3,0)*VLOOKUP('Données projet'!$B$13,Paramètres!$A$1:$I$89,5,0)</f>
        <v>174.91759999999999</v>
      </c>
      <c r="CV61" s="13">
        <f t="shared" si="41"/>
        <v>44.189567826744707</v>
      </c>
      <c r="CW61" s="20">
        <f t="shared" si="13"/>
        <v>381.61165063158029</v>
      </c>
      <c r="CX61" s="59">
        <f t="shared" si="14"/>
        <v>674.9449839649136</v>
      </c>
      <c r="CY61" s="59">
        <f ca="1">AVERAGE(OFFSET($CX$3,0,0,'Données projet'!$E$13+1,1))-AVERAGE(OFFSET($H$3,0,0,'Données projet'!$E$13+1,1))</f>
        <v>149.8619613776458</v>
      </c>
      <c r="CZ61" s="59">
        <f t="shared" si="42"/>
        <v>108.55560257938146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26.853243916444875</v>
      </c>
      <c r="DG61" s="21">
        <f>EXP(-LN(2)/25)*DG60+(1-EXP(-LN(2)/25))/(LN(2)/25)*Calculateur!DB61*Calculateur!DD61*VLOOKUP('Données projet'!$B$13,Paramètres!$A$1:$I$89,3,0)*0.475*44/12</f>
        <v>6.6923163061380571</v>
      </c>
      <c r="DH61" s="21">
        <f>EXP(-LN(2)/2)*DH60+(1-EXP(-LN(2)/2))/(LN(2)/2)*DB61*DE61*VLOOKUP('Données projet'!$B$13,Paramètres!$A$1:$I$89,3,0)*0.475*44/12</f>
        <v>0.34908648663020364</v>
      </c>
      <c r="DI61" s="22">
        <f t="shared" si="15"/>
        <v>33.894646709213141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1">
        <f t="shared" si="32"/>
        <v>14.059903887836862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67">
        <f t="shared" si="1"/>
        <v>401.17855927131581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12.2</v>
      </c>
      <c r="N62" s="13">
        <f>IF('Données projet'!$A$36&gt;35,N61+M62-V61,IF(A62&lt;'Données projet'!$A$36,$K$205^A62,IF(A62='Données projet'!$A$36,'Données projet'!$B$36,N61+M62-V61)))</f>
        <v>741.79999999999961</v>
      </c>
      <c r="O62" s="13">
        <f>N62*VLOOKUP('Données projet'!$B$9,Paramètres!$A$1:$I$89,3,0)*VLOOKUP('Données projet'!$B$9,Paramètres!$A$1:$I$89,5,0)</f>
        <v>414.66619999999978</v>
      </c>
      <c r="P62" s="13">
        <f t="shared" si="33"/>
        <v>94.743752206399009</v>
      </c>
      <c r="Q62" s="20">
        <f t="shared" si="53"/>
        <v>887.22233342614447</v>
      </c>
      <c r="R62" s="59">
        <f t="shared" si="0"/>
        <v>1180.5556667594778</v>
      </c>
      <c r="S62" s="59">
        <f ca="1">AVERAGE(OFFSET($R$3,0,0,'Données projet'!$E$9+1,1))-AVERAGE(OFFSET($H$3,0,0,'Données projet'!$E$9+1,1))</f>
        <v>467.03705646400994</v>
      </c>
      <c r="T62" s="59">
        <f t="shared" si="34"/>
        <v>575.68119027684361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91.864606288521372</v>
      </c>
      <c r="AA62" s="21">
        <f>EXP(-LN(2)/25)*AA61+(1-EXP(-LN(2)/25))/(LN(2)/25)*Calculateur!V62*Calculateur!X62*VLOOKUP('Données projet'!$B$9,Paramètres!$A$1:$I$89,3,0)*0.475*44/12</f>
        <v>22.587505905046207</v>
      </c>
      <c r="AB62" s="21">
        <f>EXP(-LN(2)/2)*AB61+(1-EXP(-LN(2)/2))/(LN(2)/2)*V62*Y62*VLOOKUP('Données projet'!$B$9,Paramètres!$A$1:$I$89,3,0)*0.475*44/12</f>
        <v>1.2233698743742576</v>
      </c>
      <c r="AC62" s="22">
        <f t="shared" si="3"/>
        <v>115.67548206794184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349.20000000000022</v>
      </c>
      <c r="AJ62" s="13">
        <f>AI62*VLOOKUP('Données projet'!$B$10,Paramètres!$A$1:$I$89,3,0)*VLOOKUP('Données projet'!$B$10,Paramètres!$A$1:$I$89,5,0)</f>
        <v>217.90080000000015</v>
      </c>
      <c r="AK62" s="13">
        <f t="shared" si="35"/>
        <v>53.658380696617598</v>
      </c>
      <c r="AL62" s="20">
        <f t="shared" si="4"/>
        <v>472.96557304660928</v>
      </c>
      <c r="AM62" s="59">
        <f t="shared" si="5"/>
        <v>766.29890637994254</v>
      </c>
      <c r="AN62" s="59">
        <f ca="1">AVERAGE(OFFSET($AM$3,0,0,'Données projet'!$E$10+1,1))-AVERAGE(OFFSET($H$3,0,0,'Données projet'!$E$10+1,1))</f>
        <v>252.44760109054914</v>
      </c>
      <c r="AO62" s="59">
        <f t="shared" si="36"/>
        <v>121.75506329394773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30.442733466471068</v>
      </c>
      <c r="AV62" s="21">
        <f>EXP(-LN(2)/25)*AV61+(1-EXP(-LN(2)/25))/(LN(2)/25)*Calculateur!AQ62*Calculateur!AS62*VLOOKUP('Données projet'!$B$10,Paramètres!$A$1:$I$89,3,0)*0.475*44/12</f>
        <v>8.1384723219559838</v>
      </c>
      <c r="AW62" s="21">
        <f>EXP(-LN(2)/2)*AW61+(1-EXP(-LN(2)/2))/(LN(2)/2)*AQ62*AT62*VLOOKUP('Données projet'!$B$10,Paramètres!$A$1:$I$89,3,0)*0.475*44/12</f>
        <v>0.47094967627291839</v>
      </c>
      <c r="AX62" s="21">
        <f t="shared" si="6"/>
        <v>39.052155464699972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482.99999999999989</v>
      </c>
      <c r="BE62" s="13">
        <f>BD62*VLOOKUP('Données projet'!$B$11,Paramètres!$A$1:$I$89,3,0)*VLOOKUP('Données projet'!$B$11,Paramètres!$A$1:$I$89,5,0)</f>
        <v>288.83399999999995</v>
      </c>
      <c r="BF62" s="13">
        <f t="shared" si="37"/>
        <v>68.83049863656332</v>
      </c>
      <c r="BG62" s="20">
        <f t="shared" si="7"/>
        <v>622.93233512534766</v>
      </c>
      <c r="BH62" s="59">
        <f t="shared" si="8"/>
        <v>916.26566845868092</v>
      </c>
      <c r="BI62" s="59">
        <f ca="1">AVERAGE(OFFSET($BH$3,0,0,'Données projet'!$E$11+1,1))-AVERAGE(OFFSET($H$3,0,0,'Données projet'!$E$11+1,1))</f>
        <v>260.97162394079265</v>
      </c>
      <c r="BJ62" s="59">
        <f t="shared" si="38"/>
        <v>279.1836614199691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60.666302542780869</v>
      </c>
      <c r="BQ62" s="21">
        <f>EXP(-LN(2)/25)*BQ61+(1-EXP(-LN(2)/25))/(LN(2)/25)*Calculateur!BL62*Calculateur!BN62*VLOOKUP('Données projet'!$B$11,Paramètres!$A$1:$I$89,3,0)*0.475*44/12</f>
        <v>13.891465632783348</v>
      </c>
      <c r="BR62" s="21">
        <f>EXP(-LN(2)/2)*BR61+(1-EXP(-LN(2)/2))/(LN(2)/2)*BL62*BO62*VLOOKUP('Données projet'!$B$11,Paramètres!$A$1:$I$89,3,0)*0.475*44/12</f>
        <v>1.2855134405758981</v>
      </c>
      <c r="BS62" s="22">
        <f t="shared" si="9"/>
        <v>75.843281616140118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378.625</v>
      </c>
      <c r="BZ62" s="13">
        <f>BY62*VLOOKUP('Données projet'!$B$12,Paramètres!$A$1:$I$89,3,0)*VLOOKUP('Données projet'!$B$12,Paramètres!$A$1:$I$89,5,0)</f>
        <v>226.41775000000004</v>
      </c>
      <c r="CA62" s="13">
        <f t="shared" si="39"/>
        <v>55.507409107649544</v>
      </c>
      <c r="CB62" s="20">
        <f t="shared" si="10"/>
        <v>491.01965211248961</v>
      </c>
      <c r="CC62" s="59">
        <f t="shared" si="11"/>
        <v>784.35298544582292</v>
      </c>
      <c r="CD62" s="59">
        <f ca="1">AVERAGE(OFFSET($CC$3,0,0,'Données projet'!$E$12+1,1))-AVERAGE(OFFSET($H$3,0,0,'Données projet'!$E$12+1,1))</f>
        <v>264.70281355687837</v>
      </c>
      <c r="CE62" s="59">
        <f t="shared" si="40"/>
        <v>199.74194600786768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56.141009230540931</v>
      </c>
      <c r="CL62" s="21">
        <f>EXP(-LN(2)/25)*CL61+(1-EXP(-LN(2)/25))/(LN(2)/25)*Calculateur!CG62*Calculateur!CI62*VLOOKUP('Données projet'!$B$12,Paramètres!$A$1:$I$89,3,0)*0.475*44/12</f>
        <v>13.739205035229849</v>
      </c>
      <c r="CM62" s="21">
        <f>EXP(-LN(2)/2)*CM61+(1-EXP(-LN(2)/2))/(LN(2)/2)*CG62*CJ62*VLOOKUP('Données projet'!$B$12,Paramètres!$A$1:$I$89,3,0)*0.475*44/12</f>
        <v>5.0950641759923272</v>
      </c>
      <c r="CN62" s="22">
        <f t="shared" si="12"/>
        <v>74.975278441763095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14.1</v>
      </c>
      <c r="CT62" s="12">
        <f>IF('Données projet'!$A$140&gt;35,CT61+CS62-DB61,IF(A62&lt;'Données projet'!$A$140,$CQ$205^A62,IF(A62='Données projet'!$A$140,'Données projet'!$B$140,CT61+CS62-DB61)))</f>
        <v>319.89999999999998</v>
      </c>
      <c r="CU62" s="17">
        <f>CT62*VLOOKUP('Données projet'!$B$13,Paramètres!$A$1:$I$89,3,0)*VLOOKUP('Données projet'!$B$13,Paramètres!$A$1:$I$89,5,0)</f>
        <v>182.9828</v>
      </c>
      <c r="CV62" s="13">
        <f t="shared" si="41"/>
        <v>45.985168105361801</v>
      </c>
      <c r="CW62" s="20">
        <f t="shared" si="13"/>
        <v>398.7858777835051</v>
      </c>
      <c r="CX62" s="59">
        <f t="shared" si="14"/>
        <v>692.11921111683841</v>
      </c>
      <c r="CY62" s="59">
        <f ca="1">AVERAGE(OFFSET($CX$3,0,0,'Données projet'!$E$13+1,1))-AVERAGE(OFFSET($H$3,0,0,'Données projet'!$E$13+1,1))</f>
        <v>149.8619613776458</v>
      </c>
      <c r="CZ62" s="59">
        <f t="shared" si="42"/>
        <v>108.55560257938146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26.3266681821049</v>
      </c>
      <c r="DG62" s="21">
        <f>EXP(-LN(2)/25)*DG61+(1-EXP(-LN(2)/25))/(LN(2)/25)*Calculateur!DB62*Calculateur!DD62*VLOOKUP('Données projet'!$B$13,Paramètres!$A$1:$I$89,3,0)*0.475*44/12</f>
        <v>6.509314564813093</v>
      </c>
      <c r="DH62" s="21">
        <f>EXP(-LN(2)/2)*DH61+(1-EXP(-LN(2)/2))/(LN(2)/2)*DB62*DE62*VLOOKUP('Données projet'!$B$13,Paramètres!$A$1:$I$89,3,0)*0.475*44/12</f>
        <v>0.24684142191680408</v>
      </c>
      <c r="DI62" s="22">
        <f t="shared" si="15"/>
        <v>33.082824168834797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1">
        <f t="shared" si="32"/>
        <v>14.270262409972053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67">
        <f t="shared" si="1"/>
        <v>402.95777369736794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754</v>
      </c>
      <c r="L63" s="12">
        <f>VLOOKUP(A63,'Données projet'!$A$35:$I$55,9,0)</f>
        <v>12.2</v>
      </c>
      <c r="M63" s="12">
        <f t="array" ref="M63">INDEX(L:L,MIN(IF(ISNUMBER(L63:L259),ROW(L63:L259),"")))</f>
        <v>12.2</v>
      </c>
      <c r="N63" s="13">
        <f>IF('Données projet'!$A$36&gt;35,N62+M63-V62,IF(A63&lt;'Données projet'!$A$36,$K$205^A63,IF(A63='Données projet'!$A$36,'Données projet'!$B$36,N62+M63-V62)))</f>
        <v>753.99999999999966</v>
      </c>
      <c r="O63" s="13">
        <f>N63*VLOOKUP('Données projet'!$B$9,Paramètres!$A$1:$I$89,3,0)*VLOOKUP('Données projet'!$B$9,Paramètres!$A$1:$I$89,5,0)</f>
        <v>421.48599999999982</v>
      </c>
      <c r="P63" s="13">
        <f t="shared" si="33"/>
        <v>96.119269055816147</v>
      </c>
      <c r="Q63" s="20">
        <f t="shared" si="53"/>
        <v>901.49584360554616</v>
      </c>
      <c r="R63" s="59">
        <f t="shared" si="0"/>
        <v>1194.8291769388795</v>
      </c>
      <c r="S63" s="59">
        <f ca="1">AVERAGE(OFFSET($R$3,0,0,'Données projet'!$E$9+1,1))-AVERAGE(OFFSET($H$3,0,0,'Données projet'!$E$9+1,1))</f>
        <v>467.03705646400994</v>
      </c>
      <c r="T63" s="59">
        <f t="shared" si="34"/>
        <v>575.68119027684361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9.3500000000000014E-2</v>
      </c>
      <c r="Y63" s="16">
        <f>IF(ISNA(VLOOKUP(A63,'Données projet'!$A$35:$I$55,7,0)),0%,VLOOKUP(A63,'Données projet'!$A$35:$I$55,7,0))</f>
        <v>0.13</v>
      </c>
      <c r="Z63" s="21">
        <f>EXP(-LN(2)/35)*Z62+(1-EXP(-LN(2)/35))/(LN(2)/35)*V63*W63*VLOOKUP('Données projet'!$B$9,Paramètres!$A$1:$I$89,3,0)*0.475*44/12</f>
        <v>100.05557731579034</v>
      </c>
      <c r="AA63" s="21">
        <f>EXP(-LN(2)/25)*AA62+(1-EXP(-LN(2)/25))/(LN(2)/25)*Calculateur!V63*Calculateur!X63*VLOOKUP('Données projet'!$B$9,Paramètres!$A$1:$I$89,3,0)*0.475*44/12</f>
        <v>24.387015282509765</v>
      </c>
      <c r="AB63" s="21">
        <f>EXP(-LN(2)/2)*AB62+(1-EXP(-LN(2)/2))/(LN(2)/2)*V63*Y63*VLOOKUP('Données projet'!$B$9,Paramètres!$A$1:$I$89,3,0)*0.475*44/12</f>
        <v>3.7448293712130614</v>
      </c>
      <c r="AC63" s="22">
        <f t="shared" si="3"/>
        <v>128.18742196951317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358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358.00000000000023</v>
      </c>
      <c r="AJ63" s="13">
        <f>AI63*VLOOKUP('Données projet'!$B$10,Paramètres!$A$1:$I$89,3,0)*VLOOKUP('Données projet'!$B$10,Paramètres!$A$1:$I$89,5,0)</f>
        <v>223.39200000000011</v>
      </c>
      <c r="AK63" s="13">
        <f t="shared" si="35"/>
        <v>54.851462377814059</v>
      </c>
      <c r="AL63" s="20">
        <f t="shared" si="4"/>
        <v>484.60736364135965</v>
      </c>
      <c r="AM63" s="59">
        <f t="shared" si="5"/>
        <v>777.94069697469297</v>
      </c>
      <c r="AN63" s="59">
        <f ca="1">AVERAGE(OFFSET($AM$3,0,0,'Données projet'!$E$10+1,1))-AVERAGE(OFFSET($H$3,0,0,'Données projet'!$E$10+1,1))</f>
        <v>252.44760109054914</v>
      </c>
      <c r="AO63" s="59">
        <f t="shared" si="36"/>
        <v>121.75506329394773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13</v>
      </c>
      <c r="AR63" s="16">
        <f>IF(ISNA(VLOOKUP(A63,'Données projet'!$A$61:$I$81,5,0)),0%,VLOOKUP(A63,'Données projet'!$A$61:$I$81,5,0)*VLOOKUP('Données projet'!$B$10,Paramètres!$A$1:$I$89,7,0))</f>
        <v>0.42</v>
      </c>
      <c r="AS63" s="16">
        <f>IF(ISNA(VLOOKUP(A63,'Données projet'!$A$61:$I$81,6,0)),0%,VLOOKUP(A63,'Données projet'!$A$61:$I$81,6,0)*VLOOKUP('Données projet'!$B$10,Paramètres!$A$1:$I$89,7,0))</f>
        <v>0.10200000000000001</v>
      </c>
      <c r="AT63" s="16">
        <f>IF(ISNA(VLOOKUP(A63,'Données projet'!$A$61:$I$81,7,0)),0%,VLOOKUP(A63,'Données projet'!$A$61:$I$81,7,0))</f>
        <v>0.13</v>
      </c>
      <c r="AU63" s="21">
        <f>EXP(-LN(2)/35)*AU62+(1-EXP(-LN(2)/35))/(LN(2)/35)*AQ63*AR63*VLOOKUP('Données projet'!$B$10,Paramètres!$A$1:$I$89,3,0)*0.475*44/12</f>
        <v>34.365428193688253</v>
      </c>
      <c r="AV63" s="21">
        <f>EXP(-LN(2)/25)*AV62+(1-EXP(-LN(2)/25))/(LN(2)/25)*Calculateur!AQ63*Calculateur!AS63*VLOOKUP('Données projet'!$B$10,Paramètres!$A$1:$I$89,3,0)*0.475*44/12</f>
        <v>9.0092348437737151</v>
      </c>
      <c r="AW63" s="21">
        <f>EXP(-LN(2)/2)*AW62+(1-EXP(-LN(2)/2))/(LN(2)/2)*AQ63*AT63*VLOOKUP('Données projet'!$B$10,Paramètres!$A$1:$I$89,3,0)*0.475*44/12</f>
        <v>1.5270186013696998</v>
      </c>
      <c r="AX63" s="21">
        <f t="shared" si="6"/>
        <v>44.901681638831668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500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499.99999999999989</v>
      </c>
      <c r="BE63" s="13">
        <f>BD63*VLOOKUP('Données projet'!$B$11,Paramètres!$A$1:$I$89,3,0)*VLOOKUP('Données projet'!$B$11,Paramètres!$A$1:$I$89,5,0)</f>
        <v>299</v>
      </c>
      <c r="BF63" s="13">
        <f t="shared" si="37"/>
        <v>70.966784344875109</v>
      </c>
      <c r="BG63" s="20">
        <f t="shared" si="7"/>
        <v>644.35881606732414</v>
      </c>
      <c r="BH63" s="59">
        <f t="shared" si="8"/>
        <v>937.6921494006574</v>
      </c>
      <c r="BI63" s="59">
        <f ca="1">AVERAGE(OFFSET($BH$3,0,0,'Données projet'!$E$11+1,1))-AVERAGE(OFFSET($H$3,0,0,'Données projet'!$E$11+1,1))</f>
        <v>260.97162394079265</v>
      </c>
      <c r="BJ63" s="59">
        <f t="shared" si="38"/>
        <v>279.1836614199691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32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7.6500000000000012E-2</v>
      </c>
      <c r="BO63" s="16">
        <f>IF(ISNA(VLOOKUP(A63,'Données projet'!$A$87:$I$107,7,0)),0%,VLOOKUP(A63,'Données projet'!$A$87:$I$107,7,0))</f>
        <v>0.13</v>
      </c>
      <c r="BP63" s="21">
        <f>EXP(-LN(2)/35)*BP62+(1-EXP(-LN(2)/35))/(LN(2)/35)*BL63*BM63*VLOOKUP('Données projet'!$B$11,Paramètres!$A$1:$I$89,3,0)*0.475*44/12</f>
        <v>67.472991639784439</v>
      </c>
      <c r="BQ63" s="21">
        <f>EXP(-LN(2)/25)*BQ62+(1-EXP(-LN(2)/25))/(LN(2)/25)*Calculateur!BL63*Calculateur!BN63*VLOOKUP('Données projet'!$B$11,Paramètres!$A$1:$I$89,3,0)*0.475*44/12</f>
        <v>15.445919538783796</v>
      </c>
      <c r="BR63" s="21">
        <f>EXP(-LN(2)/2)*BR62+(1-EXP(-LN(2)/2))/(LN(2)/2)*BL63*BO63*VLOOKUP('Données projet'!$B$11,Paramètres!$A$1:$I$89,3,0)*0.475*44/12</f>
        <v>3.7256269130483064</v>
      </c>
      <c r="BS63" s="22">
        <f t="shared" si="9"/>
        <v>86.644538091616539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395.25</v>
      </c>
      <c r="BZ63" s="13">
        <f>BY63*VLOOKUP('Données projet'!$B$12,Paramètres!$A$1:$I$89,3,0)*VLOOKUP('Données projet'!$B$12,Paramètres!$A$1:$I$89,5,0)</f>
        <v>236.3595</v>
      </c>
      <c r="CA63" s="13">
        <f t="shared" si="39"/>
        <v>57.655563749416167</v>
      </c>
      <c r="CB63" s="20">
        <f t="shared" si="10"/>
        <v>512.07623603023319</v>
      </c>
      <c r="CC63" s="59">
        <f t="shared" si="11"/>
        <v>805.40956936356656</v>
      </c>
      <c r="CD63" s="59">
        <f ca="1">AVERAGE(OFFSET($CC$3,0,0,'Données projet'!$E$12+1,1))-AVERAGE(OFFSET($H$3,0,0,'Données projet'!$E$12+1,1))</f>
        <v>264.70281355687837</v>
      </c>
      <c r="CE63" s="59">
        <f t="shared" si="40"/>
        <v>199.74194600786768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55.040118282164471</v>
      </c>
      <c r="CL63" s="21">
        <f>EXP(-LN(2)/25)*CL62+(1-EXP(-LN(2)/25))/(LN(2)/25)*Calculateur!CG63*Calculateur!CI63*VLOOKUP('Données projet'!$B$12,Paramètres!$A$1:$I$89,3,0)*0.475*44/12</f>
        <v>13.363505751028098</v>
      </c>
      <c r="CM63" s="21">
        <f>EXP(-LN(2)/2)*CM62+(1-EXP(-LN(2)/2))/(LN(2)/2)*CG63*CJ63*VLOOKUP('Données projet'!$B$12,Paramètres!$A$1:$I$89,3,0)*0.475*44/12</f>
        <v>3.6027544294248237</v>
      </c>
      <c r="CN63" s="22">
        <f t="shared" si="12"/>
        <v>72.006378462617391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334</v>
      </c>
      <c r="CR63" s="12">
        <f>VLOOKUP(A63,'Données projet'!$A$139:$I$159,9,0)</f>
        <v>14.1</v>
      </c>
      <c r="CS63" s="12">
        <f t="array" ref="CS63">INDEX(CR:CR,MIN(IF(ISNUMBER(CR63:CR259),ROW(CR63:CR259),"")))</f>
        <v>14.1</v>
      </c>
      <c r="CT63" s="12">
        <f>IF('Données projet'!$A$140&gt;35,CT62+CS63-DB62,IF(A63&lt;'Données projet'!$A$140,$CQ$205^A63,IF(A63='Données projet'!$A$140,'Données projet'!$B$140,CT62+CS63-DB62)))</f>
        <v>334</v>
      </c>
      <c r="CU63" s="17">
        <f>CT63*VLOOKUP('Données projet'!$B$13,Paramètres!$A$1:$I$89,3,0)*VLOOKUP('Données projet'!$B$13,Paramètres!$A$1:$I$89,5,0)</f>
        <v>191.04800000000003</v>
      </c>
      <c r="CV63" s="13">
        <f t="shared" si="41"/>
        <v>47.771576544305198</v>
      </c>
      <c r="CW63" s="20">
        <f t="shared" si="13"/>
        <v>415.94409581466493</v>
      </c>
      <c r="CX63" s="59">
        <f t="shared" si="14"/>
        <v>709.27742914799819</v>
      </c>
      <c r="CY63" s="59">
        <f ca="1">AVERAGE(OFFSET($CX$3,0,0,'Données projet'!$E$13+1,1))-AVERAGE(OFFSET($H$3,0,0,'Données projet'!$E$13+1,1))</f>
        <v>149.8619613776458</v>
      </c>
      <c r="CZ63" s="59">
        <f t="shared" si="42"/>
        <v>108.55560257938146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60</v>
      </c>
      <c r="DC63" s="16">
        <f>IF(ISNA(VLOOKUP(A63,'Données projet'!$A$139:$I$159,5,0)),0%,VLOOKUP(A63,'Données projet'!$A$139:$I$159,5,0)*VLOOKUP('Données projet'!$B$13,Paramètres!$A$1:$I$89,7,0))</f>
        <v>0.315</v>
      </c>
      <c r="DD63" s="16">
        <f>IF(ISNA(VLOOKUP(A63,'Données projet'!$A$139:$I$159,6,0)),0%,VLOOKUP(A63,'Données projet'!$A$139:$I$159,6,0)*VLOOKUP('Données projet'!$B$13,Paramètres!$A$1:$I$89,7,0))</f>
        <v>7.6500000000000012E-2</v>
      </c>
      <c r="DE63" s="16">
        <f>IF(ISNA(VLOOKUP(A63,'Données projet'!$A$139:$I$159,7,0)),0%,VLOOKUP(A63,'Données projet'!$A$139:$I$159,7,0))</f>
        <v>0.13</v>
      </c>
      <c r="DF63" s="21">
        <f>EXP(-LN(2)/35)*DF62+(1-EXP(-LN(2)/35))/(LN(2)/35)*DB63*DC63*VLOOKUP('Données projet'!$B$13,Paramètres!$A$1:$I$89,3,0)*0.475*44/12</f>
        <v>40.151641291601628</v>
      </c>
      <c r="DG63" s="21">
        <f>EXP(-LN(2)/25)*DG62+(1-EXP(-LN(2)/25))/(LN(2)/25)*Calculateur!DB63*Calculateur!DD63*VLOOKUP('Données projet'!$B$13,Paramètres!$A$1:$I$89,3,0)*0.475*44/12</f>
        <v>9.8004720820450473</v>
      </c>
      <c r="DH63" s="21">
        <f>EXP(-LN(2)/2)*DH62+(1-EXP(-LN(2)/2))/(LN(2)/2)*DB63*DE63*VLOOKUP('Données projet'!$B$13,Paramètres!$A$1:$I$89,3,0)*0.475*44/12</f>
        <v>5.2261108619591825</v>
      </c>
      <c r="DI63" s="22">
        <f t="shared" si="15"/>
        <v>55.17822423560586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1">
        <f t="shared" si="32"/>
        <v>14.480213212214631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67">
        <f t="shared" si="1"/>
        <v>404.73627801127373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</v>
      </c>
      <c r="N64" s="13">
        <f>IF('Données projet'!$A$36&gt;35,N63+M64-V63,IF(A64&lt;'Données projet'!$A$36,$K$205^A64,IF(A64='Données projet'!$A$36,'Données projet'!$B$36,N63+M64-V63)))</f>
        <v>728.99999999999966</v>
      </c>
      <c r="O64" s="13">
        <f>N64*VLOOKUP('Données projet'!$B$9,Paramètres!$A$1:$I$89,3,0)*VLOOKUP('Données projet'!$B$9,Paramètres!$A$1:$I$89,5,0)</f>
        <v>407.51099999999985</v>
      </c>
      <c r="P64" s="13">
        <f t="shared" si="33"/>
        <v>93.297752590617137</v>
      </c>
      <c r="Q64" s="20">
        <f t="shared" si="53"/>
        <v>872.24191076199133</v>
      </c>
      <c r="R64" s="59">
        <f t="shared" si="0"/>
        <v>1165.5752440953247</v>
      </c>
      <c r="S64" s="59">
        <f ca="1">AVERAGE(OFFSET($R$3,0,0,'Données projet'!$E$9+1,1))-AVERAGE(OFFSET($H$3,0,0,'Données projet'!$E$9+1,1))</f>
        <v>467.03705646400994</v>
      </c>
      <c r="T64" s="59">
        <f t="shared" si="34"/>
        <v>575.68119027684361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98.093548472503855</v>
      </c>
      <c r="AA64" s="21">
        <f>EXP(-LN(2)/25)*AA63+(1-EXP(-LN(2)/25))/(LN(2)/25)*Calculateur!V64*Calculateur!X64*VLOOKUP('Données projet'!$B$9,Paramètres!$A$1:$I$89,3,0)*0.475*44/12</f>
        <v>23.720151067152138</v>
      </c>
      <c r="AB64" s="21">
        <f>EXP(-LN(2)/2)*AB63+(1-EXP(-LN(2)/2))/(LN(2)/2)*V64*Y64*VLOOKUP('Données projet'!$B$9,Paramètres!$A$1:$I$89,3,0)*0.475*44/12</f>
        <v>2.6479942427713108</v>
      </c>
      <c r="AC64" s="22">
        <f t="shared" si="3"/>
        <v>124.4616937824273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7.4</v>
      </c>
      <c r="AI64" s="13">
        <f>IF('Données projet'!$A$62&gt;35,AI63+AH64-AQ63,IF(A64&lt;'Données projet'!$A$62,$AF$205^A64,IF(A64='Données projet'!$A$62,'Données projet'!$B$62,AI63+AH64-AQ63)))</f>
        <v>352.4000000000002</v>
      </c>
      <c r="AJ64" s="13">
        <f>AI64*VLOOKUP('Données projet'!$B$10,Paramètres!$A$1:$I$89,3,0)*VLOOKUP('Données projet'!$B$10,Paramètres!$A$1:$I$89,5,0)</f>
        <v>219.89760000000012</v>
      </c>
      <c r="AK64" s="13">
        <f t="shared" si="35"/>
        <v>54.092628983523547</v>
      </c>
      <c r="AL64" s="20">
        <f t="shared" si="4"/>
        <v>477.19964881297028</v>
      </c>
      <c r="AM64" s="59">
        <f t="shared" si="5"/>
        <v>770.53298214630354</v>
      </c>
      <c r="AN64" s="59">
        <f ca="1">AVERAGE(OFFSET($AM$3,0,0,'Données projet'!$E$10+1,1))-AVERAGE(OFFSET($H$3,0,0,'Données projet'!$E$10+1,1))</f>
        <v>252.44760109054914</v>
      </c>
      <c r="AO64" s="59">
        <f t="shared" si="36"/>
        <v>121.75506329394773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33.691543107651512</v>
      </c>
      <c r="AV64" s="21">
        <f>EXP(-LN(2)/25)*AV63+(1-EXP(-LN(2)/25))/(LN(2)/25)*Calculateur!AQ64*Calculateur!AS64*VLOOKUP('Données projet'!$B$10,Paramètres!$A$1:$I$89,3,0)*0.475*44/12</f>
        <v>8.7628768431956541</v>
      </c>
      <c r="AW64" s="21">
        <f>EXP(-LN(2)/2)*AW63+(1-EXP(-LN(2)/2))/(LN(2)/2)*AQ64*AT64*VLOOKUP('Données projet'!$B$10,Paramètres!$A$1:$I$89,3,0)*0.475*44/12</f>
        <v>1.0797652080265123</v>
      </c>
      <c r="AX64" s="21">
        <f t="shared" si="6"/>
        <v>43.534185158873683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17.399999999999999</v>
      </c>
      <c r="BD64" s="12">
        <f>IF('Données projet'!$A$88&gt;35,BD63+BC64-BL63,IF(A64&lt;'Données projet'!$A$88,$BA$205^A64,IF(A64='Données projet'!$A$88,'Données projet'!$B$88,BD63+BC64-BL63)))</f>
        <v>485.39999999999986</v>
      </c>
      <c r="BE64" s="13">
        <f>BD64*VLOOKUP('Données projet'!$B$11,Paramètres!$A$1:$I$89,3,0)*VLOOKUP('Données projet'!$B$11,Paramètres!$A$1:$I$89,5,0)</f>
        <v>290.2691999999999</v>
      </c>
      <c r="BF64" s="13">
        <f t="shared" si="37"/>
        <v>69.13261576818384</v>
      </c>
      <c r="BG64" s="20">
        <f t="shared" si="7"/>
        <v>625.95816246291997</v>
      </c>
      <c r="BH64" s="59">
        <f t="shared" si="8"/>
        <v>919.29149579625323</v>
      </c>
      <c r="BI64" s="59">
        <f ca="1">AVERAGE(OFFSET($BH$3,0,0,'Données projet'!$E$11+1,1))-AVERAGE(OFFSET($H$3,0,0,'Données projet'!$E$11+1,1))</f>
        <v>260.97162394079265</v>
      </c>
      <c r="BJ64" s="59">
        <f t="shared" si="38"/>
        <v>279.1836614199691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66.149887428189501</v>
      </c>
      <c r="BQ64" s="21">
        <f>EXP(-LN(2)/25)*BQ63+(1-EXP(-LN(2)/25))/(LN(2)/25)*Calculateur!BL64*Calculateur!BN64*VLOOKUP('Données projet'!$B$11,Paramètres!$A$1:$I$89,3,0)*0.475*44/12</f>
        <v>15.023550056730146</v>
      </c>
      <c r="BR64" s="21">
        <f>EXP(-LN(2)/2)*BR63+(1-EXP(-LN(2)/2))/(LN(2)/2)*BL64*BO64*VLOOKUP('Données projet'!$B$11,Paramètres!$A$1:$I$89,3,0)*0.475*44/12</f>
        <v>2.6344160543875614</v>
      </c>
      <c r="BS64" s="22">
        <f t="shared" si="9"/>
        <v>83.807853539307203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411.875</v>
      </c>
      <c r="BZ64" s="13">
        <f>BY64*VLOOKUP('Données projet'!$B$12,Paramètres!$A$1:$I$89,3,0)*VLOOKUP('Données projet'!$B$12,Paramètres!$A$1:$I$89,5,0)</f>
        <v>246.30125000000001</v>
      </c>
      <c r="CA64" s="13">
        <f t="shared" si="39"/>
        <v>59.793223430016852</v>
      </c>
      <c r="CB64" s="20">
        <f t="shared" si="10"/>
        <v>533.11454122394605</v>
      </c>
      <c r="CC64" s="59">
        <f t="shared" si="11"/>
        <v>826.44787455727942</v>
      </c>
      <c r="CD64" s="59">
        <f ca="1">AVERAGE(OFFSET($CC$3,0,0,'Données projet'!$E$12+1,1))-AVERAGE(OFFSET($H$3,0,0,'Données projet'!$E$12+1,1))</f>
        <v>264.70281355687837</v>
      </c>
      <c r="CE64" s="59">
        <f t="shared" si="40"/>
        <v>199.74194600786768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53.960815133808502</v>
      </c>
      <c r="CL64" s="21">
        <f>EXP(-LN(2)/25)*CL63+(1-EXP(-LN(2)/25))/(LN(2)/25)*Calculateur!CG64*Calculateur!CI64*VLOOKUP('Données projet'!$B$12,Paramètres!$A$1:$I$89,3,0)*0.475*44/12</f>
        <v>12.99807998351001</v>
      </c>
      <c r="CM64" s="21">
        <f>EXP(-LN(2)/2)*CM63+(1-EXP(-LN(2)/2))/(LN(2)/2)*CG64*CJ64*VLOOKUP('Données projet'!$B$12,Paramètres!$A$1:$I$89,3,0)*0.475*44/12</f>
        <v>2.547532087996164</v>
      </c>
      <c r="CN64" s="22">
        <f t="shared" si="12"/>
        <v>69.506427205314679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9.8000000000000007</v>
      </c>
      <c r="CT64" s="12">
        <f>IF('Données projet'!$A$140&gt;35,CT63+CS64-DB63,IF(A64&lt;'Données projet'!$A$140,$CQ$205^A64,IF(A64='Données projet'!$A$140,'Données projet'!$B$140,CT63+CS64-DB63)))</f>
        <v>283.8</v>
      </c>
      <c r="CU64" s="17">
        <f>CT64*VLOOKUP('Données projet'!$B$13,Paramètres!$A$1:$I$89,3,0)*VLOOKUP('Données projet'!$B$13,Paramètres!$A$1:$I$89,5,0)</f>
        <v>162.33360000000002</v>
      </c>
      <c r="CV64" s="13">
        <f t="shared" si="41"/>
        <v>41.368421016378349</v>
      </c>
      <c r="CW64" s="20">
        <f t="shared" si="13"/>
        <v>354.78101993685891</v>
      </c>
      <c r="CX64" s="59">
        <f t="shared" si="14"/>
        <v>648.11435327019217</v>
      </c>
      <c r="CY64" s="59">
        <f ca="1">AVERAGE(OFFSET($CX$3,0,0,'Données projet'!$E$13+1,1))-AVERAGE(OFFSET($H$3,0,0,'Données projet'!$E$13+1,1))</f>
        <v>149.8619613776458</v>
      </c>
      <c r="CZ64" s="59">
        <f t="shared" si="42"/>
        <v>108.55560257938146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39.364292095956316</v>
      </c>
      <c r="DG64" s="21">
        <f>EXP(-LN(2)/25)*DG63+(1-EXP(-LN(2)/25))/(LN(2)/25)*Calculateur!DB64*Calculateur!DD64*VLOOKUP('Données projet'!$B$13,Paramètres!$A$1:$I$89,3,0)*0.475*44/12</f>
        <v>9.5324776575770986</v>
      </c>
      <c r="DH64" s="21">
        <f>EXP(-LN(2)/2)*DH63+(1-EXP(-LN(2)/2))/(LN(2)/2)*DB64*DE64*VLOOKUP('Données projet'!$B$13,Paramètres!$A$1:$I$89,3,0)*0.475*44/12</f>
        <v>3.6954184297240111</v>
      </c>
      <c r="DI64" s="22">
        <f t="shared" si="15"/>
        <v>52.59218818325742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1">
        <f t="shared" si="32"/>
        <v>14.689763750064966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67">
        <f t="shared" si="1"/>
        <v>406.51408519802976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</v>
      </c>
      <c r="N65" s="13">
        <f>IF('Données projet'!$A$36&gt;35,N64+M65-V64,IF(A65&lt;'Données projet'!$A$36,$K$205^A65,IF(A65='Données projet'!$A$36,'Données projet'!$B$36,N64+M65-V64)))</f>
        <v>738.99999999999966</v>
      </c>
      <c r="O65" s="13">
        <f>N65*VLOOKUP('Données projet'!$B$9,Paramètres!$A$1:$I$89,3,0)*VLOOKUP('Données projet'!$B$9,Paramètres!$A$1:$I$89,5,0)</f>
        <v>413.10099999999983</v>
      </c>
      <c r="P65" s="13">
        <f t="shared" si="33"/>
        <v>94.427689670462357</v>
      </c>
      <c r="Q65" s="20">
        <f t="shared" si="53"/>
        <v>883.94580117605494</v>
      </c>
      <c r="R65" s="59">
        <f t="shared" si="0"/>
        <v>1177.2791345093883</v>
      </c>
      <c r="S65" s="59">
        <f ca="1">AVERAGE(OFFSET($R$3,0,0,'Données projet'!$E$9+1,1))-AVERAGE(OFFSET($H$3,0,0,'Données projet'!$E$9+1,1))</f>
        <v>467.03705646400994</v>
      </c>
      <c r="T65" s="59">
        <f t="shared" si="34"/>
        <v>575.68119027684361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96.16999381811479</v>
      </c>
      <c r="AA65" s="21">
        <f>EXP(-LN(2)/25)*AA64+(1-EXP(-LN(2)/25))/(LN(2)/25)*Calculateur!V65*Calculateur!X65*VLOOKUP('Données projet'!$B$9,Paramètres!$A$1:$I$89,3,0)*0.475*44/12</f>
        <v>23.07152228883233</v>
      </c>
      <c r="AB65" s="21">
        <f>EXP(-LN(2)/2)*AB64+(1-EXP(-LN(2)/2))/(LN(2)/2)*V65*Y65*VLOOKUP('Données projet'!$B$9,Paramètres!$A$1:$I$89,3,0)*0.475*44/12</f>
        <v>1.8724146856065309</v>
      </c>
      <c r="AC65" s="22">
        <f t="shared" si="3"/>
        <v>121.11393079255365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7.4</v>
      </c>
      <c r="AI65" s="13">
        <f>IF('Données projet'!$A$62&gt;35,AI64+AH65-AQ64,IF(A65&lt;'Données projet'!$A$62,$AF$205^A65,IF(A65='Données projet'!$A$62,'Données projet'!$B$62,AI64+AH65-AQ64)))</f>
        <v>359.80000000000018</v>
      </c>
      <c r="AJ65" s="13">
        <f>AI65*VLOOKUP('Données projet'!$B$10,Paramètres!$A$1:$I$89,3,0)*VLOOKUP('Données projet'!$B$10,Paramètres!$A$1:$I$89,5,0)</f>
        <v>224.51520000000014</v>
      </c>
      <c r="AK65" s="13">
        <f t="shared" si="35"/>
        <v>55.095078782313593</v>
      </c>
      <c r="AL65" s="20">
        <f t="shared" si="4"/>
        <v>486.98790221252966</v>
      </c>
      <c r="AM65" s="59">
        <f t="shared" si="5"/>
        <v>780.32123554586292</v>
      </c>
      <c r="AN65" s="59">
        <f ca="1">AVERAGE(OFFSET($AM$3,0,0,'Données projet'!$E$10+1,1))-AVERAGE(OFFSET($H$3,0,0,'Données projet'!$E$10+1,1))</f>
        <v>252.44760109054914</v>
      </c>
      <c r="AO65" s="59">
        <f t="shared" si="36"/>
        <v>121.75506329394773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33.030872497122637</v>
      </c>
      <c r="AV65" s="21">
        <f>EXP(-LN(2)/25)*AV64+(1-EXP(-LN(2)/25))/(LN(2)/25)*Calculateur!AQ65*Calculateur!AS65*VLOOKUP('Données projet'!$B$10,Paramètres!$A$1:$I$89,3,0)*0.475*44/12</f>
        <v>8.5232555150988034</v>
      </c>
      <c r="AW65" s="21">
        <f>EXP(-LN(2)/2)*AW64+(1-EXP(-LN(2)/2))/(LN(2)/2)*AQ65*AT65*VLOOKUP('Données projet'!$B$10,Paramètres!$A$1:$I$89,3,0)*0.475*44/12</f>
        <v>0.76350930068485012</v>
      </c>
      <c r="AX65" s="21">
        <f t="shared" si="6"/>
        <v>42.317637312906292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17.399999999999999</v>
      </c>
      <c r="BD65" s="12">
        <f>IF('Données projet'!$A$88&gt;35,BD64+BC65-BL64,IF(A65&lt;'Données projet'!$A$88,$BA$205^A65,IF(A65='Données projet'!$A$88,'Données projet'!$B$88,BD64+BC65-BL64)))</f>
        <v>502.79999999999984</v>
      </c>
      <c r="BE65" s="13">
        <f>BD65*VLOOKUP('Données projet'!$B$11,Paramètres!$A$1:$I$89,3,0)*VLOOKUP('Données projet'!$B$11,Paramètres!$A$1:$I$89,5,0)</f>
        <v>300.67439999999993</v>
      </c>
      <c r="BF65" s="13">
        <f t="shared" si="37"/>
        <v>71.317825137860439</v>
      </c>
      <c r="BG65" s="20">
        <f t="shared" si="7"/>
        <v>647.88645878177351</v>
      </c>
      <c r="BH65" s="59">
        <f t="shared" si="8"/>
        <v>941.21979211510688</v>
      </c>
      <c r="BI65" s="59">
        <f ca="1">AVERAGE(OFFSET($BH$3,0,0,'Données projet'!$E$11+1,1))-AVERAGE(OFFSET($H$3,0,0,'Données projet'!$E$11+1,1))</f>
        <v>260.97162394079265</v>
      </c>
      <c r="BJ65" s="59">
        <f t="shared" si="38"/>
        <v>279.1836614199691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64.852728483170054</v>
      </c>
      <c r="BQ65" s="21">
        <f>EXP(-LN(2)/25)*BQ64+(1-EXP(-LN(2)/25))/(LN(2)/25)*Calculateur!BL65*Calculateur!BN65*VLOOKUP('Données projet'!$B$11,Paramètres!$A$1:$I$89,3,0)*0.475*44/12</f>
        <v>14.612730290374699</v>
      </c>
      <c r="BR65" s="21">
        <f>EXP(-LN(2)/2)*BR64+(1-EXP(-LN(2)/2))/(LN(2)/2)*BL65*BO65*VLOOKUP('Données projet'!$B$11,Paramètres!$A$1:$I$89,3,0)*0.475*44/12</f>
        <v>1.8628134565241534</v>
      </c>
      <c r="BS65" s="22">
        <f t="shared" si="9"/>
        <v>81.328272230068904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428.5</v>
      </c>
      <c r="BZ65" s="13">
        <f>BY65*VLOOKUP('Données projet'!$B$12,Paramètres!$A$1:$I$89,3,0)*VLOOKUP('Données projet'!$B$12,Paramètres!$A$1:$I$89,5,0)</f>
        <v>256.24300000000005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847.46872323651178</v>
      </c>
      <c r="CD65" s="59">
        <f ca="1">AVERAGE(OFFSET($CC$3,0,0,'Données projet'!$E$12+1,1))-AVERAGE(OFFSET($H$3,0,0,'Données projet'!$E$12+1,1))</f>
        <v>264.70281355687837</v>
      </c>
      <c r="CE65" s="59">
        <f t="shared" si="40"/>
        <v>199.74194600786768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52.902676461881875</v>
      </c>
      <c r="CL65" s="21">
        <f>EXP(-LN(2)/25)*CL64+(1-EXP(-LN(2)/25))/(LN(2)/25)*Calculateur!CG65*Calculateur!CI65*VLOOKUP('Données projet'!$B$12,Paramètres!$A$1:$I$89,3,0)*0.475*44/12</f>
        <v>12.642646802821609</v>
      </c>
      <c r="CM65" s="21">
        <f>EXP(-LN(2)/2)*CM64+(1-EXP(-LN(2)/2))/(LN(2)/2)*CG65*CJ65*VLOOKUP('Données projet'!$B$12,Paramètres!$A$1:$I$89,3,0)*0.475*44/12</f>
        <v>1.8013772147124123</v>
      </c>
      <c r="CN65" s="22">
        <f t="shared" si="12"/>
        <v>67.346700479415901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9.8000000000000007</v>
      </c>
      <c r="CT65" s="12">
        <f>IF('Données projet'!$A$140&gt;35,CT64+CS65-DB64,IF(A65&lt;'Données projet'!$A$140,$CQ$205^A65,IF(A65='Données projet'!$A$140,'Données projet'!$B$140,CT64+CS65-DB64)))</f>
        <v>293.60000000000002</v>
      </c>
      <c r="CU65" s="17">
        <f>CT65*VLOOKUP('Données projet'!$B$13,Paramètres!$A$1:$I$89,3,0)*VLOOKUP('Données projet'!$B$13,Paramètres!$A$1:$I$89,5,0)</f>
        <v>167.9392</v>
      </c>
      <c r="CV65" s="13">
        <f t="shared" si="41"/>
        <v>42.628145827041592</v>
      </c>
      <c r="CW65" s="20">
        <f t="shared" si="13"/>
        <v>366.7381273154308</v>
      </c>
      <c r="CX65" s="59">
        <f t="shared" si="14"/>
        <v>660.07146064876406</v>
      </c>
      <c r="CY65" s="59">
        <f ca="1">AVERAGE(OFFSET($CX$3,0,0,'Données projet'!$E$13+1,1))-AVERAGE(OFFSET($H$3,0,0,'Données projet'!$E$13+1,1))</f>
        <v>149.8619613776458</v>
      </c>
      <c r="CZ65" s="59">
        <f t="shared" si="42"/>
        <v>108.55560257938146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38.592382337802015</v>
      </c>
      <c r="DG65" s="21">
        <f>EXP(-LN(2)/25)*DG64+(1-EXP(-LN(2)/25))/(LN(2)/25)*Calculateur!DB65*Calculateur!DD65*VLOOKUP('Données projet'!$B$13,Paramètres!$A$1:$I$89,3,0)*0.475*44/12</f>
        <v>9.2718115547394397</v>
      </c>
      <c r="DH65" s="21">
        <f>EXP(-LN(2)/2)*DH64+(1-EXP(-LN(2)/2))/(LN(2)/2)*DB65*DE65*VLOOKUP('Données projet'!$B$13,Paramètres!$A$1:$I$89,3,0)*0.475*44/12</f>
        <v>2.6130554309795917</v>
      </c>
      <c r="DI65" s="22">
        <f t="shared" si="15"/>
        <v>50.477249323521043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1">
        <f t="shared" si="32"/>
        <v>14.898921224732128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67">
        <f t="shared" si="1"/>
        <v>408.2912077997417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</v>
      </c>
      <c r="N66" s="13">
        <f>IF('Données projet'!$A$36&gt;35,N65+M66-V65,IF(A66&lt;'Données projet'!$A$36,$K$205^A66,IF(A66='Données projet'!$A$36,'Données projet'!$B$36,N65+M66-V65)))</f>
        <v>748.99999999999966</v>
      </c>
      <c r="O66" s="13">
        <f>N66*VLOOKUP('Données projet'!$B$9,Paramètres!$A$1:$I$89,3,0)*VLOOKUP('Données projet'!$B$9,Paramètres!$A$1:$I$89,5,0)</f>
        <v>418.6909999999998</v>
      </c>
      <c r="P66" s="13">
        <f t="shared" si="33"/>
        <v>95.555848328260851</v>
      </c>
      <c r="Q66" s="20">
        <f t="shared" si="53"/>
        <v>895.64659417172061</v>
      </c>
      <c r="R66" s="59">
        <f t="shared" si="0"/>
        <v>1188.9799275050539</v>
      </c>
      <c r="S66" s="59">
        <f ca="1">AVERAGE(OFFSET($R$3,0,0,'Données projet'!$E$9+1,1))-AVERAGE(OFFSET($H$3,0,0,'Données projet'!$E$9+1,1))</f>
        <v>467.03705646400994</v>
      </c>
      <c r="T66" s="59">
        <f t="shared" si="34"/>
        <v>575.68119027684361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94.284158897245803</v>
      </c>
      <c r="AA66" s="21">
        <f>EXP(-LN(2)/25)*AA65+(1-EXP(-LN(2)/25))/(LN(2)/25)*Calculateur!V66*Calculateur!X66*VLOOKUP('Données projet'!$B$9,Paramètres!$A$1:$I$89,3,0)*0.475*44/12</f>
        <v>22.440630298565583</v>
      </c>
      <c r="AB66" s="21">
        <f>EXP(-LN(2)/2)*AB65+(1-EXP(-LN(2)/2))/(LN(2)/2)*V66*Y66*VLOOKUP('Données projet'!$B$9,Paramètres!$A$1:$I$89,3,0)*0.475*44/12</f>
        <v>1.3239971213856556</v>
      </c>
      <c r="AC66" s="22">
        <f t="shared" si="3"/>
        <v>118.04878631719704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7.4</v>
      </c>
      <c r="AI66" s="13">
        <f>IF('Données projet'!$A$62&gt;35,AI65+AH66-AQ65,IF(A66&lt;'Données projet'!$A$62,$AF$205^A66,IF(A66='Données projet'!$A$62,'Données projet'!$B$62,AI65+AH66-AQ65)))</f>
        <v>367.20000000000016</v>
      </c>
      <c r="AJ66" s="13">
        <f>AI66*VLOOKUP('Données projet'!$B$10,Paramètres!$A$1:$I$89,3,0)*VLOOKUP('Données projet'!$B$10,Paramètres!$A$1:$I$89,5,0)</f>
        <v>229.13280000000009</v>
      </c>
      <c r="AK66" s="13">
        <f t="shared" si="35"/>
        <v>56.095131411326932</v>
      </c>
      <c r="AL66" s="20">
        <f t="shared" si="4"/>
        <v>496.7719805413945</v>
      </c>
      <c r="AM66" s="59">
        <f t="shared" si="5"/>
        <v>790.10531387472781</v>
      </c>
      <c r="AN66" s="59">
        <f ca="1">AVERAGE(OFFSET($AM$3,0,0,'Données projet'!$E$10+1,1))-AVERAGE(OFFSET($H$3,0,0,'Données projet'!$E$10+1,1))</f>
        <v>252.44760109054914</v>
      </c>
      <c r="AO66" s="59">
        <f t="shared" si="36"/>
        <v>121.75506329394773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32.383157234296952</v>
      </c>
      <c r="AV66" s="21">
        <f>EXP(-LN(2)/25)*AV65+(1-EXP(-LN(2)/25))/(LN(2)/25)*Calculateur!AQ66*Calculateur!AS66*VLOOKUP('Données projet'!$B$10,Paramètres!$A$1:$I$89,3,0)*0.475*44/12</f>
        <v>8.2901866448198991</v>
      </c>
      <c r="AW66" s="21">
        <f>EXP(-LN(2)/2)*AW65+(1-EXP(-LN(2)/2))/(LN(2)/2)*AQ66*AT66*VLOOKUP('Données projet'!$B$10,Paramètres!$A$1:$I$89,3,0)*0.475*44/12</f>
        <v>0.53988260401325627</v>
      </c>
      <c r="AX66" s="21">
        <f t="shared" si="6"/>
        <v>41.213226483130107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17.399999999999999</v>
      </c>
      <c r="BD66" s="12">
        <f>IF('Données projet'!$A$88&gt;35,BD65+BC66-BL65,IF(A66&lt;'Données projet'!$A$88,$BA$205^A66,IF(A66='Données projet'!$A$88,'Données projet'!$B$88,BD65+BC66-BL65)))</f>
        <v>520.19999999999982</v>
      </c>
      <c r="BE66" s="13">
        <f>BD66*VLOOKUP('Données projet'!$B$11,Paramètres!$A$1:$I$89,3,0)*VLOOKUP('Données projet'!$B$11,Paramètres!$A$1:$I$89,5,0)</f>
        <v>311.07959999999991</v>
      </c>
      <c r="BF66" s="13">
        <f t="shared" si="37"/>
        <v>73.49424798183118</v>
      </c>
      <c r="BG66" s="20">
        <f t="shared" si="7"/>
        <v>669.79945190168905</v>
      </c>
      <c r="BH66" s="59">
        <f t="shared" si="8"/>
        <v>963.13278523502231</v>
      </c>
      <c r="BI66" s="59">
        <f ca="1">AVERAGE(OFFSET($BH$3,0,0,'Données projet'!$E$11+1,1))-AVERAGE(OFFSET($H$3,0,0,'Données projet'!$E$11+1,1))</f>
        <v>260.97162394079265</v>
      </c>
      <c r="BJ66" s="59">
        <f t="shared" si="38"/>
        <v>279.1836614199691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63.581006033873606</v>
      </c>
      <c r="BQ66" s="21">
        <f>EXP(-LN(2)/25)*BQ65+(1-EXP(-LN(2)/25))/(LN(2)/25)*Calculateur!BL66*Calculateur!BN66*VLOOKUP('Données projet'!$B$11,Paramètres!$A$1:$I$89,3,0)*0.475*44/12</f>
        <v>14.213144412134316</v>
      </c>
      <c r="BR66" s="21">
        <f>EXP(-LN(2)/2)*BR65+(1-EXP(-LN(2)/2))/(LN(2)/2)*BL66*BO66*VLOOKUP('Données projet'!$B$11,Paramètres!$A$1:$I$89,3,0)*0.475*44/12</f>
        <v>1.3172080271937809</v>
      </c>
      <c r="BS66" s="22">
        <f t="shared" si="9"/>
        <v>79.111358473201705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445.125</v>
      </c>
      <c r="BZ66" s="13">
        <f>BY66*VLOOKUP('Données projet'!$B$12,Paramètres!$A$1:$I$89,3,0)*VLOOKUP('Données projet'!$B$12,Paramètres!$A$1:$I$89,5,0)</f>
        <v>266.18475000000007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868.4728701977333</v>
      </c>
      <c r="CD66" s="59">
        <f ca="1">AVERAGE(OFFSET($CC$3,0,0,'Données projet'!$E$12+1,1))-AVERAGE(OFFSET($H$3,0,0,'Données projet'!$E$12+1,1))</f>
        <v>264.70281355687837</v>
      </c>
      <c r="CE66" s="59">
        <f t="shared" si="40"/>
        <v>199.74194600786768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51.865287243910871</v>
      </c>
      <c r="CL66" s="21">
        <f>EXP(-LN(2)/25)*CL65+(1-EXP(-LN(2)/25))/(LN(2)/25)*Calculateur!CG66*Calculateur!CI66*VLOOKUP('Données projet'!$B$12,Paramètres!$A$1:$I$89,3,0)*0.475*44/12</f>
        <v>12.296932961150553</v>
      </c>
      <c r="CM66" s="21">
        <f>EXP(-LN(2)/2)*CM65+(1-EXP(-LN(2)/2))/(LN(2)/2)*CG66*CJ66*VLOOKUP('Données projet'!$B$12,Paramètres!$A$1:$I$89,3,0)*0.475*44/12</f>
        <v>1.2737660439980822</v>
      </c>
      <c r="CN66" s="22">
        <f t="shared" si="12"/>
        <v>65.435986249059511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9.8000000000000007</v>
      </c>
      <c r="CT66" s="12">
        <f>IF('Données projet'!$A$140&gt;35,CT65+CS66-DB65,IF(A66&lt;'Données projet'!$A$140,$CQ$205^A66,IF(A66='Données projet'!$A$140,'Données projet'!$B$140,CT65+CS66-DB65)))</f>
        <v>303.40000000000003</v>
      </c>
      <c r="CU66" s="17">
        <f>CT66*VLOOKUP('Données projet'!$B$13,Paramètres!$A$1:$I$89,3,0)*VLOOKUP('Données projet'!$B$13,Paramètres!$A$1:$I$89,5,0)</f>
        <v>173.54480000000001</v>
      </c>
      <c r="CV66" s="13">
        <f t="shared" si="41"/>
        <v>43.882984783704948</v>
      </c>
      <c r="CW66" s="20">
        <f t="shared" si="13"/>
        <v>378.6867251649528</v>
      </c>
      <c r="CX66" s="59">
        <f t="shared" si="14"/>
        <v>672.02005849828606</v>
      </c>
      <c r="CY66" s="59">
        <f ca="1">AVERAGE(OFFSET($CX$3,0,0,'Données projet'!$E$13+1,1))-AVERAGE(OFFSET($H$3,0,0,'Données projet'!$E$13+1,1))</f>
        <v>149.8619613776458</v>
      </c>
      <c r="CZ66" s="59">
        <f t="shared" si="42"/>
        <v>108.55560257938146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37.835609259186654</v>
      </c>
      <c r="DG66" s="21">
        <f>EXP(-LN(2)/25)*DG65+(1-EXP(-LN(2)/25))/(LN(2)/25)*Calculateur!DB66*Calculateur!DD66*VLOOKUP('Données projet'!$B$13,Paramètres!$A$1:$I$89,3,0)*0.475*44/12</f>
        <v>9.0182733801917117</v>
      </c>
      <c r="DH66" s="21">
        <f>EXP(-LN(2)/2)*DH65+(1-EXP(-LN(2)/2))/(LN(2)/2)*DB66*DE66*VLOOKUP('Données projet'!$B$13,Paramètres!$A$1:$I$89,3,0)*0.475*44/12</f>
        <v>1.847709214862006</v>
      </c>
      <c r="DI66" s="22">
        <f t="shared" si="15"/>
        <v>48.701591854240377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1">
        <f t="shared" si="32"/>
        <v>15.107692595703268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67">
        <f t="shared" si="1"/>
        <v>410.06765793751646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</v>
      </c>
      <c r="N67" s="13">
        <f>IF('Données projet'!$A$36&gt;35,N66+M67-V66,IF(A67&lt;'Données projet'!$A$36,$K$205^A67,IF(A67='Données projet'!$A$36,'Données projet'!$B$36,N66+M67-V66)))</f>
        <v>758.99999999999966</v>
      </c>
      <c r="O67" s="13">
        <f>N67*VLOOKUP('Données projet'!$B$9,Paramètres!$A$1:$I$89,3,0)*VLOOKUP('Données projet'!$B$9,Paramètres!$A$1:$I$89,5,0)</f>
        <v>424.28099999999978</v>
      </c>
      <c r="P67" s="13">
        <f t="shared" si="33"/>
        <v>96.682255052757768</v>
      </c>
      <c r="Q67" s="20">
        <f t="shared" ref="Q67:Q98" si="54">(O67+P67)*0.475*44/12</f>
        <v>907.34433588355262</v>
      </c>
      <c r="R67" s="59">
        <f t="shared" ref="R67:R130" si="55">Q67+(I67+J67)*44/12</f>
        <v>1200.677669216886</v>
      </c>
      <c r="S67" s="59">
        <f ca="1">AVERAGE(OFFSET($R$3,0,0,'Données projet'!$E$9+1,1))-AVERAGE(OFFSET($H$3,0,0,'Données projet'!$E$9+1,1))</f>
        <v>467.03705646400994</v>
      </c>
      <c r="T67" s="59">
        <f t="shared" si="34"/>
        <v>575.68119027684361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92.435304048929325</v>
      </c>
      <c r="AA67" s="21">
        <f>EXP(-LN(2)/25)*AA66+(1-EXP(-LN(2)/25))/(LN(2)/25)*Calculateur!V67*Calculateur!X67*VLOOKUP('Données projet'!$B$9,Paramètres!$A$1:$I$89,3,0)*0.475*44/12</f>
        <v>21.826990082949848</v>
      </c>
      <c r="AB67" s="21">
        <f>EXP(-LN(2)/2)*AB66+(1-EXP(-LN(2)/2))/(LN(2)/2)*V67*Y67*VLOOKUP('Données projet'!$B$9,Paramètres!$A$1:$I$89,3,0)*0.475*44/12</f>
        <v>0.93620734280326567</v>
      </c>
      <c r="AC67" s="22">
        <f t="shared" si="3"/>
        <v>115.19850147468244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7.4</v>
      </c>
      <c r="AI67" s="13">
        <f>IF('Données projet'!$A$62&gt;35,AI66+AH67-AQ66,IF(A67&lt;'Données projet'!$A$62,$AF$205^A67,IF(A67='Données projet'!$A$62,'Données projet'!$B$62,AI66+AH67-AQ66)))</f>
        <v>374.60000000000014</v>
      </c>
      <c r="AJ67" s="13">
        <f>AI67*VLOOKUP('Données projet'!$B$10,Paramètres!$A$1:$I$89,3,0)*VLOOKUP('Données projet'!$B$10,Paramètres!$A$1:$I$89,5,0)</f>
        <v>233.75040000000007</v>
      </c>
      <c r="AK67" s="13">
        <f t="shared" si="35"/>
        <v>57.092840746859757</v>
      </c>
      <c r="AL67" s="20">
        <f t="shared" si="4"/>
        <v>506.55197763411411</v>
      </c>
      <c r="AM67" s="59">
        <f t="shared" si="5"/>
        <v>799.88531096744737</v>
      </c>
      <c r="AN67" s="59">
        <f ca="1">AVERAGE(OFFSET($AM$3,0,0,'Données projet'!$E$10+1,1))-AVERAGE(OFFSET($H$3,0,0,'Données projet'!$E$10+1,1))</f>
        <v>252.44760109054914</v>
      </c>
      <c r="AO67" s="59">
        <f t="shared" si="36"/>
        <v>121.75506329394773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31.748143272707978</v>
      </c>
      <c r="AV67" s="21">
        <f>EXP(-LN(2)/25)*AV66+(1-EXP(-LN(2)/25))/(LN(2)/25)*Calculateur!AQ67*Calculateur!AS67*VLOOKUP('Données projet'!$B$10,Paramètres!$A$1:$I$89,3,0)*0.475*44/12</f>
        <v>8.06349105505533</v>
      </c>
      <c r="AW67" s="21">
        <f>EXP(-LN(2)/2)*AW66+(1-EXP(-LN(2)/2))/(LN(2)/2)*AQ67*AT67*VLOOKUP('Données projet'!$B$10,Paramètres!$A$1:$I$89,3,0)*0.475*44/12</f>
        <v>0.38175465034242512</v>
      </c>
      <c r="AX67" s="21">
        <f t="shared" si="6"/>
        <v>40.19338897810573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17.399999999999999</v>
      </c>
      <c r="BD67" s="12">
        <f>IF('Données projet'!$A$88&gt;35,BD66+BC67-BL66,IF(A67&lt;'Données projet'!$A$88,$BA$205^A67,IF(A67='Données projet'!$A$88,'Données projet'!$B$88,BD66+BC67-BL66)))</f>
        <v>537.5999999999998</v>
      </c>
      <c r="BE67" s="13">
        <f>BD67*VLOOKUP('Données projet'!$B$11,Paramètres!$A$1:$I$89,3,0)*VLOOKUP('Données projet'!$B$11,Paramètres!$A$1:$I$89,5,0)</f>
        <v>321.48479999999989</v>
      </c>
      <c r="BF67" s="13">
        <f t="shared" si="37"/>
        <v>75.662211893590367</v>
      </c>
      <c r="BG67" s="20">
        <f t="shared" si="7"/>
        <v>691.69771238133637</v>
      </c>
      <c r="BH67" s="59">
        <f t="shared" si="8"/>
        <v>985.03104571466974</v>
      </c>
      <c r="BI67" s="59">
        <f ca="1">AVERAGE(OFFSET($BH$3,0,0,'Données projet'!$E$11+1,1))-AVERAGE(OFFSET($H$3,0,0,'Données projet'!$E$11+1,1))</f>
        <v>260.97162394079265</v>
      </c>
      <c r="BJ67" s="59">
        <f t="shared" si="38"/>
        <v>279.1836614199691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62.334221286133761</v>
      </c>
      <c r="BQ67" s="21">
        <f>EXP(-LN(2)/25)*BQ66+(1-EXP(-LN(2)/25))/(LN(2)/25)*Calculateur!BL67*Calculateur!BN67*VLOOKUP('Données projet'!$B$11,Paramètres!$A$1:$I$89,3,0)*0.475*44/12</f>
        <v>13.824485230747722</v>
      </c>
      <c r="BR67" s="21">
        <f>EXP(-LN(2)/2)*BR66+(1-EXP(-LN(2)/2))/(LN(2)/2)*BL67*BO67*VLOOKUP('Données projet'!$B$11,Paramètres!$A$1:$I$89,3,0)*0.475*44/12</f>
        <v>0.93140672826207682</v>
      </c>
      <c r="BS67" s="22">
        <f t="shared" si="9"/>
        <v>77.090113245143556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461.75</v>
      </c>
      <c r="BZ67" s="13">
        <f>BY67*VLOOKUP('Données projet'!$B$12,Paramètres!$A$1:$I$89,3,0)*VLOOKUP('Données projet'!$B$12,Paramètres!$A$1:$I$89,5,0)</f>
        <v>276.12650000000002</v>
      </c>
      <c r="CA67" s="13">
        <f t="shared" si="39"/>
        <v>66.147764494536631</v>
      </c>
      <c r="CB67" s="20">
        <f t="shared" si="10"/>
        <v>596.12767732798454</v>
      </c>
      <c r="CC67" s="59">
        <f t="shared" si="11"/>
        <v>889.46101066131791</v>
      </c>
      <c r="CD67" s="59">
        <f ca="1">AVERAGE(OFFSET($CC$3,0,0,'Données projet'!$E$12+1,1))-AVERAGE(OFFSET($H$3,0,0,'Données projet'!$E$12+1,1))</f>
        <v>264.70281355687837</v>
      </c>
      <c r="CE67" s="59">
        <f t="shared" si="40"/>
        <v>199.74194600786768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50.848240595759329</v>
      </c>
      <c r="CL67" s="21">
        <f>EXP(-LN(2)/25)*CL66+(1-EXP(-LN(2)/25))/(LN(2)/25)*Calculateur!CG67*Calculateur!CI67*VLOOKUP('Données projet'!$B$12,Paramètres!$A$1:$I$89,3,0)*0.475*44/12</f>
        <v>11.960672682660292</v>
      </c>
      <c r="CM67" s="21">
        <f>EXP(-LN(2)/2)*CM66+(1-EXP(-LN(2)/2))/(LN(2)/2)*CG67*CJ67*VLOOKUP('Données projet'!$B$12,Paramètres!$A$1:$I$89,3,0)*0.475*44/12</f>
        <v>0.90068860735620626</v>
      </c>
      <c r="CN67" s="22">
        <f t="shared" si="12"/>
        <v>63.709601885775832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9.8000000000000007</v>
      </c>
      <c r="CT67" s="12">
        <f>IF('Données projet'!$A$140&gt;35,CT66+CS67-DB66,IF(A67&lt;'Données projet'!$A$140,$CQ$205^A67,IF(A67='Données projet'!$A$140,'Données projet'!$B$140,CT66+CS67-DB66)))</f>
        <v>313.20000000000005</v>
      </c>
      <c r="CU67" s="17">
        <f>CT67*VLOOKUP('Données projet'!$B$13,Paramètres!$A$1:$I$89,3,0)*VLOOKUP('Données projet'!$B$13,Paramètres!$A$1:$I$89,5,0)</f>
        <v>179.15040000000005</v>
      </c>
      <c r="CV67" s="13">
        <f t="shared" si="41"/>
        <v>45.133113803437347</v>
      </c>
      <c r="CW67" s="20">
        <f t="shared" si="13"/>
        <v>390.62711987432004</v>
      </c>
      <c r="CX67" s="59">
        <f t="shared" si="14"/>
        <v>683.96045320765336</v>
      </c>
      <c r="CY67" s="59">
        <f ca="1">AVERAGE(OFFSET($CX$3,0,0,'Données projet'!$E$13+1,1))-AVERAGE(OFFSET($H$3,0,0,'Données projet'!$E$13+1,1))</f>
        <v>149.8619613776458</v>
      </c>
      <c r="CZ67" s="59">
        <f t="shared" si="42"/>
        <v>108.55560257938146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37.093676039056945</v>
      </c>
      <c r="DG67" s="21">
        <f>EXP(-LN(2)/25)*DG66+(1-EXP(-LN(2)/25))/(LN(2)/25)*Calculateur!DB67*Calculateur!DD67*VLOOKUP('Données projet'!$B$13,Paramètres!$A$1:$I$89,3,0)*0.475*44/12</f>
        <v>8.7716682203599845</v>
      </c>
      <c r="DH67" s="21">
        <f>EXP(-LN(2)/2)*DH66+(1-EXP(-LN(2)/2))/(LN(2)/2)*DB67*DE67*VLOOKUP('Données projet'!$B$13,Paramètres!$A$1:$I$89,3,0)*0.475*44/12</f>
        <v>1.3065277154897961</v>
      </c>
      <c r="DI67" s="22">
        <f t="shared" si="15"/>
        <v>47.171871974906722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1">
        <f t="shared" si="32"/>
        <v>15.316084592505272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67">
        <f t="shared" ref="H68:H131" si="56">(B68+E68+F68)*44/12+(C68+D68)*0.475*44/12</f>
        <v>411.84344733194661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769</v>
      </c>
      <c r="L68" s="12">
        <f>VLOOKUP(A68,'Données projet'!$A$35:$I$55,9,0)</f>
        <v>10</v>
      </c>
      <c r="M68" s="12">
        <f t="array" ref="M68">INDEX(L:L,MIN(IF(ISNUMBER(L68:L264),ROW(L68:L264),"")))</f>
        <v>10</v>
      </c>
      <c r="N68" s="13">
        <f>IF('Données projet'!$A$36&gt;35,N67+M68-V67,IF(A68&lt;'Données projet'!$A$36,$K$205^A68,IF(A68='Données projet'!$A$36,'Données projet'!$B$36,N67+M68-V67)))</f>
        <v>768.99999999999966</v>
      </c>
      <c r="O68" s="13">
        <f>N68*VLOOKUP('Données projet'!$B$9,Paramètres!$A$1:$I$89,3,0)*VLOOKUP('Données projet'!$B$9,Paramètres!$A$1:$I$89,5,0)</f>
        <v>429.87099999999981</v>
      </c>
      <c r="P68" s="13">
        <f t="shared" si="33"/>
        <v>97.806935594587088</v>
      </c>
      <c r="Q68" s="20">
        <f t="shared" si="54"/>
        <v>919.03907116057201</v>
      </c>
      <c r="R68" s="59">
        <f t="shared" si="55"/>
        <v>1212.3724044939054</v>
      </c>
      <c r="S68" s="59">
        <f ca="1">AVERAGE(OFFSET($R$3,0,0,'Données projet'!$E$9+1,1))-AVERAGE(OFFSET($H$3,0,0,'Données projet'!$E$9+1,1))</f>
        <v>467.03705646400994</v>
      </c>
      <c r="T68" s="59">
        <f t="shared" si="34"/>
        <v>575.68119027684361</v>
      </c>
      <c r="U68" s="15" t="str">
        <f>IF(ISNA(VLOOKUP(A68,'Données projet'!$A$35:$I$55,3,0)),0,VLOOKUP(A68,'Données projet'!$A$35:$I$55,3,0))</f>
        <v>CR</v>
      </c>
      <c r="V68" s="15">
        <f>IF(ISNA(VLOOKUP(A68,'Données projet'!$A$35:$I$55,4,0)),0,VLOOKUP(A68,'Données projet'!$A$35:$I$55,4,0))</f>
        <v>769</v>
      </c>
      <c r="W68" s="16">
        <f>IF(ISNA(VLOOKUP(A68,'Données projet'!$A$35:$I$55,5,0)),0%,VLOOKUP(A68,'Données projet'!$A$35:$I$55,5,0)*VLOOKUP('Données projet'!$B$9,Paramètres!$A$1:$I$89,7,0))</f>
        <v>0.38500000000000001</v>
      </c>
      <c r="X68" s="16">
        <f>IF(ISNA(VLOOKUP(A68,'Données projet'!$A$35:$I$55,6,0)),0%,VLOOKUP(A68,'Données projet'!$A$35:$I$55,6,0)*VLOOKUP('Données projet'!$B$9,Paramètres!$A$1:$I$89,7,0))</f>
        <v>9.3500000000000014E-2</v>
      </c>
      <c r="Y68" s="16">
        <f>IF(ISNA(VLOOKUP(A68,'Données projet'!$A$35:$I$55,7,0)),0%,VLOOKUP(A68,'Données projet'!$A$35:$I$55,7,0))</f>
        <v>0.13</v>
      </c>
      <c r="Z68" s="21">
        <f>EXP(-LN(2)/35)*Z67+(1-EXP(-LN(2)/35))/(LN(2)/35)*V68*W68*VLOOKUP('Données projet'!$B$9,Paramètres!$A$1:$I$89,3,0)*0.475*44/12</f>
        <v>310.16956589083469</v>
      </c>
      <c r="AA68" s="21">
        <f>EXP(-LN(2)/25)*AA67+(1-EXP(-LN(2)/25))/(LN(2)/25)*Calculateur!V68*Calculateur!X68*VLOOKUP('Données projet'!$B$9,Paramètres!$A$1:$I$89,3,0)*0.475*44/12</f>
        <v>74.338718121807347</v>
      </c>
      <c r="AB68" s="21">
        <f>EXP(-LN(2)/2)*AB67+(1-EXP(-LN(2)/2))/(LN(2)/2)*V68*Y68*VLOOKUP('Données projet'!$B$9,Paramètres!$A$1:$I$89,3,0)*0.475*44/12</f>
        <v>63.934796456792753</v>
      </c>
      <c r="AC68" s="22">
        <f t="shared" ref="AC68:AC131" si="57">SUM(Z68:AB68)</f>
        <v>448.44308046943479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382</v>
      </c>
      <c r="AG68" s="12">
        <f>VLOOKUP(A68,'Données projet'!$A$61:$I$81,9,0)</f>
        <v>7.4</v>
      </c>
      <c r="AH68" s="12">
        <f t="array" ref="AH68">INDEX(AG:AG,MIN(IF(ISNUMBER(AG68:AG264),ROW(AG68:AG264),"")))</f>
        <v>7.4</v>
      </c>
      <c r="AI68" s="13">
        <f>IF('Données projet'!$A$62&gt;35,AI67+AH68-AQ67,IF(A68&lt;'Données projet'!$A$62,$AF$205^A68,IF(A68='Données projet'!$A$62,'Données projet'!$B$62,AI67+AH68-AQ67)))</f>
        <v>382.00000000000011</v>
      </c>
      <c r="AJ68" s="13">
        <f>AI68*VLOOKUP('Données projet'!$B$10,Paramètres!$A$1:$I$89,3,0)*VLOOKUP('Données projet'!$B$10,Paramètres!$A$1:$I$89,5,0)</f>
        <v>238.36800000000005</v>
      </c>
      <c r="AK68" s="13">
        <f t="shared" si="35"/>
        <v>58.08825841488494</v>
      </c>
      <c r="AL68" s="20">
        <f t="shared" ref="AL68:AL131" si="58">(AJ68+AK68)*0.475*44/12</f>
        <v>516.32798340592467</v>
      </c>
      <c r="AM68" s="59">
        <f t="shared" ref="AM68:AM131" si="59">AL68+(AD68+AE68)*44/12</f>
        <v>809.66131673925793</v>
      </c>
      <c r="AN68" s="59">
        <f ca="1">AVERAGE(OFFSET($AM$3,0,0,'Données projet'!$E$10+1,1))-AVERAGE(OFFSET($H$3,0,0,'Données projet'!$E$10+1,1))</f>
        <v>252.44760109054914</v>
      </c>
      <c r="AO68" s="59">
        <f t="shared" si="36"/>
        <v>121.75506329394773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0.42</v>
      </c>
      <c r="AS68" s="16">
        <f>IF(ISNA(VLOOKUP(A68,'Données projet'!$A$61:$I$81,6,0)),0%,VLOOKUP(A68,'Données projet'!$A$61:$I$81,6,0)*VLOOKUP('Données projet'!$B$10,Paramètres!$A$1:$I$89,7,0))</f>
        <v>0.10200000000000001</v>
      </c>
      <c r="AT68" s="16">
        <f>IF(ISNA(VLOOKUP(A68,'Données projet'!$A$61:$I$81,7,0)),0%,VLOOKUP(A68,'Données projet'!$A$61:$I$81,7,0))</f>
        <v>0.13</v>
      </c>
      <c r="AU68" s="21">
        <f>EXP(-LN(2)/35)*AU67+(1-EXP(-LN(2)/35))/(LN(2)/35)*AQ68*AR68*VLOOKUP('Données projet'!$B$10,Paramètres!$A$1:$I$89,3,0)*0.475*44/12</f>
        <v>34.94990768488303</v>
      </c>
      <c r="AV68" s="21">
        <f>EXP(-LN(2)/25)*AV67+(1-EXP(-LN(2)/25))/(LN(2)/25)*Calculateur!AQ68*Calculateur!AS68*VLOOKUP('Données projet'!$B$10,Paramètres!$A$1:$I$89,3,0)*0.475*44/12</f>
        <v>8.7681024857987424</v>
      </c>
      <c r="AW68" s="21">
        <f>EXP(-LN(2)/2)*AW67+(1-EXP(-LN(2)/2))/(LN(2)/2)*AQ68*AT68*VLOOKUP('Données projet'!$B$10,Paramètres!$A$1:$I$89,3,0)*0.475*44/12</f>
        <v>1.2802548257354442</v>
      </c>
      <c r="AX68" s="21">
        <f t="shared" ref="AX68:AX131" si="60">SUM(AU68:AW68)</f>
        <v>44.99826499641722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555</v>
      </c>
      <c r="BB68" s="12">
        <f>VLOOKUP(A68,'Données projet'!$A$87:$I$107,9,0)</f>
        <v>17.399999999999999</v>
      </c>
      <c r="BC68" s="12">
        <f t="array" ref="BC68">INDEX(BB:BB,MIN(IF(ISNUMBER(BB68:BB264),ROW(BB68:BB264),"")))</f>
        <v>17.399999999999999</v>
      </c>
      <c r="BD68" s="12">
        <f>IF('Données projet'!$A$88&gt;35,BD67+BC68-BL67,IF(A68&lt;'Données projet'!$A$88,$BA$205^A68,IF(A68='Données projet'!$A$88,'Données projet'!$B$88,BD67+BC68-BL67)))</f>
        <v>554.99999999999977</v>
      </c>
      <c r="BE68" s="13">
        <f>BD68*VLOOKUP('Données projet'!$B$11,Paramètres!$A$1:$I$89,3,0)*VLOOKUP('Données projet'!$B$11,Paramètres!$A$1:$I$89,5,0)</f>
        <v>331.88999999999987</v>
      </c>
      <c r="BF68" s="13">
        <f t="shared" si="37"/>
        <v>77.822022056956186</v>
      </c>
      <c r="BG68" s="20">
        <f t="shared" ref="BG68:BG131" si="61">(BE68+BF68)*0.475*44/12</f>
        <v>713.58177174919854</v>
      </c>
      <c r="BH68" s="59">
        <f t="shared" ref="BH68:BH131" si="62">BG68+(AY68+AZ68)*44/12</f>
        <v>1006.9151050825319</v>
      </c>
      <c r="BI68" s="59">
        <f ca="1">AVERAGE(OFFSET($BH$3,0,0,'Données projet'!$E$11+1,1))-AVERAGE(OFFSET($H$3,0,0,'Données projet'!$E$11+1,1))</f>
        <v>260.97162394079265</v>
      </c>
      <c r="BJ68" s="59">
        <f t="shared" si="38"/>
        <v>279.1836614199691</v>
      </c>
      <c r="BK68" s="15" t="str">
        <f>IF(ISNA(VLOOKUP(A68,'Données projet'!$A$87:$I$107,3,0)),0,VLOOKUP(A68,'Données projet'!$A$87:$I$107,3,0))</f>
        <v>CR</v>
      </c>
      <c r="BL68" s="15">
        <f>IF(ISNA(VLOOKUP(A68,'Données projet'!$A$87:$I$107,4,0)),0,VLOOKUP(A68,'Données projet'!$A$87:$I$107,4,0))</f>
        <v>555</v>
      </c>
      <c r="BM68" s="16">
        <f>IF(ISNA(VLOOKUP(A68,'Données projet'!$A$87:$I$107,5,0)),0%,VLOOKUP(A68,'Données projet'!$A$87:$I$107,5,0)*VLOOKUP('Données projet'!$B$11,Paramètres!$A$1:$I$89,7,0))</f>
        <v>0.315</v>
      </c>
      <c r="BN68" s="16">
        <f>IF(ISNA(VLOOKUP(A68,'Données projet'!$A$87:$I$107,6,0)),0%,VLOOKUP(A68,'Données projet'!$A$87:$I$107,6,0)*VLOOKUP('Données projet'!$B$11,Paramètres!$A$1:$I$89,7,0))</f>
        <v>7.6500000000000012E-2</v>
      </c>
      <c r="BO68" s="16">
        <f>IF(ISNA(VLOOKUP(A68,'Données projet'!$A$87:$I$107,7,0)),0%,VLOOKUP(A68,'Données projet'!$A$87:$I$107,7,0))</f>
        <v>0.13</v>
      </c>
      <c r="BP68" s="21">
        <f>EXP(-LN(2)/35)*BP67+(1-EXP(-LN(2)/35))/(LN(2)/35)*BL68*BM68*VLOOKUP('Données projet'!$B$11,Paramètres!$A$1:$I$89,3,0)*0.475*44/12</f>
        <v>199.79803051831959</v>
      </c>
      <c r="BQ68" s="21">
        <f>EXP(-LN(2)/25)*BQ67+(1-EXP(-LN(2)/25))/(LN(2)/25)*Calculateur!BL68*Calculateur!BN68*VLOOKUP('Données projet'!$B$11,Paramètres!$A$1:$I$89,3,0)*0.475*44/12</f>
        <v>46.994760335064257</v>
      </c>
      <c r="BR68" s="21">
        <f>EXP(-LN(2)/2)*BR67+(1-EXP(-LN(2)/2))/(LN(2)/2)*BL68*BO68*VLOOKUP('Données projet'!$B$11,Paramètres!$A$1:$I$89,3,0)*0.475*44/12</f>
        <v>49.509559052984528</v>
      </c>
      <c r="BS68" s="22">
        <f t="shared" ref="BS68:BS131" si="63">SUM(BP68:BR68)</f>
        <v>296.30234990636836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478.375</v>
      </c>
      <c r="BZ68" s="13">
        <f>BY68*VLOOKUP('Données projet'!$B$12,Paramètres!$A$1:$I$89,3,0)*VLOOKUP('Données projet'!$B$12,Paramètres!$A$1:$I$89,5,0)</f>
        <v>286.06825000000003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910.4337869481501</v>
      </c>
      <c r="CD68" s="59">
        <f ca="1">AVERAGE(OFFSET($CC$3,0,0,'Données projet'!$E$12+1,1))-AVERAGE(OFFSET($H$3,0,0,'Données projet'!$E$12+1,1))</f>
        <v>264.70281355687837</v>
      </c>
      <c r="CE68" s="59">
        <f t="shared" si="40"/>
        <v>199.74194600786768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49.851137612040837</v>
      </c>
      <c r="CL68" s="21">
        <f>EXP(-LN(2)/25)*CL67+(1-EXP(-LN(2)/25))/(LN(2)/25)*Calculateur!CG68*Calculateur!CI68*VLOOKUP('Données projet'!$B$12,Paramètres!$A$1:$I$89,3,0)*0.475*44/12</f>
        <v>11.633607459168505</v>
      </c>
      <c r="CM68" s="21">
        <f>EXP(-LN(2)/2)*CM67+(1-EXP(-LN(2)/2))/(LN(2)/2)*CG68*CJ68*VLOOKUP('Données projet'!$B$12,Paramètres!$A$1:$I$89,3,0)*0.475*44/12</f>
        <v>0.63688302199904123</v>
      </c>
      <c r="CN68" s="22">
        <f t="shared" ref="CN68:CN131" si="66">SUM(CK68:CM68)</f>
        <v>62.121628093208386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9.8000000000000007</v>
      </c>
      <c r="CT68" s="12">
        <f>IF('Données projet'!$A$140&gt;35,CT67+CS68-DB67,IF(A68&lt;'Données projet'!$A$140,$CQ$205^A68,IF(A68='Données projet'!$A$140,'Données projet'!$B$140,CT67+CS68-DB67)))</f>
        <v>323.00000000000006</v>
      </c>
      <c r="CU68" s="17">
        <f>CT68*VLOOKUP('Données projet'!$B$13,Paramètres!$A$1:$I$89,3,0)*VLOOKUP('Données projet'!$B$13,Paramètres!$A$1:$I$89,5,0)</f>
        <v>184.75600000000006</v>
      </c>
      <c r="CV68" s="13">
        <f t="shared" si="41"/>
        <v>46.378697169162017</v>
      </c>
      <c r="CW68" s="20">
        <f t="shared" ref="CW68:CW131" si="67">(CU68+CV68)*0.475*44/12</f>
        <v>402.55959756962392</v>
      </c>
      <c r="CX68" s="59">
        <f t="shared" ref="CX68:CX131" si="68">CW68+(CO68+CP68)*44/12</f>
        <v>695.89293090295723</v>
      </c>
      <c r="CY68" s="59">
        <f ca="1">AVERAGE(OFFSET($CX$3,0,0,'Données projet'!$E$13+1,1))-AVERAGE(OFFSET($H$3,0,0,'Données projet'!$E$13+1,1))</f>
        <v>149.8619613776458</v>
      </c>
      <c r="CZ68" s="59">
        <f t="shared" si="42"/>
        <v>108.55560257938146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36.366291676839396</v>
      </c>
      <c r="DG68" s="21">
        <f>EXP(-LN(2)/25)*DG67+(1-EXP(-LN(2)/25))/(LN(2)/25)*Calculateur!DB68*Calculateur!DD68*VLOOKUP('Données projet'!$B$13,Paramètres!$A$1:$I$89,3,0)*0.475*44/12</f>
        <v>8.5318064915922562</v>
      </c>
      <c r="DH68" s="21">
        <f>EXP(-LN(2)/2)*DH67+(1-EXP(-LN(2)/2))/(LN(2)/2)*DB68*DE68*VLOOKUP('Données projet'!$B$13,Paramètres!$A$1:$I$89,3,0)*0.475*44/12</f>
        <v>0.92385460743100312</v>
      </c>
      <c r="DI68" s="22">
        <f t="shared" ref="DI68:DI131" si="69">SUM(DF68:DH68)</f>
        <v>45.821952775862655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1">
        <f t="shared" ref="D69:D132" si="86">IFERROR(EXP(-1.0587+0.8836*LN(C69)+0.284),0)</f>
        <v>15.524103725721867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67">
        <f t="shared" si="56"/>
        <v>413.61858732229882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467.03705646400994</v>
      </c>
      <c r="T69" s="59">
        <f t="shared" ref="T69:T132" si="88">$T$3</f>
        <v>575.68119027684361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304.08732988847015</v>
      </c>
      <c r="AA69" s="21">
        <f>EXP(-LN(2)/25)*AA68+(1-EXP(-LN(2)/25))/(LN(2)/25)*Calculateur!V69*Calculateur!X69*VLOOKUP('Données projet'!$B$9,Paramètres!$A$1:$I$89,3,0)*0.475*44/12</f>
        <v>72.305921965463241</v>
      </c>
      <c r="AB69" s="21">
        <f>EXP(-LN(2)/2)*AB68+(1-EXP(-LN(2)/2))/(LN(2)/2)*V69*Y69*VLOOKUP('Données projet'!$B$9,Paramètres!$A$1:$I$89,3,0)*0.475*44/12</f>
        <v>45.208728128379811</v>
      </c>
      <c r="AC69" s="22">
        <f t="shared" si="57"/>
        <v>421.6019799823132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6.4</v>
      </c>
      <c r="AI69" s="13">
        <f>IF('Données projet'!$A$62&gt;35,AI68+AH69-AQ68,IF(A69&lt;'Données projet'!$A$62,$AF$205^A69,IF(A69='Données projet'!$A$62,'Données projet'!$B$62,AI68+AH69-AQ68)))</f>
        <v>377.40000000000009</v>
      </c>
      <c r="AJ69" s="13">
        <f>AI69*VLOOKUP('Données projet'!$B$10,Paramètres!$A$1:$I$89,3,0)*VLOOKUP('Données projet'!$B$10,Paramètres!$A$1:$I$89,5,0)</f>
        <v>235.49760000000006</v>
      </c>
      <c r="AK69" s="13">
        <f t="shared" ref="AK69:AK132" si="89">EXP(-1.0587+0.8836*LN(AJ69)+0.284)</f>
        <v>57.469752059083923</v>
      </c>
      <c r="AL69" s="20">
        <f t="shared" si="58"/>
        <v>510.25147150290451</v>
      </c>
      <c r="AM69" s="59">
        <f t="shared" si="59"/>
        <v>803.58480483623782</v>
      </c>
      <c r="AN69" s="59">
        <f ca="1">AVERAGE(OFFSET($AM$3,0,0,'Données projet'!$E$10+1,1))-AVERAGE(OFFSET($H$3,0,0,'Données projet'!$E$10+1,1))</f>
        <v>252.44760109054914</v>
      </c>
      <c r="AO69" s="59">
        <f t="shared" ref="AO69:AO132" si="90">$AO$3</f>
        <v>121.75506329394773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34.264561312521252</v>
      </c>
      <c r="AV69" s="21">
        <f>EXP(-LN(2)/25)*AV68+(1-EXP(-LN(2)/25))/(LN(2)/25)*Calculateur!AQ69*Calculateur!AS69*VLOOKUP('Données projet'!$B$10,Paramètres!$A$1:$I$89,3,0)*0.475*44/12</f>
        <v>8.5283382622301058</v>
      </c>
      <c r="AW69" s="21">
        <f>EXP(-LN(2)/2)*AW68+(1-EXP(-LN(2)/2))/(LN(2)/2)*AQ69*AT69*VLOOKUP('Données projet'!$B$10,Paramètres!$A$1:$I$89,3,0)*0.475*44/12</f>
        <v>0.90527686892433434</v>
      </c>
      <c r="AX69" s="21">
        <f t="shared" si="60"/>
        <v>43.698176443675692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-2.2737367544323206E-13</v>
      </c>
      <c r="BE69" s="13">
        <f>BD69*VLOOKUP('Données projet'!$B$11,Paramètres!$A$1:$I$89,3,0)*VLOOKUP('Données projet'!$B$11,Paramètres!$A$1:$I$89,5,0)</f>
        <v>-1.3596945791505279E-13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260.97162394079265</v>
      </c>
      <c r="BJ69" s="59">
        <f t="shared" ref="BJ69:BJ132" si="92">$BJ$3</f>
        <v>279.1836614199691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195.88011300462082</v>
      </c>
      <c r="BQ69" s="21">
        <f>EXP(-LN(2)/25)*BQ68+(1-EXP(-LN(2)/25))/(LN(2)/25)*Calculateur!BL69*Calculateur!BN69*VLOOKUP('Données projet'!$B$11,Paramètres!$A$1:$I$89,3,0)*0.475*44/12</f>
        <v>45.709686142354883</v>
      </c>
      <c r="BR69" s="21">
        <f>EXP(-LN(2)/2)*BR68+(1-EXP(-LN(2)/2))/(LN(2)/2)*BL69*BO69*VLOOKUP('Données projet'!$B$11,Paramètres!$A$1:$I$89,3,0)*0.475*44/12</f>
        <v>35.008544939921187</v>
      </c>
      <c r="BS69" s="22">
        <f t="shared" si="63"/>
        <v>276.59834408689687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495</v>
      </c>
      <c r="BZ69" s="13">
        <f>BY69*VLOOKUP('Données projet'!$B$12,Paramètres!$A$1:$I$89,3,0)*VLOOKUP('Données projet'!$B$12,Paramètres!$A$1:$I$89,5,0)</f>
        <v>296.01000000000005</v>
      </c>
      <c r="CA69" s="13">
        <f t="shared" ref="CA69:CA132" si="93">EXP(-1.0587+0.8836*LN(BZ69)+0.284)</f>
        <v>70.339355522692159</v>
      </c>
      <c r="CB69" s="20">
        <f t="shared" si="64"/>
        <v>638.05846086868894</v>
      </c>
      <c r="CC69" s="59">
        <f t="shared" si="65"/>
        <v>931.39179420202231</v>
      </c>
      <c r="CD69" s="59">
        <f ca="1">AVERAGE(OFFSET($CC$3,0,0,'Données projet'!$E$12+1,1))-AVERAGE(OFFSET($H$3,0,0,'Données projet'!$E$12+1,1))</f>
        <v>264.70281355687837</v>
      </c>
      <c r="CE69" s="59">
        <f t="shared" ref="CE69:CE132" si="94">$CE$3</f>
        <v>199.74194600786768</v>
      </c>
      <c r="CF69" s="15">
        <f>IF(ISNA(VLOOKUP(A69,'Données projet'!$A$113:$I$133,3,0)),0,VLOOKUP(A69,'Données projet'!$A$113:$I$133,3,0))</f>
        <v>8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0.315</v>
      </c>
      <c r="CI69" s="16">
        <f>IF(ISNA(VLOOKUP(A69,'Données projet'!$A$113:$I$133,6,0)),0%,VLOOKUP(A69,'Données projet'!$A$113:$I$133,6,0)*VLOOKUP('Données projet'!$B$12,Paramètres!$A$1:$I$89,7,0))</f>
        <v>7.6500000000000012E-2</v>
      </c>
      <c r="CJ69" s="16">
        <f>IF(ISNA(VLOOKUP(A69,'Données projet'!$A$113:$I$133,7,0)),0%,VLOOKUP(A69,'Données projet'!$A$113:$I$133,7,0))</f>
        <v>0.13</v>
      </c>
      <c r="CK69" s="21">
        <f>EXP(-LN(2)/35)*CK68+(1-EXP(-LN(2)/35))/(LN(2)/35)*CG69*CH69*VLOOKUP('Données projet'!$B$12,Paramètres!$A$1:$I$89,3,0)*0.475*44/12</f>
        <v>65.116108730284807</v>
      </c>
      <c r="CL69" s="21">
        <f>EXP(-LN(2)/25)*CL68+(1-EXP(-LN(2)/25))/(LN(2)/25)*Calculateur!CG69*Calculateur!CI69*VLOOKUP('Données projet'!$B$12,Paramètres!$A$1:$I$89,3,0)*0.475*44/12</f>
        <v>15.244566778794178</v>
      </c>
      <c r="CM69" s="21">
        <f>EXP(-LN(2)/2)*CM68+(1-EXP(-LN(2)/2))/(LN(2)/2)*CG69*CJ69*VLOOKUP('Données projet'!$B$12,Paramètres!$A$1:$I$89,3,0)*0.475*44/12</f>
        <v>6.1716273263090882</v>
      </c>
      <c r="CN69" s="22">
        <f t="shared" si="66"/>
        <v>86.53230283538808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9.8000000000000007</v>
      </c>
      <c r="CT69" s="12">
        <f>IF('Données projet'!$A$140&gt;35,CT68+CS69-DB68,IF(A69&lt;'Données projet'!$A$140,$CQ$205^A69,IF(A69='Données projet'!$A$140,'Données projet'!$B$140,CT68+CS69-DB68)))</f>
        <v>332.80000000000007</v>
      </c>
      <c r="CU69" s="17">
        <f>CT69*VLOOKUP('Données projet'!$B$13,Paramètres!$A$1:$I$89,3,0)*VLOOKUP('Données projet'!$B$13,Paramètres!$A$1:$I$89,5,0)</f>
        <v>190.36160000000007</v>
      </c>
      <c r="CV69" s="13">
        <f t="shared" ref="CV69:CV132" si="95">EXP(-1.0587+0.8836*LN(CU69)+0.284)</f>
        <v>47.619888628449182</v>
      </c>
      <c r="CW69" s="20">
        <f t="shared" si="67"/>
        <v>414.48442602788242</v>
      </c>
      <c r="CX69" s="59">
        <f t="shared" si="68"/>
        <v>707.81775936121574</v>
      </c>
      <c r="CY69" s="59">
        <f ca="1">AVERAGE(OFFSET($CX$3,0,0,'Données projet'!$E$13+1,1))-AVERAGE(OFFSET($H$3,0,0,'Données projet'!$E$13+1,1))</f>
        <v>149.8619613776458</v>
      </c>
      <c r="CZ69" s="59">
        <f t="shared" ref="CZ69:CZ132" si="96">$CZ$3</f>
        <v>108.55560257938146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35.65317087830428</v>
      </c>
      <c r="DG69" s="21">
        <f>EXP(-LN(2)/25)*DG68+(1-EXP(-LN(2)/25))/(LN(2)/25)*Calculateur!DB69*Calculateur!DD69*VLOOKUP('Données projet'!$B$13,Paramètres!$A$1:$I$89,3,0)*0.475*44/12</f>
        <v>8.298503794411463</v>
      </c>
      <c r="DH69" s="21">
        <f>EXP(-LN(2)/2)*DH68+(1-EXP(-LN(2)/2))/(LN(2)/2)*DB69*DE69*VLOOKUP('Données projet'!$B$13,Paramètres!$A$1:$I$89,3,0)*0.475*44/12</f>
        <v>0.65326385774489815</v>
      </c>
      <c r="DI69" s="22">
        <f t="shared" si="69"/>
        <v>44.604938530460636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1">
        <f t="shared" si="86"/>
        <v>15.73175629732425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67">
        <f t="shared" si="56"/>
        <v>415.39308888450631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467.03705646400994</v>
      </c>
      <c r="T70" s="59">
        <f t="shared" si="88"/>
        <v>575.68119027684361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298.12436282431435</v>
      </c>
      <c r="AA70" s="21">
        <f>EXP(-LN(2)/25)*AA69+(1-EXP(-LN(2)/25))/(LN(2)/25)*Calculateur!V70*Calculateur!X70*VLOOKUP('Données projet'!$B$9,Paramètres!$A$1:$I$89,3,0)*0.475*44/12</f>
        <v>70.328712726914475</v>
      </c>
      <c r="AB70" s="21">
        <f>EXP(-LN(2)/2)*AB69+(1-EXP(-LN(2)/2))/(LN(2)/2)*V70*Y70*VLOOKUP('Données projet'!$B$9,Paramètres!$A$1:$I$89,3,0)*0.475*44/12</f>
        <v>31.96739822839638</v>
      </c>
      <c r="AC70" s="22">
        <f t="shared" si="57"/>
        <v>400.42047377962524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6.4</v>
      </c>
      <c r="AI70" s="13">
        <f>IF('Données projet'!$A$62&gt;35,AI69+AH70-AQ69,IF(A70&lt;'Données projet'!$A$62,$AF$205^A70,IF(A70='Données projet'!$A$62,'Données projet'!$B$62,AI69+AH70-AQ69)))</f>
        <v>383.80000000000007</v>
      </c>
      <c r="AJ70" s="13">
        <f>AI70*VLOOKUP('Données projet'!$B$10,Paramètres!$A$1:$I$89,3,0)*VLOOKUP('Données projet'!$B$10,Paramètres!$A$1:$I$89,5,0)</f>
        <v>239.49120000000002</v>
      </c>
      <c r="AK70" s="13">
        <f t="shared" si="89"/>
        <v>58.330046166037391</v>
      </c>
      <c r="AL70" s="20">
        <f t="shared" si="58"/>
        <v>518.70533707251514</v>
      </c>
      <c r="AM70" s="59">
        <f t="shared" si="59"/>
        <v>812.03867040584851</v>
      </c>
      <c r="AN70" s="59">
        <f ca="1">AVERAGE(OFFSET($AM$3,0,0,'Données projet'!$E$10+1,1))-AVERAGE(OFFSET($H$3,0,0,'Données projet'!$E$10+1,1))</f>
        <v>252.44760109054914</v>
      </c>
      <c r="AO70" s="59">
        <f t="shared" si="90"/>
        <v>121.75506329394773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33.592654164501475</v>
      </c>
      <c r="AV70" s="21">
        <f>EXP(-LN(2)/25)*AV69+(1-EXP(-LN(2)/25))/(LN(2)/25)*Calculateur!AQ70*Calculateur!AS70*VLOOKUP('Données projet'!$B$10,Paramètres!$A$1:$I$89,3,0)*0.475*44/12</f>
        <v>8.295130403963606</v>
      </c>
      <c r="AW70" s="21">
        <f>EXP(-LN(2)/2)*AW69+(1-EXP(-LN(2)/2))/(LN(2)/2)*AQ70*AT70*VLOOKUP('Données projet'!$B$10,Paramètres!$A$1:$I$89,3,0)*0.475*44/12</f>
        <v>0.64012741286772223</v>
      </c>
      <c r="AX70" s="21">
        <f t="shared" si="60"/>
        <v>42.527911981332799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-2.2737367544323206E-13</v>
      </c>
      <c r="BE70" s="13">
        <f>BD70*VLOOKUP('Données projet'!$B$11,Paramètres!$A$1:$I$89,3,0)*VLOOKUP('Données projet'!$B$11,Paramètres!$A$1:$I$89,5,0)</f>
        <v>-1.3596945791505279E-13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260.97162394079265</v>
      </c>
      <c r="BJ70" s="59">
        <f t="shared" si="92"/>
        <v>279.1836614199691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192.03902346367195</v>
      </c>
      <c r="BQ70" s="21">
        <f>EXP(-LN(2)/25)*BQ69+(1-EXP(-LN(2)/25))/(LN(2)/25)*Calculateur!BL70*Calculateur!BN70*VLOOKUP('Données projet'!$B$11,Paramètres!$A$1:$I$89,3,0)*0.475*44/12</f>
        <v>44.459752371024265</v>
      </c>
      <c r="BR70" s="21">
        <f>EXP(-LN(2)/2)*BR69+(1-EXP(-LN(2)/2))/(LN(2)/2)*BL70*BO70*VLOOKUP('Données projet'!$B$11,Paramètres!$A$1:$I$89,3,0)*0.475*44/12</f>
        <v>24.754779526492268</v>
      </c>
      <c r="BS70" s="22">
        <f t="shared" si="63"/>
        <v>261.25355536118849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442.875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865.63115506803774</v>
      </c>
      <c r="CD70" s="59">
        <f ca="1">AVERAGE(OFFSET($CC$3,0,0,'Données projet'!$E$12+1,1))-AVERAGE(OFFSET($H$3,0,0,'Données projet'!$E$12+1,1))</f>
        <v>264.70281355687837</v>
      </c>
      <c r="CE70" s="59">
        <f t="shared" si="94"/>
        <v>199.74194600786768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63.839221554988526</v>
      </c>
      <c r="CL70" s="21">
        <f>EXP(-LN(2)/25)*CL69+(1-EXP(-LN(2)/25))/(LN(2)/25)*Calculateur!CG70*Calculateur!CI70*VLOOKUP('Données projet'!$B$12,Paramètres!$A$1:$I$89,3,0)*0.475*44/12</f>
        <v>14.827703298551127</v>
      </c>
      <c r="CM70" s="21">
        <f>EXP(-LN(2)/2)*CM69+(1-EXP(-LN(2)/2))/(LN(2)/2)*CG70*CJ70*VLOOKUP('Données projet'!$B$12,Paramètres!$A$1:$I$89,3,0)*0.475*44/12</f>
        <v>4.3639995333893582</v>
      </c>
      <c r="CN70" s="22">
        <f t="shared" si="66"/>
        <v>83.030924386929016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9.8000000000000007</v>
      </c>
      <c r="CT70" s="12">
        <f>IF('Données projet'!$A$140&gt;35,CT69+CS70-DB69,IF(A70&lt;'Données projet'!$A$140,$CQ$205^A70,IF(A70='Données projet'!$A$140,'Données projet'!$B$140,CT69+CS70-DB69)))</f>
        <v>342.60000000000008</v>
      </c>
      <c r="CU70" s="17">
        <f>CT70*VLOOKUP('Données projet'!$B$13,Paramètres!$A$1:$I$89,3,0)*VLOOKUP('Données projet'!$B$13,Paramètres!$A$1:$I$89,5,0)</f>
        <v>195.96720000000005</v>
      </c>
      <c r="CV70" s="13">
        <f t="shared" si="95"/>
        <v>48.856832359246411</v>
      </c>
      <c r="CW70" s="20">
        <f t="shared" si="67"/>
        <v>426.40185635902094</v>
      </c>
      <c r="CX70" s="59">
        <f t="shared" si="68"/>
        <v>719.7351896923542</v>
      </c>
      <c r="CY70" s="59">
        <f ca="1">AVERAGE(OFFSET($CX$3,0,0,'Données projet'!$E$13+1,1))-AVERAGE(OFFSET($H$3,0,0,'Données projet'!$E$13+1,1))</f>
        <v>149.8619613776458</v>
      </c>
      <c r="CZ70" s="59">
        <f t="shared" si="96"/>
        <v>108.55560257938146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34.954033943667703</v>
      </c>
      <c r="DG70" s="21">
        <f>EXP(-LN(2)/25)*DG69+(1-EXP(-LN(2)/25))/(LN(2)/25)*Calculateur!DB70*Calculateur!DD70*VLOOKUP('Données projet'!$B$13,Paramètres!$A$1:$I$89,3,0)*0.475*44/12</f>
        <v>8.0715807717539327</v>
      </c>
      <c r="DH70" s="21">
        <f>EXP(-LN(2)/2)*DH69+(1-EXP(-LN(2)/2))/(LN(2)/2)*DB70*DE70*VLOOKUP('Données projet'!$B$13,Paramètres!$A$1:$I$89,3,0)*0.475*44/12</f>
        <v>0.46192730371550161</v>
      </c>
      <c r="DI70" s="22">
        <f t="shared" si="69"/>
        <v>43.487542019137138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1">
        <f t="shared" si="86"/>
        <v>15.939048410367347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67">
        <f t="shared" si="56"/>
        <v>417.16696264805637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467.03705646400994</v>
      </c>
      <c r="T71" s="59">
        <f t="shared" si="88"/>
        <v>575.68119027684361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292.27832590723585</v>
      </c>
      <c r="AA71" s="21">
        <f>EXP(-LN(2)/25)*AA70+(1-EXP(-LN(2)/25))/(LN(2)/25)*Calculateur!V71*Calculateur!X71*VLOOKUP('Données projet'!$B$9,Paramètres!$A$1:$I$89,3,0)*0.475*44/12</f>
        <v>68.405570378970737</v>
      </c>
      <c r="AB71" s="21">
        <f>EXP(-LN(2)/2)*AB70+(1-EXP(-LN(2)/2))/(LN(2)/2)*V71*Y71*VLOOKUP('Données projet'!$B$9,Paramètres!$A$1:$I$89,3,0)*0.475*44/12</f>
        <v>22.604364064189909</v>
      </c>
      <c r="AC71" s="22">
        <f t="shared" si="57"/>
        <v>383.28826035039651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6.4</v>
      </c>
      <c r="AI71" s="13">
        <f>IF('Données projet'!$A$62&gt;35,AI70+AH71-AQ70,IF(A71&lt;'Données projet'!$A$62,$AF$205^A71,IF(A71='Données projet'!$A$62,'Données projet'!$B$62,AI70+AH71-AQ70)))</f>
        <v>390.20000000000005</v>
      </c>
      <c r="AJ71" s="13">
        <f>AI71*VLOOKUP('Données projet'!$B$10,Paramètres!$A$1:$I$89,3,0)*VLOOKUP('Données projet'!$B$10,Paramètres!$A$1:$I$89,5,0)</f>
        <v>243.48480000000004</v>
      </c>
      <c r="AK71" s="13">
        <f t="shared" si="89"/>
        <v>59.188671970513212</v>
      </c>
      <c r="AL71" s="20">
        <f t="shared" si="58"/>
        <v>527.15629701531054</v>
      </c>
      <c r="AM71" s="59">
        <f t="shared" si="59"/>
        <v>820.48963034864391</v>
      </c>
      <c r="AN71" s="59">
        <f ca="1">AVERAGE(OFFSET($AM$3,0,0,'Données projet'!$E$10+1,1))-AVERAGE(OFFSET($H$3,0,0,'Données projet'!$E$10+1,1))</f>
        <v>252.44760109054914</v>
      </c>
      <c r="AO71" s="59">
        <f t="shared" si="90"/>
        <v>121.75506329394773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32.933922705831471</v>
      </c>
      <c r="AV71" s="21">
        <f>EXP(-LN(2)/25)*AV70+(1-EXP(-LN(2)/25))/(LN(2)/25)*Calculateur!AQ71*Calculateur!AS71*VLOOKUP('Données projet'!$B$10,Paramètres!$A$1:$I$89,3,0)*0.475*44/12</f>
        <v>8.0682996268452722</v>
      </c>
      <c r="AW71" s="21">
        <f>EXP(-LN(2)/2)*AW70+(1-EXP(-LN(2)/2))/(LN(2)/2)*AQ71*AT71*VLOOKUP('Données projet'!$B$10,Paramètres!$A$1:$I$89,3,0)*0.475*44/12</f>
        <v>0.45263843446216728</v>
      </c>
      <c r="AX71" s="21">
        <f t="shared" si="60"/>
        <v>41.454860767138911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-2.2737367544323206E-13</v>
      </c>
      <c r="BE71" s="13">
        <f>BD71*VLOOKUP('Données projet'!$B$11,Paramètres!$A$1:$I$89,3,0)*VLOOKUP('Données projet'!$B$11,Paramètres!$A$1:$I$89,5,0)</f>
        <v>-1.3596945791505279E-13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260.97162394079265</v>
      </c>
      <c r="BJ71" s="59">
        <f t="shared" si="92"/>
        <v>279.1836614199691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188.27325534578782</v>
      </c>
      <c r="BQ71" s="21">
        <f>EXP(-LN(2)/25)*BQ70+(1-EXP(-LN(2)/25))/(LN(2)/25)*Calculateur!BL71*Calculateur!BN71*VLOOKUP('Données projet'!$B$11,Paramètres!$A$1:$I$89,3,0)*0.475*44/12</f>
        <v>43.243998104401847</v>
      </c>
      <c r="BR71" s="21">
        <f>EXP(-LN(2)/2)*BR70+(1-EXP(-LN(2)/2))/(LN(2)/2)*BL71*BO71*VLOOKUP('Données projet'!$B$11,Paramètres!$A$1:$I$89,3,0)*0.475*44/12</f>
        <v>17.504272469960597</v>
      </c>
      <c r="BS71" s="22">
        <f t="shared" si="63"/>
        <v>249.02152592015025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455.75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881.88814785203567</v>
      </c>
      <c r="CD71" s="59">
        <f ca="1">AVERAGE(OFFSET($CC$3,0,0,'Données projet'!$E$12+1,1))-AVERAGE(OFFSET($H$3,0,0,'Données projet'!$E$12+1,1))</f>
        <v>264.70281355687837</v>
      </c>
      <c r="CE71" s="59">
        <f t="shared" si="94"/>
        <v>199.74194600786768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62.587373358375537</v>
      </c>
      <c r="CL71" s="21">
        <f>EXP(-LN(2)/25)*CL70+(1-EXP(-LN(2)/25))/(LN(2)/25)*Calculateur!CG71*Calculateur!CI71*VLOOKUP('Données projet'!$B$12,Paramètres!$A$1:$I$89,3,0)*0.475*44/12</f>
        <v>14.422238972097219</v>
      </c>
      <c r="CM71" s="21">
        <f>EXP(-LN(2)/2)*CM70+(1-EXP(-LN(2)/2))/(LN(2)/2)*CG71*CJ71*VLOOKUP('Données projet'!$B$12,Paramètres!$A$1:$I$89,3,0)*0.475*44/12</f>
        <v>3.0858136631545445</v>
      </c>
      <c r="CN71" s="22">
        <f t="shared" si="66"/>
        <v>80.095425993627288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9.8000000000000007</v>
      </c>
      <c r="CT71" s="12">
        <f>IF('Données projet'!$A$140&gt;35,CT70+CS71-DB70,IF(A71&lt;'Données projet'!$A$140,$CQ$205^A71,IF(A71='Données projet'!$A$140,'Données projet'!$B$140,CT70+CS71-DB70)))</f>
        <v>352.40000000000009</v>
      </c>
      <c r="CU71" s="17">
        <f>CT71*VLOOKUP('Données projet'!$B$13,Paramètres!$A$1:$I$89,3,0)*VLOOKUP('Données projet'!$B$13,Paramètres!$A$1:$I$89,5,0)</f>
        <v>201.57280000000006</v>
      </c>
      <c r="CV71" s="13">
        <f t="shared" si="95"/>
        <v>50.089663822005605</v>
      </c>
      <c r="CW71" s="20">
        <f t="shared" si="67"/>
        <v>438.31212448999321</v>
      </c>
      <c r="CX71" s="59">
        <f t="shared" si="68"/>
        <v>731.64545782332652</v>
      </c>
      <c r="CY71" s="59">
        <f ca="1">AVERAGE(OFFSET($CX$3,0,0,'Données projet'!$E$13+1,1))-AVERAGE(OFFSET($H$3,0,0,'Données projet'!$E$13+1,1))</f>
        <v>149.8619613776458</v>
      </c>
      <c r="CZ71" s="59">
        <f t="shared" si="96"/>
        <v>108.55560257938146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34.268606657887922</v>
      </c>
      <c r="DG71" s="21">
        <f>EXP(-LN(2)/25)*DG70+(1-EXP(-LN(2)/25))/(LN(2)/25)*Calculateur!DB71*Calculateur!DD71*VLOOKUP('Données projet'!$B$13,Paramètres!$A$1:$I$89,3,0)*0.475*44/12</f>
        <v>7.8508629710843367</v>
      </c>
      <c r="DH71" s="21">
        <f>EXP(-LN(2)/2)*DH70+(1-EXP(-LN(2)/2))/(LN(2)/2)*DB71*DE71*VLOOKUP('Données projet'!$B$13,Paramètres!$A$1:$I$89,3,0)*0.475*44/12</f>
        <v>0.32663192887244913</v>
      </c>
      <c r="DI71" s="22">
        <f t="shared" si="69"/>
        <v>42.446101557844713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1">
        <f t="shared" si="86"/>
        <v>16.145985978099564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67">
        <f t="shared" si="56"/>
        <v>418.94021891185668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467.03705646400994</v>
      </c>
      <c r="T72" s="59">
        <f t="shared" si="88"/>
        <v>575.68119027684361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286.54692620837085</v>
      </c>
      <c r="AA72" s="21">
        <f>EXP(-LN(2)/25)*AA71+(1-EXP(-LN(2)/25))/(LN(2)/25)*Calculateur!V72*Calculateur!X72*VLOOKUP('Données projet'!$B$9,Paramètres!$A$1:$I$89,3,0)*0.475*44/12</f>
        <v>66.535016459665172</v>
      </c>
      <c r="AB72" s="21">
        <f>EXP(-LN(2)/2)*AB71+(1-EXP(-LN(2)/2))/(LN(2)/2)*V72*Y72*VLOOKUP('Données projet'!$B$9,Paramètres!$A$1:$I$89,3,0)*0.475*44/12</f>
        <v>15.983699114198194</v>
      </c>
      <c r="AC72" s="22">
        <f t="shared" si="57"/>
        <v>369.06564178223425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6.4</v>
      </c>
      <c r="AI72" s="13">
        <f>IF('Données projet'!$A$62&gt;35,AI71+AH72-AQ71,IF(A72&lt;'Données projet'!$A$62,$AF$205^A72,IF(A72='Données projet'!$A$62,'Données projet'!$B$62,AI71+AH72-AQ71)))</f>
        <v>396.6</v>
      </c>
      <c r="AJ72" s="13">
        <f>AI72*VLOOKUP('Données projet'!$B$10,Paramètres!$A$1:$I$89,3,0)*VLOOKUP('Données projet'!$B$10,Paramètres!$A$1:$I$89,5,0)</f>
        <v>247.47839999999999</v>
      </c>
      <c r="AK72" s="13">
        <f t="shared" si="89"/>
        <v>60.045659994446396</v>
      </c>
      <c r="AL72" s="20">
        <f t="shared" si="58"/>
        <v>535.60440449032728</v>
      </c>
      <c r="AM72" s="59">
        <f t="shared" si="59"/>
        <v>828.93773782366065</v>
      </c>
      <c r="AN72" s="59">
        <f ca="1">AVERAGE(OFFSET($AM$3,0,0,'Données projet'!$E$10+1,1))-AVERAGE(OFFSET($H$3,0,0,'Données projet'!$E$10+1,1))</f>
        <v>252.44760109054914</v>
      </c>
      <c r="AO72" s="59">
        <f t="shared" si="90"/>
        <v>121.75506329394773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32.288108569279473</v>
      </c>
      <c r="AV72" s="21">
        <f>EXP(-LN(2)/25)*AV71+(1-EXP(-LN(2)/25))/(LN(2)/25)*Calculateur!AQ72*Calculateur!AS72*VLOOKUP('Données projet'!$B$10,Paramètres!$A$1:$I$89,3,0)*0.475*44/12</f>
        <v>7.8476715492557512</v>
      </c>
      <c r="AW72" s="21">
        <f>EXP(-LN(2)/2)*AW71+(1-EXP(-LN(2)/2))/(LN(2)/2)*AQ72*AT72*VLOOKUP('Données projet'!$B$10,Paramètres!$A$1:$I$89,3,0)*0.475*44/12</f>
        <v>0.32006370643386117</v>
      </c>
      <c r="AX72" s="21">
        <f t="shared" si="60"/>
        <v>40.455843824969087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-2.2737367544323206E-13</v>
      </c>
      <c r="BE72" s="13">
        <f>BD72*VLOOKUP('Données projet'!$B$11,Paramètres!$A$1:$I$89,3,0)*VLOOKUP('Données projet'!$B$11,Paramètres!$A$1:$I$89,5,0)</f>
        <v>-1.3596945791505279E-13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260.97162394079265</v>
      </c>
      <c r="BJ72" s="59">
        <f t="shared" si="92"/>
        <v>279.1836614199691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184.58133164380362</v>
      </c>
      <c r="BQ72" s="21">
        <f>EXP(-LN(2)/25)*BQ71+(1-EXP(-LN(2)/25))/(LN(2)/25)*Calculateur!BL72*Calculateur!BN72*VLOOKUP('Données projet'!$B$11,Paramètres!$A$1:$I$89,3,0)*0.475*44/12</f>
        <v>42.06148870213395</v>
      </c>
      <c r="BR72" s="21">
        <f>EXP(-LN(2)/2)*BR71+(1-EXP(-LN(2)/2))/(LN(2)/2)*BL72*BO72*VLOOKUP('Données projet'!$B$11,Paramètres!$A$1:$I$89,3,0)*0.475*44/12</f>
        <v>12.377389763246136</v>
      </c>
      <c r="BS72" s="22">
        <f t="shared" si="63"/>
        <v>239.02021010918369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468.625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898.1357913330769</v>
      </c>
      <c r="CD72" s="59">
        <f ca="1">AVERAGE(OFFSET($CC$3,0,0,'Données projet'!$E$12+1,1))-AVERAGE(OFFSET($H$3,0,0,'Données projet'!$E$12+1,1))</f>
        <v>264.70281355687837</v>
      </c>
      <c r="CE72" s="59">
        <f t="shared" si="94"/>
        <v>199.74194600786768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61.36007314134612</v>
      </c>
      <c r="CL72" s="21">
        <f>EXP(-LN(2)/25)*CL71+(1-EXP(-LN(2)/25))/(LN(2)/25)*Calculateur!CG72*Calculateur!CI72*VLOOKUP('Données projet'!$B$12,Paramètres!$A$1:$I$89,3,0)*0.475*44/12</f>
        <v>14.027862088972636</v>
      </c>
      <c r="CM72" s="21">
        <f>EXP(-LN(2)/2)*CM71+(1-EXP(-LN(2)/2))/(LN(2)/2)*CG72*CJ72*VLOOKUP('Données projet'!$B$12,Paramètres!$A$1:$I$89,3,0)*0.475*44/12</f>
        <v>2.1819997666946795</v>
      </c>
      <c r="CN72" s="22">
        <f t="shared" si="66"/>
        <v>77.569934997013434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9.8000000000000007</v>
      </c>
      <c r="CT72" s="12">
        <f>IF('Données projet'!$A$140&gt;35,CT71+CS72-DB71,IF(A72&lt;'Données projet'!$A$140,$CQ$205^A72,IF(A72='Données projet'!$A$140,'Données projet'!$B$140,CT71+CS72-DB71)))</f>
        <v>362.2000000000001</v>
      </c>
      <c r="CU72" s="17">
        <f>CT72*VLOOKUP('Données projet'!$B$13,Paramètres!$A$1:$I$89,3,0)*VLOOKUP('Données projet'!$B$13,Paramètres!$A$1:$I$89,5,0)</f>
        <v>207.17840000000007</v>
      </c>
      <c r="CV72" s="13">
        <f t="shared" si="95"/>
        <v>51.318510514356753</v>
      </c>
      <c r="CW72" s="20">
        <f t="shared" si="67"/>
        <v>450.21545247917152</v>
      </c>
      <c r="CX72" s="59">
        <f t="shared" si="68"/>
        <v>743.54878581250478</v>
      </c>
      <c r="CY72" s="59">
        <f ca="1">AVERAGE(OFFSET($CX$3,0,0,'Données projet'!$E$13+1,1))-AVERAGE(OFFSET($H$3,0,0,'Données projet'!$E$13+1,1))</f>
        <v>149.8619613776458</v>
      </c>
      <c r="CZ72" s="59">
        <f t="shared" si="96"/>
        <v>108.55560257938146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33.596620183112918</v>
      </c>
      <c r="DG72" s="21">
        <f>EXP(-LN(2)/25)*DG71+(1-EXP(-LN(2)/25))/(LN(2)/25)*Calculateur!DB72*Calculateur!DD72*VLOOKUP('Données projet'!$B$13,Paramètres!$A$1:$I$89,3,0)*0.475*44/12</f>
        <v>7.6361807102810957</v>
      </c>
      <c r="DH72" s="21">
        <f>EXP(-LN(2)/2)*DH71+(1-EXP(-LN(2)/2))/(LN(2)/2)*DB72*DE72*VLOOKUP('Données projet'!$B$13,Paramètres!$A$1:$I$89,3,0)*0.475*44/12</f>
        <v>0.23096365185775086</v>
      </c>
      <c r="DI72" s="22">
        <f t="shared" si="69"/>
        <v>41.463764545251763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1">
        <f t="shared" si="86"/>
        <v>16.352574732529348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67">
        <f t="shared" si="56"/>
        <v>420.71286765915522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467.03705646400994</v>
      </c>
      <c r="T73" s="59">
        <f t="shared" si="88"/>
        <v>575.68119027684361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280.92791576179195</v>
      </c>
      <c r="AA73" s="21">
        <f>EXP(-LN(2)/25)*AA72+(1-EXP(-LN(2)/25))/(LN(2)/25)*Calculateur!V73*Calculateur!X73*VLOOKUP('Données projet'!$B$9,Paramètres!$A$1:$I$89,3,0)*0.475*44/12</f>
        <v>64.71561293565118</v>
      </c>
      <c r="AB73" s="21">
        <f>EXP(-LN(2)/2)*AB72+(1-EXP(-LN(2)/2))/(LN(2)/2)*V73*Y73*VLOOKUP('Données projet'!$B$9,Paramètres!$A$1:$I$89,3,0)*0.475*44/12</f>
        <v>11.302182032094956</v>
      </c>
      <c r="AC73" s="22">
        <f t="shared" si="57"/>
        <v>356.94571072953806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403</v>
      </c>
      <c r="AG73" s="12">
        <f>VLOOKUP(A73,'Données projet'!$A$61:$I$81,9,0)</f>
        <v>6.4</v>
      </c>
      <c r="AH73" s="12">
        <f t="array" ref="AH73">INDEX(AG:AG,MIN(IF(ISNUMBER(AG73:AG269),ROW(AG73:AG269),"")))</f>
        <v>6.4</v>
      </c>
      <c r="AI73" s="13">
        <f>IF('Données projet'!$A$62&gt;35,AI72+AH73-AQ72,IF(A73&lt;'Données projet'!$A$62,$AF$205^A73,IF(A73='Données projet'!$A$62,'Données projet'!$B$62,AI72+AH73-AQ72)))</f>
        <v>403</v>
      </c>
      <c r="AJ73" s="13">
        <f>AI73*VLOOKUP('Données projet'!$B$10,Paramètres!$A$1:$I$89,3,0)*VLOOKUP('Données projet'!$B$10,Paramètres!$A$1:$I$89,5,0)</f>
        <v>251.47200000000001</v>
      </c>
      <c r="AK73" s="13">
        <f t="shared" si="89"/>
        <v>60.901039718208651</v>
      </c>
      <c r="AL73" s="20">
        <f t="shared" si="58"/>
        <v>544.04971084254669</v>
      </c>
      <c r="AM73" s="59">
        <f t="shared" si="59"/>
        <v>837.38304417588006</v>
      </c>
      <c r="AN73" s="59">
        <f ca="1">AVERAGE(OFFSET($AM$3,0,0,'Données projet'!$E$10+1,1))-AVERAGE(OFFSET($H$3,0,0,'Données projet'!$E$10+1,1))</f>
        <v>252.44760109054914</v>
      </c>
      <c r="AO73" s="59">
        <f t="shared" si="90"/>
        <v>121.75506329394773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0.42</v>
      </c>
      <c r="AS73" s="16">
        <f>IF(ISNA(VLOOKUP(A73,'Données projet'!$A$61:$I$81,6,0)),0%,VLOOKUP(A73,'Données projet'!$A$61:$I$81,6,0)*VLOOKUP('Données projet'!$B$10,Paramètres!$A$1:$I$89,7,0))</f>
        <v>0.10200000000000001</v>
      </c>
      <c r="AT73" s="16">
        <f>IF(ISNA(VLOOKUP(A73,'Données projet'!$A$61:$I$81,7,0)),0%,VLOOKUP(A73,'Données projet'!$A$61:$I$81,7,0))</f>
        <v>0.13</v>
      </c>
      <c r="AU73" s="21">
        <f>EXP(-LN(2)/35)*AU72+(1-EXP(-LN(2)/35))/(LN(2)/35)*AQ73*AR73*VLOOKUP('Données projet'!$B$10,Paramètres!$A$1:$I$89,3,0)*0.475*44/12</f>
        <v>35.131618578853477</v>
      </c>
      <c r="AV73" s="21">
        <f>EXP(-LN(2)/25)*AV72+(1-EXP(-LN(2)/25))/(LN(2)/25)*Calculateur!AQ73*Calculateur!AS73*VLOOKUP('Données projet'!$B$10,Paramètres!$A$1:$I$89,3,0)*0.475*44/12</f>
        <v>8.4740838468543007</v>
      </c>
      <c r="AW73" s="21">
        <f>EXP(-LN(2)/2)*AW72+(1-EXP(-LN(2)/2))/(LN(2)/2)*AQ73*AT73*VLOOKUP('Données projet'!$B$10,Paramètres!$A$1:$I$89,3,0)*0.475*44/12</f>
        <v>1.1447860569845527</v>
      </c>
      <c r="AX73" s="21">
        <f t="shared" si="60"/>
        <v>44.750488482692326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-2.2737367544323206E-13</v>
      </c>
      <c r="BE73" s="13">
        <f>BD73*VLOOKUP('Données projet'!$B$11,Paramètres!$A$1:$I$89,3,0)*VLOOKUP('Données projet'!$B$11,Paramètres!$A$1:$I$89,5,0)</f>
        <v>-1.3596945791505279E-13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260.97162394079265</v>
      </c>
      <c r="BJ73" s="59">
        <f t="shared" si="92"/>
        <v>279.1836614199691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180.96180431376425</v>
      </c>
      <c r="BQ73" s="21">
        <f>EXP(-LN(2)/25)*BQ72+(1-EXP(-LN(2)/25))/(LN(2)/25)*Calculateur!BL73*Calculateur!BN73*VLOOKUP('Données projet'!$B$11,Paramètres!$A$1:$I$89,3,0)*0.475*44/12</f>
        <v>40.911315081656539</v>
      </c>
      <c r="BR73" s="21">
        <f>EXP(-LN(2)/2)*BR72+(1-EXP(-LN(2)/2))/(LN(2)/2)*BL73*BO73*VLOOKUP('Données projet'!$B$11,Paramètres!$A$1:$I$89,3,0)*0.475*44/12</f>
        <v>8.7521362349802985</v>
      </c>
      <c r="BS73" s="22">
        <f t="shared" si="63"/>
        <v>230.62525563040109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481.5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914.37437188759236</v>
      </c>
      <c r="CD73" s="59">
        <f ca="1">AVERAGE(OFFSET($CC$3,0,0,'Données projet'!$E$12+1,1))-AVERAGE(OFFSET($H$3,0,0,'Données projet'!$E$12+1,1))</f>
        <v>264.70281355687837</v>
      </c>
      <c r="CE73" s="59">
        <f t="shared" si="94"/>
        <v>199.74194600786768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60.15683953299343</v>
      </c>
      <c r="CL73" s="21">
        <f>EXP(-LN(2)/25)*CL72+(1-EXP(-LN(2)/25))/(LN(2)/25)*Calculateur!CG73*Calculateur!CI73*VLOOKUP('Données projet'!$B$12,Paramètres!$A$1:$I$89,3,0)*0.475*44/12</f>
        <v>13.644269462456473</v>
      </c>
      <c r="CM73" s="21">
        <f>EXP(-LN(2)/2)*CM72+(1-EXP(-LN(2)/2))/(LN(2)/2)*CG73*CJ73*VLOOKUP('Données projet'!$B$12,Paramètres!$A$1:$I$89,3,0)*0.475*44/12</f>
        <v>1.5429068315772727</v>
      </c>
      <c r="CN73" s="22">
        <f t="shared" si="66"/>
        <v>75.344015827027178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372</v>
      </c>
      <c r="CR73" s="12">
        <f>VLOOKUP(A73,'Données projet'!$A$139:$I$159,9,0)</f>
        <v>9.8000000000000007</v>
      </c>
      <c r="CS73" s="12">
        <f t="array" ref="CS73">INDEX(CR:CR,MIN(IF(ISNUMBER(CR73:CR269),ROW(CR73:CR269),"")))</f>
        <v>9.8000000000000007</v>
      </c>
      <c r="CT73" s="12">
        <f>IF('Données projet'!$A$140&gt;35,CT72+CS73-DB72,IF(A73&lt;'Données projet'!$A$140,$CQ$205^A73,IF(A73='Données projet'!$A$140,'Données projet'!$B$140,CT72+CS73-DB72)))</f>
        <v>372.00000000000011</v>
      </c>
      <c r="CU73" s="17">
        <f>CT73*VLOOKUP('Données projet'!$B$13,Paramètres!$A$1:$I$89,3,0)*VLOOKUP('Données projet'!$B$13,Paramètres!$A$1:$I$89,5,0)</f>
        <v>212.78400000000008</v>
      </c>
      <c r="CV73" s="13">
        <f t="shared" si="95"/>
        <v>52.543492641808108</v>
      </c>
      <c r="CW73" s="20">
        <f t="shared" si="67"/>
        <v>462.1120496844826</v>
      </c>
      <c r="CX73" s="59">
        <f t="shared" si="68"/>
        <v>755.44538301781586</v>
      </c>
      <c r="CY73" s="59">
        <f ca="1">AVERAGE(OFFSET($CX$3,0,0,'Données projet'!$E$13+1,1))-AVERAGE(OFFSET($H$3,0,0,'Données projet'!$E$13+1,1))</f>
        <v>149.8619613776458</v>
      </c>
      <c r="CZ73" s="59">
        <f t="shared" si="96"/>
        <v>108.55560257938146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52</v>
      </c>
      <c r="DC73" s="16">
        <f>IF(ISNA(VLOOKUP(A73,'Données projet'!$A$139:$I$159,5,0)),0%,VLOOKUP(A73,'Données projet'!$A$139:$I$159,5,0)*VLOOKUP('Données projet'!$B$13,Paramètres!$A$1:$I$89,7,0))</f>
        <v>0.315</v>
      </c>
      <c r="DD73" s="16">
        <f>IF(ISNA(VLOOKUP(A73,'Données projet'!$A$139:$I$159,6,0)),0%,VLOOKUP(A73,'Données projet'!$A$139:$I$159,6,0)*VLOOKUP('Données projet'!$B$13,Paramètres!$A$1:$I$89,7,0))</f>
        <v>7.6500000000000012E-2</v>
      </c>
      <c r="DE73" s="16">
        <f>IF(ISNA(VLOOKUP(A73,'Données projet'!$A$139:$I$159,7,0)),0%,VLOOKUP(A73,'Données projet'!$A$139:$I$159,7,0))</f>
        <v>0.13</v>
      </c>
      <c r="DF73" s="21">
        <f>EXP(-LN(2)/35)*DF72+(1-EXP(-LN(2)/35))/(LN(2)/35)*DB73*DC73*VLOOKUP('Données projet'!$B$13,Paramètres!$A$1:$I$89,3,0)*0.475*44/12</f>
        <v>45.366870899453986</v>
      </c>
      <c r="DG73" s="21">
        <f>EXP(-LN(2)/25)*DG72+(1-EXP(-LN(2)/25))/(LN(2)/25)*Calculateur!DB73*Calculateur!DD73*VLOOKUP('Données projet'!$B$13,Paramètres!$A$1:$I$89,3,0)*0.475*44/12</f>
        <v>10.433970004663678</v>
      </c>
      <c r="DH73" s="21">
        <f>EXP(-LN(2)/2)*DH72+(1-EXP(-LN(2)/2))/(LN(2)/2)*DB73*DE73*VLOOKUP('Données projet'!$B$13,Paramètres!$A$1:$I$89,3,0)*0.475*44/12</f>
        <v>4.5413412339277617</v>
      </c>
      <c r="DI73" s="22">
        <f t="shared" si="69"/>
        <v>60.342182138045423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1">
        <f t="shared" si="86"/>
        <v>16.558820232488433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67">
        <f t="shared" si="56"/>
        <v>422.48491857158399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467.03705646400994</v>
      </c>
      <c r="T74" s="59">
        <f t="shared" si="88"/>
        <v>575.68119027684361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275.41909068281251</v>
      </c>
      <c r="AA74" s="21">
        <f>EXP(-LN(2)/25)*AA73+(1-EXP(-LN(2)/25))/(LN(2)/25)*Calculateur!V74*Calculateur!X74*VLOOKUP('Données projet'!$B$9,Paramètres!$A$1:$I$89,3,0)*0.475*44/12</f>
        <v>62.945961096679625</v>
      </c>
      <c r="AB74" s="21">
        <f>EXP(-LN(2)/2)*AB73+(1-EXP(-LN(2)/2))/(LN(2)/2)*V74*Y74*VLOOKUP('Données projet'!$B$9,Paramètres!$A$1:$I$89,3,0)*0.475*44/12</f>
        <v>7.9918495570990977</v>
      </c>
      <c r="AC74" s="22">
        <f t="shared" si="57"/>
        <v>346.35690133659125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5.4</v>
      </c>
      <c r="AI74" s="13">
        <f>IF('Données projet'!$A$62&gt;35,AI73+AH74-AQ73,IF(A74&lt;'Données projet'!$A$62,$AF$205^A74,IF(A74='Données projet'!$A$62,'Données projet'!$B$62,AI73+AH74-AQ73)))</f>
        <v>398.4</v>
      </c>
      <c r="AJ74" s="13">
        <f>AI74*VLOOKUP('Données projet'!$B$10,Paramètres!$A$1:$I$89,3,0)*VLOOKUP('Données projet'!$B$10,Paramètres!$A$1:$I$89,5,0)</f>
        <v>248.60159999999996</v>
      </c>
      <c r="AK74" s="13">
        <f t="shared" si="89"/>
        <v>60.286396851649187</v>
      </c>
      <c r="AL74" s="20">
        <f t="shared" si="58"/>
        <v>537.97992784995563</v>
      </c>
      <c r="AM74" s="59">
        <f t="shared" si="59"/>
        <v>831.31326118328889</v>
      </c>
      <c r="AN74" s="59">
        <f ca="1">AVERAGE(OFFSET($AM$3,0,0,'Données projet'!$E$10+1,1))-AVERAGE(OFFSET($H$3,0,0,'Données projet'!$E$10+1,1))</f>
        <v>252.44760109054914</v>
      </c>
      <c r="AO74" s="59">
        <f t="shared" si="90"/>
        <v>121.75506329394773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34.442708966693637</v>
      </c>
      <c r="AV74" s="21">
        <f>EXP(-LN(2)/25)*AV73+(1-EXP(-LN(2)/25))/(LN(2)/25)*Calculateur!AQ74*Calculateur!AS74*VLOOKUP('Données projet'!$B$10,Paramètres!$A$1:$I$89,3,0)*0.475*44/12</f>
        <v>8.2423595784293688</v>
      </c>
      <c r="AW74" s="21">
        <f>EXP(-LN(2)/2)*AW73+(1-EXP(-LN(2)/2))/(LN(2)/2)*AQ74*AT74*VLOOKUP('Données projet'!$B$10,Paramètres!$A$1:$I$89,3,0)*0.475*44/12</f>
        <v>0.80948598390158666</v>
      </c>
      <c r="AX74" s="21">
        <f t="shared" si="60"/>
        <v>43.49455452902459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-2.2737367544323206E-13</v>
      </c>
      <c r="BE74" s="13">
        <f>BD74*VLOOKUP('Données projet'!$B$11,Paramètres!$A$1:$I$89,3,0)*VLOOKUP('Données projet'!$B$11,Paramètres!$A$1:$I$89,5,0)</f>
        <v>-1.3596945791505279E-13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260.97162394079265</v>
      </c>
      <c r="BJ74" s="59">
        <f t="shared" si="92"/>
        <v>279.1836614199691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177.41325370697325</v>
      </c>
      <c r="BQ74" s="21">
        <f>EXP(-LN(2)/25)*BQ73+(1-EXP(-LN(2)/25))/(LN(2)/25)*Calculateur!BL74*Calculateur!BN74*VLOOKUP('Données projet'!$B$11,Paramètres!$A$1:$I$89,3,0)*0.475*44/12</f>
        <v>39.792593019316087</v>
      </c>
      <c r="BR74" s="21">
        <f>EXP(-LN(2)/2)*BR73+(1-EXP(-LN(2)/2))/(LN(2)/2)*BL74*BO74*VLOOKUP('Données projet'!$B$11,Paramètres!$A$1:$I$89,3,0)*0.475*44/12</f>
        <v>6.1886948816230678</v>
      </c>
      <c r="BS74" s="22">
        <f t="shared" si="63"/>
        <v>223.3945416079124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494.375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930.6041597050048</v>
      </c>
      <c r="CD74" s="59">
        <f ca="1">AVERAGE(OFFSET($CC$3,0,0,'Données projet'!$E$12+1,1))-AVERAGE(OFFSET($H$3,0,0,'Données projet'!$E$12+1,1))</f>
        <v>264.70281355687837</v>
      </c>
      <c r="CE74" s="59">
        <f t="shared" si="94"/>
        <v>199.74194600786768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58.977200601800504</v>
      </c>
      <c r="CL74" s="21">
        <f>EXP(-LN(2)/25)*CL73+(1-EXP(-LN(2)/25))/(LN(2)/25)*Calculateur!CG74*Calculateur!CI74*VLOOKUP('Données projet'!$B$12,Paramètres!$A$1:$I$89,3,0)*0.475*44/12</f>
        <v>13.271166196484653</v>
      </c>
      <c r="CM74" s="21">
        <f>EXP(-LN(2)/2)*CM73+(1-EXP(-LN(2)/2))/(LN(2)/2)*CG74*CJ74*VLOOKUP('Données projet'!$B$12,Paramètres!$A$1:$I$89,3,0)*0.475*44/12</f>
        <v>1.09099988334734</v>
      </c>
      <c r="CN74" s="22">
        <f t="shared" si="66"/>
        <v>73.339366681632498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8.4</v>
      </c>
      <c r="CT74" s="12">
        <f>IF('Données projet'!$A$140&gt;35,CT73+CS74-DB73,IF(A74&lt;'Données projet'!$A$140,$CQ$205^A74,IF(A74='Données projet'!$A$140,'Données projet'!$B$140,CT73+CS74-DB73)))</f>
        <v>328.40000000000009</v>
      </c>
      <c r="CU74" s="17">
        <f>CT74*VLOOKUP('Données projet'!$B$13,Paramètres!$A$1:$I$89,3,0)*VLOOKUP('Données projet'!$B$13,Paramètres!$A$1:$I$89,5,0)</f>
        <v>187.84480000000005</v>
      </c>
      <c r="CV74" s="13">
        <f t="shared" si="95"/>
        <v>47.063152834002615</v>
      </c>
      <c r="CW74" s="20">
        <f t="shared" si="67"/>
        <v>409.13135118588792</v>
      </c>
      <c r="CX74" s="59">
        <f t="shared" si="68"/>
        <v>702.46468451922124</v>
      </c>
      <c r="CY74" s="59">
        <f ca="1">AVERAGE(OFFSET($CX$3,0,0,'Données projet'!$E$13+1,1))-AVERAGE(OFFSET($H$3,0,0,'Données projet'!$E$13+1,1))</f>
        <v>149.8619613776458</v>
      </c>
      <c r="CZ74" s="59">
        <f t="shared" si="96"/>
        <v>108.55560257938146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44.477254232174651</v>
      </c>
      <c r="DG74" s="21">
        <f>EXP(-LN(2)/25)*DG73+(1-EXP(-LN(2)/25))/(LN(2)/25)*Calculateur!DB74*Calculateur!DD74*VLOOKUP('Données projet'!$B$13,Paramètres!$A$1:$I$89,3,0)*0.475*44/12</f>
        <v>10.148652546187515</v>
      </c>
      <c r="DH74" s="21">
        <f>EXP(-LN(2)/2)*DH73+(1-EXP(-LN(2)/2))/(LN(2)/2)*DB74*DE74*VLOOKUP('Données projet'!$B$13,Paramètres!$A$1:$I$89,3,0)*0.475*44/12</f>
        <v>3.2112131821924037</v>
      </c>
      <c r="DI74" s="22">
        <f t="shared" si="69"/>
        <v>57.837119960554567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1">
        <f t="shared" si="86"/>
        <v>16.764727871227809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67">
        <f t="shared" si="56"/>
        <v>424.2563810423884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467.03705646400994</v>
      </c>
      <c r="T75" s="59">
        <f t="shared" si="88"/>
        <v>575.68119027684361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270.01829030358033</v>
      </c>
      <c r="AA75" s="21">
        <f>EXP(-LN(2)/25)*AA74+(1-EXP(-LN(2)/25))/(LN(2)/25)*Calculateur!V75*Calculateur!X75*VLOOKUP('Données projet'!$B$9,Paramètres!$A$1:$I$89,3,0)*0.475*44/12</f>
        <v>61.224700480306694</v>
      </c>
      <c r="AB75" s="21">
        <f>EXP(-LN(2)/2)*AB74+(1-EXP(-LN(2)/2))/(LN(2)/2)*V75*Y75*VLOOKUP('Données projet'!$B$9,Paramètres!$A$1:$I$89,3,0)*0.475*44/12</f>
        <v>5.651091016047479</v>
      </c>
      <c r="AC75" s="22">
        <f t="shared" si="57"/>
        <v>336.8940817999345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5.4</v>
      </c>
      <c r="AI75" s="13">
        <f>IF('Données projet'!$A$62&gt;35,AI74+AH75-AQ74,IF(A75&lt;'Données projet'!$A$62,$AF$205^A75,IF(A75='Données projet'!$A$62,'Données projet'!$B$62,AI74+AH75-AQ74)))</f>
        <v>403.79999999999995</v>
      </c>
      <c r="AJ75" s="13">
        <f>AI75*VLOOKUP('Données projet'!$B$10,Paramètres!$A$1:$I$89,3,0)*VLOOKUP('Données projet'!$B$10,Paramètres!$A$1:$I$89,5,0)</f>
        <v>251.97119999999998</v>
      </c>
      <c r="AK75" s="13">
        <f t="shared" si="89"/>
        <v>61.00785052947608</v>
      </c>
      <c r="AL75" s="20">
        <f t="shared" si="58"/>
        <v>545.10517967217083</v>
      </c>
      <c r="AM75" s="59">
        <f t="shared" si="59"/>
        <v>838.43851300550409</v>
      </c>
      <c r="AN75" s="59">
        <f ca="1">AVERAGE(OFFSET($AM$3,0,0,'Données projet'!$E$10+1,1))-AVERAGE(OFFSET($H$3,0,0,'Données projet'!$E$10+1,1))</f>
        <v>252.44760109054914</v>
      </c>
      <c r="AO75" s="59">
        <f t="shared" si="90"/>
        <v>121.75506329394773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33.767308451834879</v>
      </c>
      <c r="AV75" s="21">
        <f>EXP(-LN(2)/25)*AV74+(1-EXP(-LN(2)/25))/(LN(2)/25)*Calculateur!AQ75*Calculateur!AS75*VLOOKUP('Données projet'!$B$10,Paramètres!$A$1:$I$89,3,0)*0.475*44/12</f>
        <v>8.0169718223103654</v>
      </c>
      <c r="AW75" s="21">
        <f>EXP(-LN(2)/2)*AW74+(1-EXP(-LN(2)/2))/(LN(2)/2)*AQ75*AT75*VLOOKUP('Données projet'!$B$10,Paramètres!$A$1:$I$89,3,0)*0.475*44/12</f>
        <v>0.57239302849227636</v>
      </c>
      <c r="AX75" s="21">
        <f t="shared" si="60"/>
        <v>42.356673302637525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-2.2737367544323206E-13</v>
      </c>
      <c r="BE75" s="13">
        <f>BD75*VLOOKUP('Données projet'!$B$11,Paramètres!$A$1:$I$89,3,0)*VLOOKUP('Données projet'!$B$11,Paramètres!$A$1:$I$89,5,0)</f>
        <v>-1.3596945791505279E-13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260.97162394079265</v>
      </c>
      <c r="BJ75" s="59">
        <f t="shared" si="92"/>
        <v>279.1836614199691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173.93428801317927</v>
      </c>
      <c r="BQ75" s="21">
        <f>EXP(-LN(2)/25)*BQ74+(1-EXP(-LN(2)/25))/(LN(2)/25)*Calculateur!BL75*Calculateur!BN75*VLOOKUP('Données projet'!$B$11,Paramètres!$A$1:$I$89,3,0)*0.475*44/12</f>
        <v>38.704462470601371</v>
      </c>
      <c r="BR75" s="21">
        <f>EXP(-LN(2)/2)*BR74+(1-EXP(-LN(2)/2))/(LN(2)/2)*BL75*BO75*VLOOKUP('Données projet'!$B$11,Paramètres!$A$1:$I$89,3,0)*0.475*44/12</f>
        <v>4.3760681174901492</v>
      </c>
      <c r="BS75" s="22">
        <f t="shared" si="63"/>
        <v>217.0148186012708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507.25</v>
      </c>
      <c r="BZ75" s="13">
        <f>BY75*VLOOKUP('Données projet'!$B$12,Paramètres!$A$1:$I$89,3,0)*VLOOKUP('Données projet'!$B$12,Paramètres!$A$1:$I$89,5,0)</f>
        <v>303.33550000000002</v>
      </c>
      <c r="CA75" s="13">
        <f t="shared" si="93"/>
        <v>71.875261779950591</v>
      </c>
      <c r="CB75" s="20">
        <f t="shared" si="64"/>
        <v>653.49207676674735</v>
      </c>
      <c r="CC75" s="59">
        <f t="shared" si="65"/>
        <v>946.82541010008072</v>
      </c>
      <c r="CD75" s="59">
        <f ca="1">AVERAGE(OFFSET($CC$3,0,0,'Données projet'!$E$12+1,1))-AVERAGE(OFFSET($H$3,0,0,'Données projet'!$E$12+1,1))</f>
        <v>264.70281355687837</v>
      </c>
      <c r="CE75" s="59">
        <f t="shared" si="94"/>
        <v>199.74194600786768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57.820693670539569</v>
      </c>
      <c r="CL75" s="21">
        <f>EXP(-LN(2)/25)*CL74+(1-EXP(-LN(2)/25))/(LN(2)/25)*Calculateur!CG75*Calculateur!CI75*VLOOKUP('Données projet'!$B$12,Paramètres!$A$1:$I$89,3,0)*0.475*44/12</f>
        <v>12.908265458941482</v>
      </c>
      <c r="CM75" s="21">
        <f>EXP(-LN(2)/2)*CM74+(1-EXP(-LN(2)/2))/(LN(2)/2)*CG75*CJ75*VLOOKUP('Données projet'!$B$12,Paramètres!$A$1:$I$89,3,0)*0.475*44/12</f>
        <v>0.77145341578863647</v>
      </c>
      <c r="CN75" s="22">
        <f t="shared" si="66"/>
        <v>71.500412545269697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8.4</v>
      </c>
      <c r="CT75" s="12">
        <f>IF('Données projet'!$A$140&gt;35,CT74+CS75-DB74,IF(A75&lt;'Données projet'!$A$140,$CQ$205^A75,IF(A75='Données projet'!$A$140,'Données projet'!$B$140,CT74+CS75-DB74)))</f>
        <v>336.80000000000007</v>
      </c>
      <c r="CU75" s="17">
        <f>CT75*VLOOKUP('Données projet'!$B$13,Paramètres!$A$1:$I$89,3,0)*VLOOKUP('Données projet'!$B$13,Paramètres!$A$1:$I$89,5,0)</f>
        <v>192.64960000000005</v>
      </c>
      <c r="CV75" s="13">
        <f t="shared" si="95"/>
        <v>48.125268806169395</v>
      </c>
      <c r="CW75" s="20">
        <f t="shared" si="67"/>
        <v>419.34956317074511</v>
      </c>
      <c r="CX75" s="59">
        <f t="shared" si="68"/>
        <v>712.68289650407837</v>
      </c>
      <c r="CY75" s="59">
        <f ca="1">AVERAGE(OFFSET($CX$3,0,0,'Données projet'!$E$13+1,1))-AVERAGE(OFFSET($H$3,0,0,'Données projet'!$E$13+1,1))</f>
        <v>149.8619613776458</v>
      </c>
      <c r="CZ75" s="59">
        <f t="shared" si="96"/>
        <v>108.55560257938146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43.60508240512808</v>
      </c>
      <c r="DG75" s="21">
        <f>EXP(-LN(2)/25)*DG74+(1-EXP(-LN(2)/25))/(LN(2)/25)*Calculateur!DB75*Calculateur!DD75*VLOOKUP('Données projet'!$B$13,Paramètres!$A$1:$I$89,3,0)*0.475*44/12</f>
        <v>9.8711371086175745</v>
      </c>
      <c r="DH75" s="21">
        <f>EXP(-LN(2)/2)*DH74+(1-EXP(-LN(2)/2))/(LN(2)/2)*DB75*DE75*VLOOKUP('Données projet'!$B$13,Paramètres!$A$1:$I$89,3,0)*0.475*44/12</f>
        <v>2.2706706169638813</v>
      </c>
      <c r="DI75" s="22">
        <f t="shared" si="69"/>
        <v>55.746890130709538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1">
        <f t="shared" si="86"/>
        <v>16.970302883579727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67">
        <f t="shared" si="56"/>
        <v>426.02726418890131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467.03705646400994</v>
      </c>
      <c r="T76" s="59">
        <f t="shared" si="88"/>
        <v>575.68119027684361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264.72339632562193</v>
      </c>
      <c r="AA76" s="21">
        <f>EXP(-LN(2)/25)*AA75+(1-EXP(-LN(2)/25))/(LN(2)/25)*Calculateur!V76*Calculateur!X76*VLOOKUP('Données projet'!$B$9,Paramètres!$A$1:$I$89,3,0)*0.475*44/12</f>
        <v>59.550507826005642</v>
      </c>
      <c r="AB76" s="21">
        <f>EXP(-LN(2)/2)*AB75+(1-EXP(-LN(2)/2))/(LN(2)/2)*V76*Y76*VLOOKUP('Données projet'!$B$9,Paramètres!$A$1:$I$89,3,0)*0.475*44/12</f>
        <v>3.9959247785495493</v>
      </c>
      <c r="AC76" s="22">
        <f t="shared" si="57"/>
        <v>328.26982893017708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5.4</v>
      </c>
      <c r="AI76" s="13">
        <f>IF('Données projet'!$A$62&gt;35,AI75+AH76-AQ75,IF(A76&lt;'Données projet'!$A$62,$AF$205^A76,IF(A76='Données projet'!$A$62,'Données projet'!$B$62,AI75+AH76-AQ75)))</f>
        <v>409.19999999999993</v>
      </c>
      <c r="AJ76" s="13">
        <f>AI76*VLOOKUP('Données projet'!$B$10,Paramètres!$A$1:$I$89,3,0)*VLOOKUP('Données projet'!$B$10,Paramètres!$A$1:$I$89,5,0)</f>
        <v>255.34079999999997</v>
      </c>
      <c r="AK76" s="13">
        <f t="shared" si="89"/>
        <v>61.728182021951895</v>
      </c>
      <c r="AL76" s="20">
        <f t="shared" si="58"/>
        <v>552.22847702156605</v>
      </c>
      <c r="AM76" s="59">
        <f t="shared" si="59"/>
        <v>845.56181035489931</v>
      </c>
      <c r="AN76" s="59">
        <f ca="1">AVERAGE(OFFSET($AM$3,0,0,'Données projet'!$E$10+1,1))-AVERAGE(OFFSET($H$3,0,0,'Données projet'!$E$10+1,1))</f>
        <v>252.44760109054914</v>
      </c>
      <c r="AO76" s="59">
        <f t="shared" si="90"/>
        <v>121.75506329394773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33.105152129118864</v>
      </c>
      <c r="AV76" s="21">
        <f>EXP(-LN(2)/25)*AV75+(1-EXP(-LN(2)/25))/(LN(2)/25)*Calculateur!AQ76*Calculateur!AS76*VLOOKUP('Données projet'!$B$10,Paramètres!$A$1:$I$89,3,0)*0.475*44/12</f>
        <v>7.7977473062350633</v>
      </c>
      <c r="AW76" s="21">
        <f>EXP(-LN(2)/2)*AW75+(1-EXP(-LN(2)/2))/(LN(2)/2)*AQ76*AT76*VLOOKUP('Données projet'!$B$10,Paramètres!$A$1:$I$89,3,0)*0.475*44/12</f>
        <v>0.40474299195079333</v>
      </c>
      <c r="AX76" s="21">
        <f t="shared" si="60"/>
        <v>41.307642427304721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-2.2737367544323206E-13</v>
      </c>
      <c r="BE76" s="13">
        <f>BD76*VLOOKUP('Données projet'!$B$11,Paramètres!$A$1:$I$89,3,0)*VLOOKUP('Données projet'!$B$11,Paramètres!$A$1:$I$89,5,0)</f>
        <v>-1.3596945791505279E-13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260.97162394079265</v>
      </c>
      <c r="BJ76" s="59">
        <f t="shared" si="92"/>
        <v>279.1836614199691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170.52354271468104</v>
      </c>
      <c r="BQ76" s="21">
        <f>EXP(-LN(2)/25)*BQ75+(1-EXP(-LN(2)/25))/(LN(2)/25)*Calculateur!BL76*Calculateur!BN76*VLOOKUP('Données projet'!$B$11,Paramètres!$A$1:$I$89,3,0)*0.475*44/12</f>
        <v>37.646086908963554</v>
      </c>
      <c r="BR76" s="21">
        <f>EXP(-LN(2)/2)*BR75+(1-EXP(-LN(2)/2))/(LN(2)/2)*BL76*BO76*VLOOKUP('Données projet'!$B$11,Paramètres!$A$1:$I$89,3,0)*0.475*44/12</f>
        <v>3.0943474408115339</v>
      </c>
      <c r="BS76" s="22">
        <f t="shared" si="63"/>
        <v>211.26397706445613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963.03836468829445</v>
      </c>
      <c r="CD76" s="59">
        <f ca="1">AVERAGE(OFFSET($CC$3,0,0,'Données projet'!$E$12+1,1))-AVERAGE(OFFSET($H$3,0,0,'Données projet'!$E$12+1,1))</f>
        <v>264.70281355687837</v>
      </c>
      <c r="CE76" s="59">
        <f t="shared" si="94"/>
        <v>199.74194600786768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56.686865134801089</v>
      </c>
      <c r="CL76" s="21">
        <f>EXP(-LN(2)/25)*CL75+(1-EXP(-LN(2)/25))/(LN(2)/25)*Calculateur!CG76*Calculateur!CI76*VLOOKUP('Données projet'!$B$12,Paramètres!$A$1:$I$89,3,0)*0.475*44/12</f>
        <v>12.555288261150549</v>
      </c>
      <c r="CM76" s="21">
        <f>EXP(-LN(2)/2)*CM75+(1-EXP(-LN(2)/2))/(LN(2)/2)*CG76*CJ76*VLOOKUP('Données projet'!$B$12,Paramètres!$A$1:$I$89,3,0)*0.475*44/12</f>
        <v>0.54549994167367011</v>
      </c>
      <c r="CN76" s="22">
        <f t="shared" si="66"/>
        <v>69.787653337625301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8.4</v>
      </c>
      <c r="CT76" s="12">
        <f>IF('Données projet'!$A$140&gt;35,CT75+CS76-DB75,IF(A76&lt;'Données projet'!$A$140,$CQ$205^A76,IF(A76='Données projet'!$A$140,'Données projet'!$B$140,CT75+CS76-DB75)))</f>
        <v>345.20000000000005</v>
      </c>
      <c r="CU76" s="17">
        <f>CT76*VLOOKUP('Données projet'!$B$13,Paramètres!$A$1:$I$89,3,0)*VLOOKUP('Données projet'!$B$13,Paramètres!$A$1:$I$89,5,0)</f>
        <v>197.45440000000005</v>
      </c>
      <c r="CV76" s="13">
        <f t="shared" si="95"/>
        <v>49.184305496332833</v>
      </c>
      <c r="CW76" s="20">
        <f t="shared" si="67"/>
        <v>429.56241207277975</v>
      </c>
      <c r="CX76" s="59">
        <f t="shared" si="68"/>
        <v>722.89574540611306</v>
      </c>
      <c r="CY76" s="59">
        <f ca="1">AVERAGE(OFFSET($CX$3,0,0,'Données projet'!$E$13+1,1))-AVERAGE(OFFSET($H$3,0,0,'Données projet'!$E$13+1,1))</f>
        <v>149.8619613776458</v>
      </c>
      <c r="CZ76" s="59">
        <f t="shared" si="96"/>
        <v>108.55560257938146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42.750013335637604</v>
      </c>
      <c r="DG76" s="21">
        <f>EXP(-LN(2)/25)*DG75+(1-EXP(-LN(2)/25))/(LN(2)/25)*Calculateur!DB76*Calculateur!DD76*VLOOKUP('Données projet'!$B$13,Paramètres!$A$1:$I$89,3,0)*0.475*44/12</f>
        <v>9.6012103452818867</v>
      </c>
      <c r="DH76" s="21">
        <f>EXP(-LN(2)/2)*DH75+(1-EXP(-LN(2)/2))/(LN(2)/2)*DB76*DE76*VLOOKUP('Données projet'!$B$13,Paramètres!$A$1:$I$89,3,0)*0.475*44/12</f>
        <v>1.6056065910962021</v>
      </c>
      <c r="DI76" s="22">
        <f t="shared" si="69"/>
        <v>53.956830272015694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1">
        <f t="shared" si="86"/>
        <v>17.175550352716158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67">
        <f t="shared" si="56"/>
        <v>427.7975768643139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467.03705646400994</v>
      </c>
      <c r="T77" s="59">
        <f t="shared" si="88"/>
        <v>575.68119027684361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259.53233198900489</v>
      </c>
      <c r="AA77" s="21">
        <f>EXP(-LN(2)/25)*AA76+(1-EXP(-LN(2)/25))/(LN(2)/25)*Calculateur!V77*Calculateur!X77*VLOOKUP('Données projet'!$B$9,Paramètres!$A$1:$I$89,3,0)*0.475*44/12</f>
        <v>57.922096057878413</v>
      </c>
      <c r="AB77" s="21">
        <f>EXP(-LN(2)/2)*AB76+(1-EXP(-LN(2)/2))/(LN(2)/2)*V77*Y77*VLOOKUP('Données projet'!$B$9,Paramètres!$A$1:$I$89,3,0)*0.475*44/12</f>
        <v>2.8255455080237399</v>
      </c>
      <c r="AC77" s="22">
        <f t="shared" si="57"/>
        <v>320.27997355490709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5.4</v>
      </c>
      <c r="AI77" s="13">
        <f>IF('Données projet'!$A$62&gt;35,AI76+AH77-AQ76,IF(A77&lt;'Données projet'!$A$62,$AF$205^A77,IF(A77='Données projet'!$A$62,'Données projet'!$B$62,AI76+AH77-AQ76)))</f>
        <v>414.59999999999991</v>
      </c>
      <c r="AJ77" s="13">
        <f>AI77*VLOOKUP('Données projet'!$B$10,Paramètres!$A$1:$I$89,3,0)*VLOOKUP('Données projet'!$B$10,Paramètres!$A$1:$I$89,5,0)</f>
        <v>258.71039999999994</v>
      </c>
      <c r="AK77" s="13">
        <f t="shared" si="89"/>
        <v>62.447407850003529</v>
      </c>
      <c r="AL77" s="20">
        <f t="shared" si="58"/>
        <v>559.34984867208925</v>
      </c>
      <c r="AM77" s="59">
        <f t="shared" si="59"/>
        <v>852.68318200542262</v>
      </c>
      <c r="AN77" s="59">
        <f ca="1">AVERAGE(OFFSET($AM$3,0,0,'Données projet'!$E$10+1,1))-AVERAGE(OFFSET($H$3,0,0,'Données projet'!$E$10+1,1))</f>
        <v>252.44760109054914</v>
      </c>
      <c r="AO77" s="59">
        <f t="shared" si="90"/>
        <v>121.75506329394773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32.45598028801583</v>
      </c>
      <c r="AV77" s="21">
        <f>EXP(-LN(2)/25)*AV76+(1-EXP(-LN(2)/25))/(LN(2)/25)*Calculateur!AQ77*Calculateur!AS77*VLOOKUP('Données projet'!$B$10,Paramètres!$A$1:$I$89,3,0)*0.475*44/12</f>
        <v>7.5845174960803563</v>
      </c>
      <c r="AW77" s="21">
        <f>EXP(-LN(2)/2)*AW76+(1-EXP(-LN(2)/2))/(LN(2)/2)*AQ77*AT77*VLOOKUP('Données projet'!$B$10,Paramètres!$A$1:$I$89,3,0)*0.475*44/12</f>
        <v>0.28619651424613818</v>
      </c>
      <c r="AX77" s="21">
        <f t="shared" si="60"/>
        <v>40.326694298342325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-2.2737367544323206E-13</v>
      </c>
      <c r="BE77" s="13">
        <f>BD77*VLOOKUP('Données projet'!$B$11,Paramètres!$A$1:$I$89,3,0)*VLOOKUP('Données projet'!$B$11,Paramètres!$A$1:$I$89,5,0)</f>
        <v>-1.3596945791505279E-13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260.97162394079265</v>
      </c>
      <c r="BJ77" s="59">
        <f t="shared" si="92"/>
        <v>279.1836614199691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167.17968005113715</v>
      </c>
      <c r="BQ77" s="21">
        <f>EXP(-LN(2)/25)*BQ76+(1-EXP(-LN(2)/25))/(LN(2)/25)*Calculateur!BL77*Calculateur!BN77*VLOOKUP('Données projet'!$B$11,Paramètres!$A$1:$I$89,3,0)*0.475*44/12</f>
        <v>36.616652682716278</v>
      </c>
      <c r="BR77" s="21">
        <f>EXP(-LN(2)/2)*BR76+(1-EXP(-LN(2)/2))/(LN(2)/2)*BL77*BO77*VLOOKUP('Données projet'!$B$11,Paramètres!$A$1:$I$89,3,0)*0.475*44/12</f>
        <v>2.1880340587450746</v>
      </c>
      <c r="BS77" s="22">
        <f t="shared" si="63"/>
        <v>205.98436679259851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979.24325244153715</v>
      </c>
      <c r="CD77" s="59">
        <f ca="1">AVERAGE(OFFSET($CC$3,0,0,'Données projet'!$E$12+1,1))-AVERAGE(OFFSET($H$3,0,0,'Données projet'!$E$12+1,1))</f>
        <v>264.70281355687837</v>
      </c>
      <c r="CE77" s="59">
        <f t="shared" si="94"/>
        <v>199.74194600786768</v>
      </c>
      <c r="CF77" s="15">
        <f>IF(ISNA(VLOOKUP(A77,'Données projet'!$A$113:$I$133,3,0)),0,VLOOKUP(A77,'Données projet'!$A$113:$I$133,3,0))</f>
        <v>9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0.315</v>
      </c>
      <c r="CI77" s="16">
        <f>IF(ISNA(VLOOKUP(A77,'Données projet'!$A$113:$I$133,6,0)),0%,VLOOKUP(A77,'Données projet'!$A$113:$I$133,6,0)*VLOOKUP('Données projet'!$B$12,Paramètres!$A$1:$I$89,7,0))</f>
        <v>7.6500000000000012E-2</v>
      </c>
      <c r="CJ77" s="16">
        <f>IF(ISNA(VLOOKUP(A77,'Données projet'!$A$113:$I$133,7,0)),0%,VLOOKUP(A77,'Données projet'!$A$113:$I$133,7,0))</f>
        <v>0.13</v>
      </c>
      <c r="CK77" s="21">
        <f>EXP(-LN(2)/35)*CK76+(1-EXP(-LN(2)/35))/(LN(2)/35)*CG77*CH77*VLOOKUP('Données projet'!$B$12,Paramètres!$A$1:$I$89,3,0)*0.475*44/12</f>
        <v>64.821013304513727</v>
      </c>
      <c r="CL77" s="21">
        <f>EXP(-LN(2)/25)*CL76+(1-EXP(-LN(2)/25))/(LN(2)/25)*Calculateur!CG77*Calculateur!CI77*VLOOKUP('Données projet'!$B$12,Paramètres!$A$1:$I$89,3,0)*0.475*44/12</f>
        <v>14.448517002058768</v>
      </c>
      <c r="CM77" s="21">
        <f>EXP(-LN(2)/2)*CM76+(1-EXP(-LN(2)/2))/(LN(2)/2)*CG77*CJ77*VLOOKUP('Données projet'!$B$12,Paramètres!$A$1:$I$89,3,0)*0.475*44/12</f>
        <v>3.642457043853494</v>
      </c>
      <c r="CN77" s="22">
        <f t="shared" si="66"/>
        <v>82.911987350425989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8.4</v>
      </c>
      <c r="CT77" s="12">
        <f>IF('Données projet'!$A$140&gt;35,CT76+CS77-DB76,IF(A77&lt;'Données projet'!$A$140,$CQ$205^A77,IF(A77='Données projet'!$A$140,'Données projet'!$B$140,CT76+CS77-DB76)))</f>
        <v>353.6</v>
      </c>
      <c r="CU77" s="17">
        <f>CT77*VLOOKUP('Données projet'!$B$13,Paramètres!$A$1:$I$89,3,0)*VLOOKUP('Données projet'!$B$13,Paramètres!$A$1:$I$89,5,0)</f>
        <v>202.25920000000002</v>
      </c>
      <c r="CV77" s="13">
        <f t="shared" si="95"/>
        <v>50.240346455091533</v>
      </c>
      <c r="CW77" s="20">
        <f t="shared" si="67"/>
        <v>439.77004340928443</v>
      </c>
      <c r="CX77" s="59">
        <f t="shared" si="68"/>
        <v>733.10337674261768</v>
      </c>
      <c r="CY77" s="59">
        <f ca="1">AVERAGE(OFFSET($CX$3,0,0,'Données projet'!$E$13+1,1))-AVERAGE(OFFSET($H$3,0,0,'Données projet'!$E$13+1,1))</f>
        <v>149.8619613776458</v>
      </c>
      <c r="CZ77" s="59">
        <f t="shared" si="96"/>
        <v>108.55560257938146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41.9117116490592</v>
      </c>
      <c r="DG77" s="21">
        <f>EXP(-LN(2)/25)*DG76+(1-EXP(-LN(2)/25))/(LN(2)/25)*Calculateur!DB77*Calculateur!DD77*VLOOKUP('Données projet'!$B$13,Paramètres!$A$1:$I$89,3,0)*0.475*44/12</f>
        <v>9.3386647434844452</v>
      </c>
      <c r="DH77" s="21">
        <f>EXP(-LN(2)/2)*DH76+(1-EXP(-LN(2)/2))/(LN(2)/2)*DB77*DE77*VLOOKUP('Données projet'!$B$13,Paramètres!$A$1:$I$89,3,0)*0.475*44/12</f>
        <v>1.1353353084819406</v>
      </c>
      <c r="DI77" s="22">
        <f t="shared" si="69"/>
        <v>52.385711701025585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1">
        <f t="shared" si="86"/>
        <v>17.38047521653144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67">
        <f t="shared" si="56"/>
        <v>429.56732766879213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467.03705646400994</v>
      </c>
      <c r="T78" s="59">
        <f t="shared" si="88"/>
        <v>575.68119027684361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254.44306125779227</v>
      </c>
      <c r="AA78" s="21">
        <f>EXP(-LN(2)/25)*AA77+(1-EXP(-LN(2)/25))/(LN(2)/25)*Calculateur!V78*Calculateur!X78*VLOOKUP('Données projet'!$B$9,Paramètres!$A$1:$I$89,3,0)*0.475*44/12</f>
        <v>56.338213295185078</v>
      </c>
      <c r="AB78" s="21">
        <f>EXP(-LN(2)/2)*AB77+(1-EXP(-LN(2)/2))/(LN(2)/2)*V78*Y78*VLOOKUP('Données projet'!$B$9,Paramètres!$A$1:$I$89,3,0)*0.475*44/12</f>
        <v>1.9979623892747751</v>
      </c>
      <c r="AC78" s="22">
        <f t="shared" si="57"/>
        <v>312.77923694225211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420</v>
      </c>
      <c r="AG78" s="12">
        <f>VLOOKUP(A78,'Données projet'!$A$61:$I$81,9,0)</f>
        <v>5.4</v>
      </c>
      <c r="AH78" s="12">
        <f t="array" ref="AH78">INDEX(AG:AG,MIN(IF(ISNUMBER(AG78:AG274),ROW(AG78:AG274),"")))</f>
        <v>5.4</v>
      </c>
      <c r="AI78" s="13">
        <f>IF('Données projet'!$A$62&gt;35,AI77+AH78-AQ77,IF(A78&lt;'Données projet'!$A$62,$AF$205^A78,IF(A78='Données projet'!$A$62,'Données projet'!$B$62,AI77+AH78-AQ77)))</f>
        <v>419.99999999999989</v>
      </c>
      <c r="AJ78" s="13">
        <f>AI78*VLOOKUP('Données projet'!$B$10,Paramètres!$A$1:$I$89,3,0)*VLOOKUP('Données projet'!$B$10,Paramètres!$A$1:$I$89,5,0)</f>
        <v>262.07999999999993</v>
      </c>
      <c r="AK78" s="13">
        <f t="shared" si="89"/>
        <v>63.165544079460709</v>
      </c>
      <c r="AL78" s="20">
        <f t="shared" si="58"/>
        <v>566.46932260506048</v>
      </c>
      <c r="AM78" s="59">
        <f t="shared" si="59"/>
        <v>859.80265593839385</v>
      </c>
      <c r="AN78" s="59">
        <f ca="1">AVERAGE(OFFSET($AM$3,0,0,'Données projet'!$E$10+1,1))-AVERAGE(OFFSET($H$3,0,0,'Données projet'!$E$10+1,1))</f>
        <v>252.44760109054914</v>
      </c>
      <c r="AO78" s="59">
        <f t="shared" si="90"/>
        <v>121.75506329394773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0.42</v>
      </c>
      <c r="AS78" s="16">
        <f>IF(ISNA(VLOOKUP(A78,'Données projet'!$A$61:$I$81,6,0)),0%,VLOOKUP(A78,'Données projet'!$A$61:$I$81,6,0)*VLOOKUP('Données projet'!$B$10,Paramètres!$A$1:$I$89,7,0))</f>
        <v>0.10200000000000001</v>
      </c>
      <c r="AT78" s="16">
        <f>IF(ISNA(VLOOKUP(A78,'Données projet'!$A$61:$I$81,7,0)),0%,VLOOKUP(A78,'Données projet'!$A$61:$I$81,7,0))</f>
        <v>0.13</v>
      </c>
      <c r="AU78" s="21">
        <f>EXP(-LN(2)/35)*AU77+(1-EXP(-LN(2)/35))/(LN(2)/35)*AQ78*AR78*VLOOKUP('Données projet'!$B$10,Paramètres!$A$1:$I$89,3,0)*0.475*44/12</f>
        <v>34.948532423095457</v>
      </c>
      <c r="AV78" s="21">
        <f>EXP(-LN(2)/25)*AV77+(1-EXP(-LN(2)/25))/(LN(2)/25)*Calculateur!AQ78*Calculateur!AS78*VLOOKUP('Données projet'!$B$10,Paramètres!$A$1:$I$89,3,0)*0.475*44/12</f>
        <v>8.1340250262212521</v>
      </c>
      <c r="AW78" s="21">
        <f>EXP(-LN(2)/2)*AW77+(1-EXP(-LN(2)/2))/(LN(2)/2)*AQ78*AT78*VLOOKUP('Données projet'!$B$10,Paramètres!$A$1:$I$89,3,0)*0.475*44/12</f>
        <v>1.0289916517535187</v>
      </c>
      <c r="AX78" s="21">
        <f t="shared" si="60"/>
        <v>44.111549101070231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-2.2737367544323206E-13</v>
      </c>
      <c r="BE78" s="13">
        <f>BD78*VLOOKUP('Données projet'!$B$11,Paramètres!$A$1:$I$89,3,0)*VLOOKUP('Données projet'!$B$11,Paramètres!$A$1:$I$89,5,0)</f>
        <v>-1.3596945791505279E-13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260.97162394079265</v>
      </c>
      <c r="BJ78" s="59">
        <f t="shared" si="92"/>
        <v>279.1836614199691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163.90138849487053</v>
      </c>
      <c r="BQ78" s="21">
        <f>EXP(-LN(2)/25)*BQ77+(1-EXP(-LN(2)/25))/(LN(2)/25)*Calculateur!BL78*Calculateur!BN78*VLOOKUP('Données projet'!$B$11,Paramètres!$A$1:$I$89,3,0)*0.475*44/12</f>
        <v>35.615368389521329</v>
      </c>
      <c r="BR78" s="21">
        <f>EXP(-LN(2)/2)*BR77+(1-EXP(-LN(2)/2))/(LN(2)/2)*BL78*BO78*VLOOKUP('Données projet'!$B$11,Paramètres!$A$1:$I$89,3,0)*0.475*44/12</f>
        <v>1.547173720405767</v>
      </c>
      <c r="BS78" s="22">
        <f t="shared" si="63"/>
        <v>201.06393060479763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943.83377161249655</v>
      </c>
      <c r="CD78" s="59">
        <f ca="1">AVERAGE(OFFSET($CC$3,0,0,'Données projet'!$E$12+1,1))-AVERAGE(OFFSET($H$3,0,0,'Données projet'!$E$12+1,1))</f>
        <v>264.70281355687837</v>
      </c>
      <c r="CE78" s="59">
        <f t="shared" si="94"/>
        <v>199.74194600786768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63.549912770526383</v>
      </c>
      <c r="CL78" s="21">
        <f>EXP(-LN(2)/25)*CL77+(1-EXP(-LN(2)/25))/(LN(2)/25)*Calculateur!CG78*Calculateur!CI78*VLOOKUP('Données projet'!$B$12,Paramètres!$A$1:$I$89,3,0)*0.475*44/12</f>
        <v>14.053421544822985</v>
      </c>
      <c r="CM78" s="21">
        <f>EXP(-LN(2)/2)*CM77+(1-EXP(-LN(2)/2))/(LN(2)/2)*CG78*CJ78*VLOOKUP('Données projet'!$B$12,Paramètres!$A$1:$I$89,3,0)*0.475*44/12</f>
        <v>2.5756060758895116</v>
      </c>
      <c r="CN78" s="22">
        <f t="shared" si="66"/>
        <v>80.178940391238882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8.4</v>
      </c>
      <c r="CT78" s="12">
        <f>IF('Données projet'!$A$140&gt;35,CT77+CS78-DB77,IF(A78&lt;'Données projet'!$A$140,$CQ$205^A78,IF(A78='Données projet'!$A$140,'Données projet'!$B$140,CT77+CS78-DB77)))</f>
        <v>362</v>
      </c>
      <c r="CU78" s="17">
        <f>CT78*VLOOKUP('Données projet'!$B$13,Paramètres!$A$1:$I$89,3,0)*VLOOKUP('Données projet'!$B$13,Paramètres!$A$1:$I$89,5,0)</f>
        <v>207.06400000000002</v>
      </c>
      <c r="CV78" s="13">
        <f t="shared" si="95"/>
        <v>51.293471037028887</v>
      </c>
      <c r="CW78" s="20">
        <f t="shared" si="67"/>
        <v>449.97259538949197</v>
      </c>
      <c r="CX78" s="59">
        <f t="shared" si="68"/>
        <v>743.30592872282523</v>
      </c>
      <c r="CY78" s="59">
        <f ca="1">AVERAGE(OFFSET($CX$3,0,0,'Données projet'!$E$13+1,1))-AVERAGE(OFFSET($H$3,0,0,'Données projet'!$E$13+1,1))</f>
        <v>149.8619613776458</v>
      </c>
      <c r="CZ78" s="59">
        <f t="shared" si="96"/>
        <v>108.55560257938146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41.089848547241054</v>
      </c>
      <c r="DG78" s="21">
        <f>EXP(-LN(2)/25)*DG77+(1-EXP(-LN(2)/25))/(LN(2)/25)*Calculateur!DB78*Calculateur!DD78*VLOOKUP('Données projet'!$B$13,Paramètres!$A$1:$I$89,3,0)*0.475*44/12</f>
        <v>9.0832984649748276</v>
      </c>
      <c r="DH78" s="21">
        <f>EXP(-LN(2)/2)*DH77+(1-EXP(-LN(2)/2))/(LN(2)/2)*DB78*DE78*VLOOKUP('Données projet'!$B$13,Paramètres!$A$1:$I$89,3,0)*0.475*44/12</f>
        <v>0.80280329554810104</v>
      </c>
      <c r="DI78" s="22">
        <f t="shared" si="69"/>
        <v>50.975950307763981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1">
        <f t="shared" si="86"/>
        <v>17.585082273674896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67">
        <f t="shared" si="56"/>
        <v>431.33652495998365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467.03705646400994</v>
      </c>
      <c r="T79" s="59">
        <f t="shared" si="88"/>
        <v>575.68119027684361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249.4535880214701</v>
      </c>
      <c r="AA79" s="21">
        <f>EXP(-LN(2)/25)*AA78+(1-EXP(-LN(2)/25))/(LN(2)/25)*Calculateur!V79*Calculateur!X79*VLOOKUP('Données projet'!$B$9,Paramètres!$A$1:$I$89,3,0)*0.475*44/12</f>
        <v>54.797641889930368</v>
      </c>
      <c r="AB79" s="21">
        <f>EXP(-LN(2)/2)*AB78+(1-EXP(-LN(2)/2))/(LN(2)/2)*V79*Y79*VLOOKUP('Données projet'!$B$9,Paramètres!$A$1:$I$89,3,0)*0.475*44/12</f>
        <v>1.4127727540118702</v>
      </c>
      <c r="AC79" s="22">
        <f t="shared" si="57"/>
        <v>305.66400266541234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4.8</v>
      </c>
      <c r="AI79" s="13">
        <f>IF('Données projet'!$A$62&gt;35,AI78+AH79-AQ78,IF(A79&lt;'Données projet'!$A$62,$AF$205^A79,IF(A79='Données projet'!$A$62,'Données projet'!$B$62,AI78+AH79-AQ78)))</f>
        <v>415.7999999999999</v>
      </c>
      <c r="AJ79" s="13">
        <f>AI79*VLOOKUP('Données projet'!$B$10,Paramètres!$A$1:$I$89,3,0)*VLOOKUP('Données projet'!$B$10,Paramètres!$A$1:$I$89,5,0)</f>
        <v>259.45919999999995</v>
      </c>
      <c r="AK79" s="13">
        <f t="shared" si="89"/>
        <v>62.607087284635128</v>
      </c>
      <c r="AL79" s="20">
        <f t="shared" si="58"/>
        <v>560.93211702073938</v>
      </c>
      <c r="AM79" s="59">
        <f t="shared" si="59"/>
        <v>854.26545035407275</v>
      </c>
      <c r="AN79" s="59">
        <f ca="1">AVERAGE(OFFSET($AM$3,0,0,'Données projet'!$E$10+1,1))-AVERAGE(OFFSET($H$3,0,0,'Données projet'!$E$10+1,1))</f>
        <v>252.44760109054914</v>
      </c>
      <c r="AO79" s="59">
        <f t="shared" si="90"/>
        <v>121.75506329394773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34.263213018778501</v>
      </c>
      <c r="AV79" s="21">
        <f>EXP(-LN(2)/25)*AV78+(1-EXP(-LN(2)/25))/(LN(2)/25)*Calculateur!AQ79*Calculateur!AS79*VLOOKUP('Données projet'!$B$10,Paramètres!$A$1:$I$89,3,0)*0.475*44/12</f>
        <v>7.9115996841294463</v>
      </c>
      <c r="AW79" s="21">
        <f>EXP(-LN(2)/2)*AW78+(1-EXP(-LN(2)/2))/(LN(2)/2)*AQ79*AT79*VLOOKUP('Données projet'!$B$10,Paramètres!$A$1:$I$89,3,0)*0.475*44/12</f>
        <v>0.7276069747392595</v>
      </c>
      <c r="AX79" s="21">
        <f t="shared" si="60"/>
        <v>42.90241967764721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-2.2737367544323206E-13</v>
      </c>
      <c r="BE79" s="13">
        <f>BD79*VLOOKUP('Données projet'!$B$11,Paramètres!$A$1:$I$89,3,0)*VLOOKUP('Données projet'!$B$11,Paramètres!$A$1:$I$89,5,0)</f>
        <v>-1.3596945791505279E-13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260.97162394079265</v>
      </c>
      <c r="BJ79" s="59">
        <f t="shared" si="92"/>
        <v>279.1836614199691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160.6873822364619</v>
      </c>
      <c r="BQ79" s="21">
        <f>EXP(-LN(2)/25)*BQ78+(1-EXP(-LN(2)/25))/(LN(2)/25)*Calculateur!BL79*Calculateur!BN79*VLOOKUP('Données projet'!$B$11,Paramètres!$A$1:$I$89,3,0)*0.475*44/12</f>
        <v>34.641464267979046</v>
      </c>
      <c r="BR79" s="21">
        <f>EXP(-LN(2)/2)*BR78+(1-EXP(-LN(2)/2))/(LN(2)/2)*BL79*BO79*VLOOKUP('Données projet'!$B$11,Paramètres!$A$1:$I$89,3,0)*0.475*44/12</f>
        <v>1.0940170293725373</v>
      </c>
      <c r="BS79" s="22">
        <f t="shared" si="63"/>
        <v>196.42286353381348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955.01161329498632</v>
      </c>
      <c r="CD79" s="59">
        <f ca="1">AVERAGE(OFFSET($CC$3,0,0,'Données projet'!$E$12+1,1))-AVERAGE(OFFSET($H$3,0,0,'Données projet'!$E$12+1,1))</f>
        <v>264.70281355687837</v>
      </c>
      <c r="CE79" s="59">
        <f t="shared" si="94"/>
        <v>199.74194600786768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62.303737742715761</v>
      </c>
      <c r="CL79" s="21">
        <f>EXP(-LN(2)/25)*CL78+(1-EXP(-LN(2)/25))/(LN(2)/25)*Calculateur!CG79*Calculateur!CI79*VLOOKUP('Données projet'!$B$12,Paramètres!$A$1:$I$89,3,0)*0.475*44/12</f>
        <v>13.669129993642482</v>
      </c>
      <c r="CM79" s="21">
        <f>EXP(-LN(2)/2)*CM78+(1-EXP(-LN(2)/2))/(LN(2)/2)*CG79*CJ79*VLOOKUP('Données projet'!$B$12,Paramètres!$A$1:$I$89,3,0)*0.475*44/12</f>
        <v>1.8212285219267474</v>
      </c>
      <c r="CN79" s="22">
        <f t="shared" si="66"/>
        <v>77.794096258284981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8.4</v>
      </c>
      <c r="CT79" s="12">
        <f>IF('Données projet'!$A$140&gt;35,CT78+CS79-DB78,IF(A79&lt;'Données projet'!$A$140,$CQ$205^A79,IF(A79='Données projet'!$A$140,'Données projet'!$B$140,CT78+CS79-DB78)))</f>
        <v>370.4</v>
      </c>
      <c r="CU79" s="17">
        <f>CT79*VLOOKUP('Données projet'!$B$13,Paramètres!$A$1:$I$89,3,0)*VLOOKUP('Données projet'!$B$13,Paramètres!$A$1:$I$89,5,0)</f>
        <v>211.86879999999999</v>
      </c>
      <c r="CV79" s="13">
        <f t="shared" si="95"/>
        <v>52.343754703844816</v>
      </c>
      <c r="CW79" s="20">
        <f t="shared" si="67"/>
        <v>460.17019944252974</v>
      </c>
      <c r="CX79" s="59">
        <f t="shared" si="68"/>
        <v>753.50353277586305</v>
      </c>
      <c r="CY79" s="59">
        <f ca="1">AVERAGE(OFFSET($CX$3,0,0,'Données projet'!$E$13+1,1))-AVERAGE(OFFSET($H$3,0,0,'Données projet'!$E$13+1,1))</f>
        <v>149.8619613776458</v>
      </c>
      <c r="CZ79" s="59">
        <f t="shared" si="96"/>
        <v>108.55560257938146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40.284101679562568</v>
      </c>
      <c r="DG79" s="21">
        <f>EXP(-LN(2)/25)*DG78+(1-EXP(-LN(2)/25))/(LN(2)/25)*Calculateur!DB79*Calculateur!DD79*VLOOKUP('Données projet'!$B$13,Paramètres!$A$1:$I$89,3,0)*0.475*44/12</f>
        <v>8.8349151907801851</v>
      </c>
      <c r="DH79" s="21">
        <f>EXP(-LN(2)/2)*DH78+(1-EXP(-LN(2)/2))/(LN(2)/2)*DB79*DE79*VLOOKUP('Données projet'!$B$13,Paramètres!$A$1:$I$89,3,0)*0.475*44/12</f>
        <v>0.56766765424097032</v>
      </c>
      <c r="DI79" s="22">
        <f t="shared" si="69"/>
        <v>49.686684524583725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1">
        <f t="shared" si="86"/>
        <v>17.789376189256863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67">
        <f t="shared" si="56"/>
        <v>433.10517686295566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467.03705646400994</v>
      </c>
      <c r="T80" s="59">
        <f t="shared" si="88"/>
        <v>575.68119027684361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244.56195531203403</v>
      </c>
      <c r="AA80" s="21">
        <f>EXP(-LN(2)/25)*AA79+(1-EXP(-LN(2)/25))/(LN(2)/25)*Calculateur!V80*Calculateur!X80*VLOOKUP('Données projet'!$B$9,Paramètres!$A$1:$I$89,3,0)*0.475*44/12</f>
        <v>53.299197490767476</v>
      </c>
      <c r="AB80" s="21">
        <f>EXP(-LN(2)/2)*AB79+(1-EXP(-LN(2)/2))/(LN(2)/2)*V80*Y80*VLOOKUP('Données projet'!$B$9,Paramètres!$A$1:$I$89,3,0)*0.475*44/12</f>
        <v>0.99898119463738766</v>
      </c>
      <c r="AC80" s="22">
        <f t="shared" si="57"/>
        <v>298.86013399743888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4.8</v>
      </c>
      <c r="AI80" s="13">
        <f>IF('Données projet'!$A$62&gt;35,AI79+AH80-AQ79,IF(A80&lt;'Données projet'!$A$62,$AF$205^A80,IF(A80='Données projet'!$A$62,'Données projet'!$B$62,AI79+AH80-AQ79)))</f>
        <v>420.59999999999991</v>
      </c>
      <c r="AJ80" s="13">
        <f>AI80*VLOOKUP('Données projet'!$B$10,Paramètres!$A$1:$I$89,3,0)*VLOOKUP('Données projet'!$B$10,Paramètres!$A$1:$I$89,5,0)</f>
        <v>262.45439999999996</v>
      </c>
      <c r="AK80" s="13">
        <f t="shared" si="89"/>
        <v>63.245270417682484</v>
      </c>
      <c r="AL80" s="20">
        <f t="shared" si="58"/>
        <v>567.26025931079698</v>
      </c>
      <c r="AM80" s="59">
        <f t="shared" si="59"/>
        <v>860.59359264413024</v>
      </c>
      <c r="AN80" s="59">
        <f ca="1">AVERAGE(OFFSET($AM$3,0,0,'Données projet'!$E$10+1,1))-AVERAGE(OFFSET($H$3,0,0,'Données projet'!$E$10+1,1))</f>
        <v>252.44760109054914</v>
      </c>
      <c r="AO80" s="59">
        <f t="shared" si="90"/>
        <v>121.75506329394773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33.591332309976643</v>
      </c>
      <c r="AV80" s="21">
        <f>EXP(-LN(2)/25)*AV79+(1-EXP(-LN(2)/25))/(LN(2)/25)*Calculateur!AQ80*Calculateur!AS80*VLOOKUP('Données projet'!$B$10,Paramètres!$A$1:$I$89,3,0)*0.475*44/12</f>
        <v>7.6952565747139809</v>
      </c>
      <c r="AW80" s="21">
        <f>EXP(-LN(2)/2)*AW79+(1-EXP(-LN(2)/2))/(LN(2)/2)*AQ80*AT80*VLOOKUP('Données projet'!$B$10,Paramètres!$A$1:$I$89,3,0)*0.475*44/12</f>
        <v>0.51449582587675946</v>
      </c>
      <c r="AX80" s="21">
        <f t="shared" si="60"/>
        <v>41.80108471056738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-2.2737367544323206E-13</v>
      </c>
      <c r="BE80" s="13">
        <f>BD80*VLOOKUP('Données projet'!$B$11,Paramètres!$A$1:$I$89,3,0)*VLOOKUP('Données projet'!$B$11,Paramètres!$A$1:$I$89,5,0)</f>
        <v>-1.3596945791505279E-13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260.97162394079265</v>
      </c>
      <c r="BJ80" s="59">
        <f t="shared" si="92"/>
        <v>279.1836614199691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157.5364006804304</v>
      </c>
      <c r="BQ80" s="21">
        <f>EXP(-LN(2)/25)*BQ79+(1-EXP(-LN(2)/25))/(LN(2)/25)*Calculateur!BL80*Calculateur!BN80*VLOOKUP('Données projet'!$B$11,Paramètres!$A$1:$I$89,3,0)*0.475*44/12</f>
        <v>33.694191605855728</v>
      </c>
      <c r="BR80" s="21">
        <f>EXP(-LN(2)/2)*BR79+(1-EXP(-LN(2)/2))/(LN(2)/2)*BL80*BO80*VLOOKUP('Données projet'!$B$11,Paramètres!$A$1:$I$89,3,0)*0.475*44/12</f>
        <v>0.77358686020288348</v>
      </c>
      <c r="BS80" s="22">
        <f t="shared" si="63"/>
        <v>192.00417914648904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966.18556902169325</v>
      </c>
      <c r="CD80" s="59">
        <f ca="1">AVERAGE(OFFSET($CC$3,0,0,'Données projet'!$E$12+1,1))-AVERAGE(OFFSET($H$3,0,0,'Données projet'!$E$12+1,1))</f>
        <v>264.70281355687837</v>
      </c>
      <c r="CE80" s="59">
        <f t="shared" si="94"/>
        <v>199.74194600786768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61.081999447108785</v>
      </c>
      <c r="CL80" s="21">
        <f>EXP(-LN(2)/25)*CL79+(1-EXP(-LN(2)/25))/(LN(2)/25)*Calculateur!CG80*Calculateur!CI80*VLOOKUP('Données projet'!$B$12,Paramètres!$A$1:$I$89,3,0)*0.475*44/12</f>
        <v>13.295346915138023</v>
      </c>
      <c r="CM80" s="21">
        <f>EXP(-LN(2)/2)*CM79+(1-EXP(-LN(2)/2))/(LN(2)/2)*CG80*CJ80*VLOOKUP('Données projet'!$B$12,Paramètres!$A$1:$I$89,3,0)*0.475*44/12</f>
        <v>1.287803037944756</v>
      </c>
      <c r="CN80" s="22">
        <f t="shared" si="66"/>
        <v>75.665149400191567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8.4</v>
      </c>
      <c r="CT80" s="12">
        <f>IF('Données projet'!$A$140&gt;35,CT79+CS80-DB79,IF(A80&lt;'Données projet'!$A$140,$CQ$205^A80,IF(A80='Données projet'!$A$140,'Données projet'!$B$140,CT79+CS80-DB79)))</f>
        <v>378.79999999999995</v>
      </c>
      <c r="CU80" s="17">
        <f>CT80*VLOOKUP('Données projet'!$B$13,Paramètres!$A$1:$I$89,3,0)*VLOOKUP('Données projet'!$B$13,Paramètres!$A$1:$I$89,5,0)</f>
        <v>216.67359999999996</v>
      </c>
      <c r="CV80" s="13">
        <f t="shared" si="95"/>
        <v>53.391269299214663</v>
      </c>
      <c r="CW80" s="20">
        <f t="shared" si="67"/>
        <v>470.36298069613213</v>
      </c>
      <c r="CX80" s="59">
        <f t="shared" si="68"/>
        <v>763.69631402946538</v>
      </c>
      <c r="CY80" s="59">
        <f ca="1">AVERAGE(OFFSET($CX$3,0,0,'Données projet'!$E$13+1,1))-AVERAGE(OFFSET($H$3,0,0,'Données projet'!$E$13+1,1))</f>
        <v>149.8619613776458</v>
      </c>
      <c r="CZ80" s="59">
        <f t="shared" si="96"/>
        <v>108.55560257938146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39.494155016502198</v>
      </c>
      <c r="DG80" s="21">
        <f>EXP(-LN(2)/25)*DG79+(1-EXP(-LN(2)/25))/(LN(2)/25)*Calculateur!DB80*Calculateur!DD80*VLOOKUP('Données projet'!$B$13,Paramètres!$A$1:$I$89,3,0)*0.475*44/12</f>
        <v>8.5933239702803039</v>
      </c>
      <c r="DH80" s="21">
        <f>EXP(-LN(2)/2)*DH79+(1-EXP(-LN(2)/2))/(LN(2)/2)*DB80*DE80*VLOOKUP('Données projet'!$B$13,Paramètres!$A$1:$I$89,3,0)*0.475*44/12</f>
        <v>0.40140164777405052</v>
      </c>
      <c r="DI80" s="22">
        <f t="shared" si="69"/>
        <v>48.488880634556551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1">
        <f t="shared" si="86"/>
        <v>17.99336150025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67">
        <f t="shared" si="56"/>
        <v>434.87329127960197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467.03705646400994</v>
      </c>
      <c r="T81" s="59">
        <f t="shared" si="88"/>
        <v>575.68119027684361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239.76624453642867</v>
      </c>
      <c r="AA81" s="21">
        <f>EXP(-LN(2)/25)*AA80+(1-EXP(-LN(2)/25))/(LN(2)/25)*Calculateur!V81*Calculateur!X81*VLOOKUP('Données projet'!$B$9,Paramètres!$A$1:$I$89,3,0)*0.475*44/12</f>
        <v>51.841728132499462</v>
      </c>
      <c r="AB81" s="21">
        <f>EXP(-LN(2)/2)*AB80+(1-EXP(-LN(2)/2))/(LN(2)/2)*V81*Y81*VLOOKUP('Données projet'!$B$9,Paramètres!$A$1:$I$89,3,0)*0.475*44/12</f>
        <v>0.70638637700593521</v>
      </c>
      <c r="AC81" s="22">
        <f t="shared" si="57"/>
        <v>292.31435904593405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4.8</v>
      </c>
      <c r="AI81" s="13">
        <f>IF('Données projet'!$A$62&gt;35,AI80+AH81-AQ80,IF(A81&lt;'Données projet'!$A$62,$AF$205^A81,IF(A81='Données projet'!$A$62,'Données projet'!$B$62,AI80+AH81-AQ80)))</f>
        <v>425.39999999999992</v>
      </c>
      <c r="AJ81" s="13">
        <f>AI81*VLOOKUP('Données projet'!$B$10,Paramètres!$A$1:$I$89,3,0)*VLOOKUP('Données projet'!$B$10,Paramètres!$A$1:$I$89,5,0)</f>
        <v>265.44959999999992</v>
      </c>
      <c r="AK81" s="13">
        <f t="shared" si="89"/>
        <v>63.882606339279448</v>
      </c>
      <c r="AL81" s="20">
        <f t="shared" si="58"/>
        <v>573.58692604091164</v>
      </c>
      <c r="AM81" s="59">
        <f t="shared" si="59"/>
        <v>866.92025937424501</v>
      </c>
      <c r="AN81" s="59">
        <f ca="1">AVERAGE(OFFSET($AM$3,0,0,'Données projet'!$E$10+1,1))-AVERAGE(OFFSET($H$3,0,0,'Données projet'!$E$10+1,1))</f>
        <v>252.44760109054914</v>
      </c>
      <c r="AO81" s="59">
        <f t="shared" si="90"/>
        <v>121.75506329394773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32.932626772067621</v>
      </c>
      <c r="AV81" s="21">
        <f>EXP(-LN(2)/25)*AV80+(1-EXP(-LN(2)/25))/(LN(2)/25)*Calculateur!AQ81*Calculateur!AS81*VLOOKUP('Données projet'!$B$10,Paramètres!$A$1:$I$89,3,0)*0.475*44/12</f>
        <v>7.4848293790024716</v>
      </c>
      <c r="AW81" s="21">
        <f>EXP(-LN(2)/2)*AW80+(1-EXP(-LN(2)/2))/(LN(2)/2)*AQ81*AT81*VLOOKUP('Données projet'!$B$10,Paramètres!$A$1:$I$89,3,0)*0.475*44/12</f>
        <v>0.36380348736962981</v>
      </c>
      <c r="AX81" s="21">
        <f t="shared" si="60"/>
        <v>40.781259638439721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-2.2737367544323206E-13</v>
      </c>
      <c r="BE81" s="13">
        <f>BD81*VLOOKUP('Données projet'!$B$11,Paramètres!$A$1:$I$89,3,0)*VLOOKUP('Données projet'!$B$11,Paramètres!$A$1:$I$89,5,0)</f>
        <v>-1.3596945791505279E-13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260.97162394079265</v>
      </c>
      <c r="BJ81" s="59">
        <f t="shared" si="92"/>
        <v>279.1836614199691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154.44720795080372</v>
      </c>
      <c r="BQ81" s="21">
        <f>EXP(-LN(2)/25)*BQ80+(1-EXP(-LN(2)/25))/(LN(2)/25)*Calculateur!BL81*Calculateur!BN81*VLOOKUP('Données projet'!$B$11,Paramètres!$A$1:$I$89,3,0)*0.475*44/12</f>
        <v>32.772822164493078</v>
      </c>
      <c r="BR81" s="21">
        <f>EXP(-LN(2)/2)*BR80+(1-EXP(-LN(2)/2))/(LN(2)/2)*BL81*BO81*VLOOKUP('Données projet'!$B$11,Paramètres!$A$1:$I$89,3,0)*0.475*44/12</f>
        <v>0.54700851468626865</v>
      </c>
      <c r="BS81" s="22">
        <f t="shared" si="63"/>
        <v>187.76703862998306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977.35571239786577</v>
      </c>
      <c r="CD81" s="59">
        <f ca="1">AVERAGE(OFFSET($CC$3,0,0,'Données projet'!$E$12+1,1))-AVERAGE(OFFSET($H$3,0,0,'Données projet'!$E$12+1,1))</f>
        <v>264.70281355687837</v>
      </c>
      <c r="CE81" s="59">
        <f t="shared" si="94"/>
        <v>199.74194600786768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59.884218694291889</v>
      </c>
      <c r="CL81" s="21">
        <f>EXP(-LN(2)/25)*CL80+(1-EXP(-LN(2)/25))/(LN(2)/25)*Calculateur!CG81*Calculateur!CI81*VLOOKUP('Données projet'!$B$12,Paramètres!$A$1:$I$89,3,0)*0.475*44/12</f>
        <v>12.931784954571667</v>
      </c>
      <c r="CM81" s="21">
        <f>EXP(-LN(2)/2)*CM80+(1-EXP(-LN(2)/2))/(LN(2)/2)*CG81*CJ81*VLOOKUP('Données projet'!$B$12,Paramètres!$A$1:$I$89,3,0)*0.475*44/12</f>
        <v>0.91061426096337383</v>
      </c>
      <c r="CN81" s="22">
        <f t="shared" si="66"/>
        <v>73.726617909826928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8.4</v>
      </c>
      <c r="CT81" s="12">
        <f>IF('Données projet'!$A$140&gt;35,CT80+CS81-DB80,IF(A81&lt;'Données projet'!$A$140,$CQ$205^A81,IF(A81='Données projet'!$A$140,'Données projet'!$B$140,CT80+CS81-DB80)))</f>
        <v>387.19999999999993</v>
      </c>
      <c r="CU81" s="17">
        <f>CT81*VLOOKUP('Données projet'!$B$13,Paramètres!$A$1:$I$89,3,0)*VLOOKUP('Données projet'!$B$13,Paramètres!$A$1:$I$89,5,0)</f>
        <v>221.47839999999997</v>
      </c>
      <c r="CV81" s="13">
        <f t="shared" si="95"/>
        <v>54.436083298579753</v>
      </c>
      <c r="CW81" s="20">
        <f t="shared" si="67"/>
        <v>480.55105841169296</v>
      </c>
      <c r="CX81" s="59">
        <f t="shared" si="68"/>
        <v>773.88439174502628</v>
      </c>
      <c r="CY81" s="59">
        <f ca="1">AVERAGE(OFFSET($CX$3,0,0,'Données projet'!$E$13+1,1))-AVERAGE(OFFSET($H$3,0,0,'Données projet'!$E$13+1,1))</f>
        <v>149.8619613776458</v>
      </c>
      <c r="CZ81" s="59">
        <f t="shared" si="96"/>
        <v>108.55560257938146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38.719698725684552</v>
      </c>
      <c r="DG81" s="21">
        <f>EXP(-LN(2)/25)*DG80+(1-EXP(-LN(2)/25))/(LN(2)/25)*Calculateur!DB81*Calculateur!DD81*VLOOKUP('Données projet'!$B$13,Paramètres!$A$1:$I$89,3,0)*0.475*44/12</f>
        <v>8.3583390744097219</v>
      </c>
      <c r="DH81" s="21">
        <f>EXP(-LN(2)/2)*DH80+(1-EXP(-LN(2)/2))/(LN(2)/2)*DB81*DE81*VLOOKUP('Données projet'!$B$13,Paramètres!$A$1:$I$89,3,0)*0.475*44/12</f>
        <v>0.28383382712048516</v>
      </c>
      <c r="DI81" s="22">
        <f t="shared" si="69"/>
        <v>47.361871627214754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1">
        <f t="shared" si="86"/>
        <v>18.197042620605469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67">
        <f t="shared" si="56"/>
        <v>436.64087589755445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467.03705646400994</v>
      </c>
      <c r="T82" s="59">
        <f t="shared" si="88"/>
        <v>575.68119027684361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235.06457472403818</v>
      </c>
      <c r="AA82" s="21">
        <f>EXP(-LN(2)/25)*AA81+(1-EXP(-LN(2)/25))/(LN(2)/25)*Calculateur!V82*Calculateur!X82*VLOOKUP('Données projet'!$B$9,Paramètres!$A$1:$I$89,3,0)*0.475*44/12</f>
        <v>50.424113350478265</v>
      </c>
      <c r="AB82" s="21">
        <f>EXP(-LN(2)/2)*AB81+(1-EXP(-LN(2)/2))/(LN(2)/2)*V82*Y82*VLOOKUP('Données projet'!$B$9,Paramètres!$A$1:$I$89,3,0)*0.475*44/12</f>
        <v>0.49949059731869394</v>
      </c>
      <c r="AC82" s="22">
        <f t="shared" si="57"/>
        <v>285.98817867183516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4.8</v>
      </c>
      <c r="AI82" s="13">
        <f>IF('Données projet'!$A$62&gt;35,AI81+AH82-AQ81,IF(A82&lt;'Données projet'!$A$62,$AF$205^A82,IF(A82='Données projet'!$A$62,'Données projet'!$B$62,AI81+AH82-AQ81)))</f>
        <v>430.19999999999993</v>
      </c>
      <c r="AJ82" s="13">
        <f>AI82*VLOOKUP('Données projet'!$B$10,Paramètres!$A$1:$I$89,3,0)*VLOOKUP('Données projet'!$B$10,Paramètres!$A$1:$I$89,5,0)</f>
        <v>268.44479999999993</v>
      </c>
      <c r="AK82" s="13">
        <f t="shared" si="89"/>
        <v>64.519105715110982</v>
      </c>
      <c r="AL82" s="20">
        <f t="shared" si="58"/>
        <v>579.91213578715144</v>
      </c>
      <c r="AM82" s="59">
        <f t="shared" si="59"/>
        <v>873.24546912048481</v>
      </c>
      <c r="AN82" s="59">
        <f ca="1">AVERAGE(OFFSET($AM$3,0,0,'Données projet'!$E$10+1,1))-AVERAGE(OFFSET($H$3,0,0,'Données projet'!$E$10+1,1))</f>
        <v>252.44760109054914</v>
      </c>
      <c r="AO82" s="59">
        <f t="shared" si="90"/>
        <v>121.75506329394773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32.286838047986286</v>
      </c>
      <c r="AV82" s="21">
        <f>EXP(-LN(2)/25)*AV81+(1-EXP(-LN(2)/25))/(LN(2)/25)*Calculateur!AQ82*Calculateur!AS82*VLOOKUP('Données projet'!$B$10,Paramètres!$A$1:$I$89,3,0)*0.475*44/12</f>
        <v>7.2801563260235787</v>
      </c>
      <c r="AW82" s="21">
        <f>EXP(-LN(2)/2)*AW81+(1-EXP(-LN(2)/2))/(LN(2)/2)*AQ82*AT82*VLOOKUP('Données projet'!$B$10,Paramètres!$A$1:$I$89,3,0)*0.475*44/12</f>
        <v>0.25724791293837973</v>
      </c>
      <c r="AX82" s="21">
        <f t="shared" si="60"/>
        <v>39.824242286948248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-2.2737367544323206E-13</v>
      </c>
      <c r="BE82" s="13">
        <f>BD82*VLOOKUP('Données projet'!$B$11,Paramètres!$A$1:$I$89,3,0)*VLOOKUP('Données projet'!$B$11,Paramètres!$A$1:$I$89,5,0)</f>
        <v>-1.3596945791505279E-13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260.97162394079265</v>
      </c>
      <c r="BJ82" s="59">
        <f t="shared" si="92"/>
        <v>279.1836614199691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151.41859240638348</v>
      </c>
      <c r="BQ82" s="21">
        <f>EXP(-LN(2)/25)*BQ81+(1-EXP(-LN(2)/25))/(LN(2)/25)*Calculateur!BL82*Calculateur!BN82*VLOOKUP('Données projet'!$B$11,Paramètres!$A$1:$I$89,3,0)*0.475*44/12</f>
        <v>31.8766476189572</v>
      </c>
      <c r="BR82" s="21">
        <f>EXP(-LN(2)/2)*BR81+(1-EXP(-LN(2)/2))/(LN(2)/2)*BL82*BO82*VLOOKUP('Données projet'!$B$11,Paramètres!$A$1:$I$89,3,0)*0.475*44/12</f>
        <v>0.38679343010144174</v>
      </c>
      <c r="BS82" s="22">
        <f t="shared" si="63"/>
        <v>183.68203345544214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988.5221144297293</v>
      </c>
      <c r="CD82" s="59">
        <f ca="1">AVERAGE(OFFSET($CC$3,0,0,'Données projet'!$E$12+1,1))-AVERAGE(OFFSET($H$3,0,0,'Données projet'!$E$12+1,1))</f>
        <v>264.70281355687837</v>
      </c>
      <c r="CE82" s="59">
        <f t="shared" si="94"/>
        <v>199.74194600786768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58.70992569146361</v>
      </c>
      <c r="CL82" s="21">
        <f>EXP(-LN(2)/25)*CL81+(1-EXP(-LN(2)/25))/(LN(2)/25)*Calculateur!CG82*Calculateur!CI82*VLOOKUP('Données projet'!$B$12,Paramètres!$A$1:$I$89,3,0)*0.475*44/12</f>
        <v>12.57816461493589</v>
      </c>
      <c r="CM82" s="21">
        <f>EXP(-LN(2)/2)*CM81+(1-EXP(-LN(2)/2))/(LN(2)/2)*CG82*CJ82*VLOOKUP('Données projet'!$B$12,Paramètres!$A$1:$I$89,3,0)*0.475*44/12</f>
        <v>0.64390151897237813</v>
      </c>
      <c r="CN82" s="22">
        <f t="shared" si="66"/>
        <v>71.931991825371881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8.4</v>
      </c>
      <c r="CT82" s="12">
        <f>IF('Données projet'!$A$140&gt;35,CT81+CS82-DB81,IF(A82&lt;'Données projet'!$A$140,$CQ$205^A82,IF(A82='Données projet'!$A$140,'Données projet'!$B$140,CT81+CS82-DB81)))</f>
        <v>395.59999999999991</v>
      </c>
      <c r="CU82" s="17">
        <f>CT82*VLOOKUP('Données projet'!$B$13,Paramètres!$A$1:$I$89,3,0)*VLOOKUP('Données projet'!$B$13,Paramètres!$A$1:$I$89,5,0)</f>
        <v>226.28319999999997</v>
      </c>
      <c r="CV82" s="13">
        <f t="shared" si="95"/>
        <v>55.478262036650989</v>
      </c>
      <c r="CW82" s="20">
        <f t="shared" si="67"/>
        <v>490.73454638050043</v>
      </c>
      <c r="CX82" s="59">
        <f t="shared" si="68"/>
        <v>784.06787971383369</v>
      </c>
      <c r="CY82" s="59">
        <f ca="1">AVERAGE(OFFSET($CX$3,0,0,'Données projet'!$E$13+1,1))-AVERAGE(OFFSET($H$3,0,0,'Données projet'!$E$13+1,1))</f>
        <v>149.8619613776458</v>
      </c>
      <c r="CZ82" s="59">
        <f t="shared" si="96"/>
        <v>108.55560257938146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37.960429050358144</v>
      </c>
      <c r="DG82" s="21">
        <f>EXP(-LN(2)/25)*DG81+(1-EXP(-LN(2)/25))/(LN(2)/25)*Calculateur!DB82*Calculateur!DD82*VLOOKUP('Données projet'!$B$13,Paramètres!$A$1:$I$89,3,0)*0.475*44/12</f>
        <v>8.129779852874039</v>
      </c>
      <c r="DH82" s="21">
        <f>EXP(-LN(2)/2)*DH81+(1-EXP(-LN(2)/2))/(LN(2)/2)*DB82*DE82*VLOOKUP('Données projet'!$B$13,Paramètres!$A$1:$I$89,3,0)*0.475*44/12</f>
        <v>0.20070082388702526</v>
      </c>
      <c r="DI82" s="22">
        <f t="shared" si="69"/>
        <v>46.290909727119207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1">
        <f t="shared" si="86"/>
        <v>18.400423846102949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67">
        <f t="shared" si="56"/>
        <v>438.40793819862927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467.03705646400994</v>
      </c>
      <c r="T83" s="59">
        <f t="shared" si="88"/>
        <v>575.68119027684361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230.45510178893323</v>
      </c>
      <c r="AA83" s="21">
        <f>EXP(-LN(2)/25)*AA82+(1-EXP(-LN(2)/25))/(LN(2)/25)*Calculateur!V83*Calculateur!X83*VLOOKUP('Données projet'!$B$9,Paramètres!$A$1:$I$89,3,0)*0.475*44/12</f>
        <v>49.04526331922056</v>
      </c>
      <c r="AB83" s="21">
        <f>EXP(-LN(2)/2)*AB82+(1-EXP(-LN(2)/2))/(LN(2)/2)*V83*Y83*VLOOKUP('Données projet'!$B$9,Paramètres!$A$1:$I$89,3,0)*0.475*44/12</f>
        <v>0.35319318850296766</v>
      </c>
      <c r="AC83" s="22">
        <f t="shared" si="57"/>
        <v>279.85355829665679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435</v>
      </c>
      <c r="AG83" s="12">
        <f>VLOOKUP(A83,'Données projet'!$A$61:$I$81,9,0)</f>
        <v>4.8</v>
      </c>
      <c r="AH83" s="12">
        <f t="array" ref="AH83">INDEX(AG:AG,MIN(IF(ISNUMBER(AG83:AG279),ROW(AG83:AG279),"")))</f>
        <v>4.8</v>
      </c>
      <c r="AI83" s="13">
        <f>IF('Données projet'!$A$62&gt;35,AI82+AH83-AQ82,IF(A83&lt;'Données projet'!$A$62,$AF$205^A83,IF(A83='Données projet'!$A$62,'Données projet'!$B$62,AI82+AH83-AQ82)))</f>
        <v>434.99999999999994</v>
      </c>
      <c r="AJ83" s="13">
        <f>AI83*VLOOKUP('Données projet'!$B$10,Paramètres!$A$1:$I$89,3,0)*VLOOKUP('Données projet'!$B$10,Paramètres!$A$1:$I$89,5,0)</f>
        <v>271.43999999999994</v>
      </c>
      <c r="AK83" s="13">
        <f t="shared" si="89"/>
        <v>65.154778959151173</v>
      </c>
      <c r="AL83" s="20">
        <f t="shared" si="58"/>
        <v>586.23590668718805</v>
      </c>
      <c r="AM83" s="59">
        <f t="shared" si="59"/>
        <v>879.56924002052142</v>
      </c>
      <c r="AN83" s="59">
        <f ca="1">AVERAGE(OFFSET($AM$3,0,0,'Données projet'!$E$10+1,1))-AVERAGE(OFFSET($H$3,0,0,'Données projet'!$E$10+1,1))</f>
        <v>252.44760109054914</v>
      </c>
      <c r="AO83" s="59">
        <f t="shared" si="90"/>
        <v>121.75506329394773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7</v>
      </c>
      <c r="AR83" s="16">
        <f>IF(ISNA(VLOOKUP(A83,'Données projet'!$A$61:$I$81,5,0)),0%,VLOOKUP(A83,'Données projet'!$A$61:$I$81,5,0)*VLOOKUP('Données projet'!$B$10,Paramètres!$A$1:$I$89,7,0))</f>
        <v>0.42</v>
      </c>
      <c r="AS83" s="16">
        <f>IF(ISNA(VLOOKUP(A83,'Données projet'!$A$61:$I$81,6,0)),0%,VLOOKUP(A83,'Données projet'!$A$61:$I$81,6,0)*VLOOKUP('Données projet'!$B$10,Paramètres!$A$1:$I$89,7,0))</f>
        <v>0.10200000000000001</v>
      </c>
      <c r="AT83" s="16">
        <f>IF(ISNA(VLOOKUP(A83,'Données projet'!$A$61:$I$81,7,0)),0%,VLOOKUP(A83,'Données projet'!$A$61:$I$81,7,0))</f>
        <v>0.13</v>
      </c>
      <c r="AU83" s="21">
        <f>EXP(-LN(2)/35)*AU82+(1-EXP(-LN(2)/35))/(LN(2)/35)*AQ83*AR83*VLOOKUP('Données projet'!$B$10,Paramètres!$A$1:$I$89,3,0)*0.475*44/12</f>
        <v>34.087374934263124</v>
      </c>
      <c r="AV83" s="21">
        <f>EXP(-LN(2)/25)*AV82+(1-EXP(-LN(2)/25))/(LN(2)/25)*Calculateur!AQ83*Calculateur!AS83*VLOOKUP('Données projet'!$B$10,Paramètres!$A$1:$I$89,3,0)*0.475*44/12</f>
        <v>7.6697851706045235</v>
      </c>
      <c r="AW83" s="21">
        <f>EXP(-LN(2)/2)*AW82+(1-EXP(-LN(2)/2))/(LN(2)/2)*AQ83*AT83*VLOOKUP('Données projet'!$B$10,Paramètres!$A$1:$I$89,3,0)*0.475*44/12</f>
        <v>0.82482853151224333</v>
      </c>
      <c r="AX83" s="21">
        <f t="shared" si="60"/>
        <v>42.581988636379897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-2.2737367544323206E-13</v>
      </c>
      <c r="BE83" s="13">
        <f>BD83*VLOOKUP('Données projet'!$B$11,Paramètres!$A$1:$I$89,3,0)*VLOOKUP('Données projet'!$B$11,Paramètres!$A$1:$I$89,5,0)</f>
        <v>-1.3596945791505279E-13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260.97162394079265</v>
      </c>
      <c r="BJ83" s="59">
        <f t="shared" si="92"/>
        <v>279.1836614199691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148.44936616551624</v>
      </c>
      <c r="BQ83" s="21">
        <f>EXP(-LN(2)/25)*BQ82+(1-EXP(-LN(2)/25))/(LN(2)/25)*Calculateur!BL83*Calculateur!BN83*VLOOKUP('Données projet'!$B$11,Paramètres!$A$1:$I$89,3,0)*0.475*44/12</f>
        <v>31.004979013496772</v>
      </c>
      <c r="BR83" s="21">
        <f>EXP(-LN(2)/2)*BR82+(1-EXP(-LN(2)/2))/(LN(2)/2)*BL83*BO83*VLOOKUP('Données projet'!$B$11,Paramètres!$A$1:$I$89,3,0)*0.475*44/12</f>
        <v>0.27350425734313433</v>
      </c>
      <c r="BS83" s="22">
        <f t="shared" si="63"/>
        <v>179.72784943635617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999.68484365740983</v>
      </c>
      <c r="CD83" s="59">
        <f ca="1">AVERAGE(OFFSET($CC$3,0,0,'Données projet'!$E$12+1,1))-AVERAGE(OFFSET($H$3,0,0,'Données projet'!$E$12+1,1))</f>
        <v>264.70281355687837</v>
      </c>
      <c r="CE83" s="59">
        <f t="shared" si="94"/>
        <v>199.74194600786768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57.558659858172781</v>
      </c>
      <c r="CL83" s="21">
        <f>EXP(-LN(2)/25)*CL82+(1-EXP(-LN(2)/25))/(LN(2)/25)*Calculateur!CG83*Calculateur!CI83*VLOOKUP('Données projet'!$B$12,Paramètres!$A$1:$I$89,3,0)*0.475*44/12</f>
        <v>12.234214042083538</v>
      </c>
      <c r="CM83" s="21">
        <f>EXP(-LN(2)/2)*CM82+(1-EXP(-LN(2)/2))/(LN(2)/2)*CG83*CJ83*VLOOKUP('Données projet'!$B$12,Paramètres!$A$1:$I$89,3,0)*0.475*44/12</f>
        <v>0.45530713048168697</v>
      </c>
      <c r="CN83" s="22">
        <f t="shared" si="66"/>
        <v>70.24818103073801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404</v>
      </c>
      <c r="CR83" s="12">
        <f>VLOOKUP(A83,'Données projet'!$A$139:$I$159,9,0)</f>
        <v>8.4</v>
      </c>
      <c r="CS83" s="12">
        <f t="array" ref="CS83">INDEX(CR:CR,MIN(IF(ISNUMBER(CR83:CR279),ROW(CR83:CR279),"")))</f>
        <v>8.4</v>
      </c>
      <c r="CT83" s="12">
        <f>IF('Données projet'!$A$140&gt;35,CT82+CS83-DB82,IF(A83&lt;'Données projet'!$A$140,$CQ$205^A83,IF(A83='Données projet'!$A$140,'Données projet'!$B$140,CT82+CS83-DB82)))</f>
        <v>403.99999999999989</v>
      </c>
      <c r="CU83" s="17">
        <f>CT83*VLOOKUP('Données projet'!$B$13,Paramètres!$A$1:$I$89,3,0)*VLOOKUP('Données projet'!$B$13,Paramètres!$A$1:$I$89,5,0)</f>
        <v>231.08799999999997</v>
      </c>
      <c r="CV83" s="13">
        <f t="shared" si="95"/>
        <v>56.517867915044071</v>
      </c>
      <c r="CW83" s="20">
        <f t="shared" si="67"/>
        <v>500.91355328536832</v>
      </c>
      <c r="CX83" s="59">
        <f t="shared" si="68"/>
        <v>794.24688661870164</v>
      </c>
      <c r="CY83" s="59">
        <f ca="1">AVERAGE(OFFSET($CX$3,0,0,'Données projet'!$E$13+1,1))-AVERAGE(OFFSET($H$3,0,0,'Données projet'!$E$13+1,1))</f>
        <v>149.8619613776458</v>
      </c>
      <c r="CZ83" s="59">
        <f t="shared" si="96"/>
        <v>108.55560257938146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404</v>
      </c>
      <c r="DC83" s="16">
        <f>IF(ISNA(VLOOKUP(A83,'Données projet'!$A$139:$I$159,5,0)),0%,VLOOKUP(A83,'Données projet'!$A$139:$I$159,5,0)*VLOOKUP('Données projet'!$B$13,Paramètres!$A$1:$I$89,7,0))</f>
        <v>0.315</v>
      </c>
      <c r="DD83" s="16">
        <f>IF(ISNA(VLOOKUP(A83,'Données projet'!$A$139:$I$159,6,0)),0%,VLOOKUP(A83,'Données projet'!$A$139:$I$159,6,0)*VLOOKUP('Données projet'!$B$13,Paramètres!$A$1:$I$89,7,0))</f>
        <v>7.6500000000000012E-2</v>
      </c>
      <c r="DE83" s="16">
        <f>IF(ISNA(VLOOKUP(A83,'Données projet'!$A$139:$I$159,7,0)),0%,VLOOKUP(A83,'Données projet'!$A$139:$I$159,7,0))</f>
        <v>0.13</v>
      </c>
      <c r="DF83" s="21">
        <f>EXP(-LN(2)/35)*DF82+(1-EXP(-LN(2)/35))/(LN(2)/35)*DB83*DC83*VLOOKUP('Données projet'!$B$13,Paramètres!$A$1:$I$89,3,0)*0.475*44/12</f>
        <v>133.78028315701903</v>
      </c>
      <c r="DG83" s="21">
        <f>EXP(-LN(2)/25)*DG82+(1-EXP(-LN(2)/25))/(LN(2)/25)*Calculateur!DB83*Calculateur!DD83*VLOOKUP('Données projet'!$B$13,Paramètres!$A$1:$I$89,3,0)*0.475*44/12</f>
        <v>31.266448041803393</v>
      </c>
      <c r="DH83" s="21">
        <f>EXP(-LN(2)/2)*DH82+(1-EXP(-LN(2)/2))/(LN(2)/2)*DB83*DE83*VLOOKUP('Données projet'!$B$13,Paramètres!$A$1:$I$89,3,0)*0.475*44/12</f>
        <v>34.155805545763712</v>
      </c>
      <c r="DI83" s="22">
        <f t="shared" si="69"/>
        <v>199.20253674458613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1">
        <f t="shared" si="86"/>
        <v>18.603509358951104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67">
        <f t="shared" si="56"/>
        <v>440.17448546683977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467.03705646400994</v>
      </c>
      <c r="T84" s="59">
        <f t="shared" si="88"/>
        <v>575.68119027684361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225.93601780658483</v>
      </c>
      <c r="AA84" s="21">
        <f>EXP(-LN(2)/25)*AA83+(1-EXP(-LN(2)/25))/(LN(2)/25)*Calculateur!V84*Calculateur!X84*VLOOKUP('Données projet'!$B$9,Paramètres!$A$1:$I$89,3,0)*0.475*44/12</f>
        <v>47.704118014578171</v>
      </c>
      <c r="AB84" s="21">
        <f>EXP(-LN(2)/2)*AB83+(1-EXP(-LN(2)/2))/(LN(2)/2)*V84*Y84*VLOOKUP('Données projet'!$B$9,Paramètres!$A$1:$I$89,3,0)*0.475*44/12</f>
        <v>0.249745298659347</v>
      </c>
      <c r="AC84" s="22">
        <f t="shared" si="57"/>
        <v>273.88988111982229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3.6</v>
      </c>
      <c r="AI84" s="13">
        <f>IF('Données projet'!$A$62&gt;35,AI83+AH84-AQ83,IF(A84&lt;'Données projet'!$A$62,$AF$205^A84,IF(A84='Données projet'!$A$62,'Données projet'!$B$62,AI83+AH84-AQ83)))</f>
        <v>431.59999999999997</v>
      </c>
      <c r="AJ84" s="13">
        <f>AI84*VLOOKUP('Données projet'!$B$10,Paramètres!$A$1:$I$89,3,0)*VLOOKUP('Données projet'!$B$10,Paramètres!$A$1:$I$89,5,0)</f>
        <v>269.3184</v>
      </c>
      <c r="AK84" s="13">
        <f t="shared" si="89"/>
        <v>64.704595292653167</v>
      </c>
      <c r="AL84" s="20">
        <f t="shared" si="58"/>
        <v>581.756716801371</v>
      </c>
      <c r="AM84" s="59">
        <f t="shared" si="59"/>
        <v>875.09005013470437</v>
      </c>
      <c r="AN84" s="59">
        <f ca="1">AVERAGE(OFFSET($AM$3,0,0,'Données projet'!$E$10+1,1))-AVERAGE(OFFSET($H$3,0,0,'Données projet'!$E$10+1,1))</f>
        <v>252.44760109054914</v>
      </c>
      <c r="AO84" s="59">
        <f t="shared" si="90"/>
        <v>121.75506329394773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33.41894230304797</v>
      </c>
      <c r="AV84" s="21">
        <f>EXP(-LN(2)/25)*AV83+(1-EXP(-LN(2)/25))/(LN(2)/25)*Calculateur!AQ84*Calculateur!AS84*VLOOKUP('Données projet'!$B$10,Paramètres!$A$1:$I$89,3,0)*0.475*44/12</f>
        <v>7.4600544917778704</v>
      </c>
      <c r="AW84" s="21">
        <f>EXP(-LN(2)/2)*AW83+(1-EXP(-LN(2)/2))/(LN(2)/2)*AQ84*AT84*VLOOKUP('Données projet'!$B$10,Paramètres!$A$1:$I$89,3,0)*0.475*44/12</f>
        <v>0.58324184794844924</v>
      </c>
      <c r="AX84" s="21">
        <f t="shared" si="60"/>
        <v>41.462238642774288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-1.3596945791505279E-13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260.97162394079265</v>
      </c>
      <c r="BJ84" s="59">
        <f t="shared" si="92"/>
        <v>279.1836614199691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145.53836464018323</v>
      </c>
      <c r="BQ84" s="21">
        <f>EXP(-LN(2)/25)*BQ83+(1-EXP(-LN(2)/25))/(LN(2)/25)*Calculateur!BL84*Calculateur!BN84*VLOOKUP('Données projet'!$B$11,Paramètres!$A$1:$I$89,3,0)*0.475*44/12</f>
        <v>30.157146231891719</v>
      </c>
      <c r="BR84" s="21">
        <f>EXP(-LN(2)/2)*BR83+(1-EXP(-LN(2)/2))/(LN(2)/2)*BL84*BO84*VLOOKUP('Données projet'!$B$11,Paramètres!$A$1:$I$89,3,0)*0.475*44/12</f>
        <v>0.19339671505072087</v>
      </c>
      <c r="BS84" s="22">
        <f t="shared" si="63"/>
        <v>175.88890758712566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1010.843966279022</v>
      </c>
      <c r="CD84" s="59">
        <f ca="1">AVERAGE(OFFSET($CC$3,0,0,'Données projet'!$E$12+1,1))-AVERAGE(OFFSET($H$3,0,0,'Données projet'!$E$12+1,1))</f>
        <v>264.70281355687837</v>
      </c>
      <c r="CE84" s="59">
        <f t="shared" si="94"/>
        <v>199.74194600786768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56.429969645669964</v>
      </c>
      <c r="CL84" s="21">
        <f>EXP(-LN(2)/25)*CL83+(1-EXP(-LN(2)/25))/(LN(2)/25)*Calculateur!CG84*Calculateur!CI84*VLOOKUP('Données projet'!$B$12,Paramètres!$A$1:$I$89,3,0)*0.475*44/12</f>
        <v>11.89966881573341</v>
      </c>
      <c r="CM84" s="21">
        <f>EXP(-LN(2)/2)*CM83+(1-EXP(-LN(2)/2))/(LN(2)/2)*CG84*CJ84*VLOOKUP('Données projet'!$B$12,Paramètres!$A$1:$I$89,3,0)*0.475*44/12</f>
        <v>0.32195075948618912</v>
      </c>
      <c r="CN84" s="22">
        <f t="shared" si="66"/>
        <v>68.651589220889562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-6.5028871176764376E-14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149.8619613776458</v>
      </c>
      <c r="CZ84" s="59">
        <f t="shared" si="96"/>
        <v>108.55560257938146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131.15693340222549</v>
      </c>
      <c r="DG84" s="21">
        <f>EXP(-LN(2)/25)*DG83+(1-EXP(-LN(2)/25))/(LN(2)/25)*Calculateur!DB84*Calculateur!DD84*VLOOKUP('Données projet'!$B$13,Paramètres!$A$1:$I$89,3,0)*0.475*44/12</f>
        <v>30.411465375869238</v>
      </c>
      <c r="DH84" s="21">
        <f>EXP(-LN(2)/2)*DH83+(1-EXP(-LN(2)/2))/(LN(2)/2)*DB84*DE84*VLOOKUP('Données projet'!$B$13,Paramètres!$A$1:$I$89,3,0)*0.475*44/12</f>
        <v>24.151801718298611</v>
      </c>
      <c r="DI84" s="22">
        <f t="shared" si="69"/>
        <v>185.72020049639332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1">
        <f t="shared" si="86"/>
        <v>18.80630323215442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67">
        <f t="shared" si="56"/>
        <v>441.94052479600219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467.03705646400994</v>
      </c>
      <c r="T85" s="59">
        <f t="shared" si="88"/>
        <v>575.68119027684361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221.50555030476121</v>
      </c>
      <c r="AA85" s="21">
        <f>EXP(-LN(2)/25)*AA84+(1-EXP(-LN(2)/25))/(LN(2)/25)*Calculateur!V85*Calculateur!X85*VLOOKUP('Données projet'!$B$9,Paramètres!$A$1:$I$89,3,0)*0.475*44/12</f>
        <v>46.399646398818994</v>
      </c>
      <c r="AB85" s="21">
        <f>EXP(-LN(2)/2)*AB84+(1-EXP(-LN(2)/2))/(LN(2)/2)*V85*Y85*VLOOKUP('Données projet'!$B$9,Paramètres!$A$1:$I$89,3,0)*0.475*44/12</f>
        <v>0.17659659425148386</v>
      </c>
      <c r="AC85" s="22">
        <f t="shared" si="57"/>
        <v>268.08179329783167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3.6</v>
      </c>
      <c r="AI85" s="13">
        <f>IF('Données projet'!$A$62&gt;35,AI84+AH85-AQ84,IF(A85&lt;'Données projet'!$A$62,$AF$205^A85,IF(A85='Données projet'!$A$62,'Données projet'!$B$62,AI84+AH85-AQ84)))</f>
        <v>435.2</v>
      </c>
      <c r="AJ85" s="13">
        <f>AI85*VLOOKUP('Données projet'!$B$10,Paramètres!$A$1:$I$89,3,0)*VLOOKUP('Données projet'!$B$10,Paramètres!$A$1:$I$89,5,0)</f>
        <v>271.56479999999999</v>
      </c>
      <c r="AK85" s="13">
        <f t="shared" si="89"/>
        <v>65.181247567168526</v>
      </c>
      <c r="AL85" s="20">
        <f t="shared" si="58"/>
        <v>586.49936617948504</v>
      </c>
      <c r="AM85" s="59">
        <f t="shared" si="59"/>
        <v>879.83269951281841</v>
      </c>
      <c r="AN85" s="59">
        <f ca="1">AVERAGE(OFFSET($AM$3,0,0,'Données projet'!$E$10+1,1))-AVERAGE(OFFSET($H$3,0,0,'Données projet'!$E$10+1,1))</f>
        <v>252.44760109054914</v>
      </c>
      <c r="AO85" s="59">
        <f t="shared" si="90"/>
        <v>121.75506329394773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32.7636172280273</v>
      </c>
      <c r="AV85" s="21">
        <f>EXP(-LN(2)/25)*AV84+(1-EXP(-LN(2)/25))/(LN(2)/25)*Calculateur!AQ85*Calculateur!AS85*VLOOKUP('Données projet'!$B$10,Paramètres!$A$1:$I$89,3,0)*0.475*44/12</f>
        <v>7.2560589093929888</v>
      </c>
      <c r="AW85" s="21">
        <f>EXP(-LN(2)/2)*AW84+(1-EXP(-LN(2)/2))/(LN(2)/2)*AQ85*AT85*VLOOKUP('Données projet'!$B$10,Paramètres!$A$1:$I$89,3,0)*0.475*44/12</f>
        <v>0.41241426575612172</v>
      </c>
      <c r="AX85" s="21">
        <f t="shared" si="60"/>
        <v>40.43209040317641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-1.3596945791505279E-13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260.97162394079265</v>
      </c>
      <c r="BJ85" s="59">
        <f t="shared" si="92"/>
        <v>279.1836614199691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142.6844460792264</v>
      </c>
      <c r="BQ85" s="21">
        <f>EXP(-LN(2)/25)*BQ84+(1-EXP(-LN(2)/25))/(LN(2)/25)*Calculateur!BL85*Calculateur!BN85*VLOOKUP('Données projet'!$B$11,Paramètres!$A$1:$I$89,3,0)*0.475*44/12</f>
        <v>29.332497482285245</v>
      </c>
      <c r="BR85" s="21">
        <f>EXP(-LN(2)/2)*BR84+(1-EXP(-LN(2)/2))/(LN(2)/2)*BL85*BO85*VLOOKUP('Données projet'!$B$11,Paramètres!$A$1:$I$89,3,0)*0.475*44/12</f>
        <v>0.13675212867156716</v>
      </c>
      <c r="BS85" s="22">
        <f t="shared" si="63"/>
        <v>172.15369569018321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1021.9995462666395</v>
      </c>
      <c r="CD85" s="59">
        <f ca="1">AVERAGE(OFFSET($CC$3,0,0,'Données projet'!$E$12+1,1))-AVERAGE(OFFSET($H$3,0,0,'Données projet'!$E$12+1,1))</f>
        <v>264.70281355687837</v>
      </c>
      <c r="CE85" s="59">
        <f t="shared" si="94"/>
        <v>199.74194600786768</v>
      </c>
      <c r="CF85" s="15" t="str">
        <f>IF(ISNA(VLOOKUP(A85,'Données projet'!$A$113:$I$133,3,0)),0,VLOOKUP(A85,'Données projet'!$A$113:$I$133,3,0))</f>
        <v>CR</v>
      </c>
      <c r="CG85" s="15">
        <f>IF(ISNA(VLOOKUP(A85,'Données projet'!$A$113:$I$133,4,0)),0,VLOOKUP(A85,'Données projet'!$A$113:$I$133,4,0))</f>
        <v>567</v>
      </c>
      <c r="CH85" s="16">
        <f>IF(ISNA(VLOOKUP(A85,'Données projet'!$A$113:$I$133,5,0)),0%,VLOOKUP(A85,'Données projet'!$A$113:$I$133,5,0)*VLOOKUP('Données projet'!$B$12,Paramètres!$A$1:$I$89,7,0))</f>
        <v>0.315</v>
      </c>
      <c r="CI85" s="16">
        <f>IF(ISNA(VLOOKUP(A85,'Données projet'!$A$113:$I$133,6,0)),0%,VLOOKUP(A85,'Données projet'!$A$113:$I$133,6,0)*VLOOKUP('Données projet'!$B$12,Paramètres!$A$1:$I$89,7,0))</f>
        <v>7.6500000000000012E-2</v>
      </c>
      <c r="CJ85" s="16">
        <f>IF(ISNA(VLOOKUP(A85,'Données projet'!$A$113:$I$133,7,0)),0%,VLOOKUP(A85,'Données projet'!$A$113:$I$133,7,0))</f>
        <v>0.13</v>
      </c>
      <c r="CK85" s="21">
        <f>EXP(-LN(2)/35)*CK84+(1-EXP(-LN(2)/35))/(LN(2)/35)*CG85*CH85*VLOOKUP('Données projet'!$B$12,Paramètres!$A$1:$I$89,3,0)*0.475*44/12</f>
        <v>197.00817700894115</v>
      </c>
      <c r="CL85" s="21">
        <f>EXP(-LN(2)/25)*CL84+(1-EXP(-LN(2)/25))/(LN(2)/25)*Calculateur!CG85*Calculateur!CI85*VLOOKUP('Données projet'!$B$12,Paramètres!$A$1:$I$89,3,0)*0.475*44/12</f>
        <v>45.847946912733718</v>
      </c>
      <c r="CM85" s="21">
        <f>EXP(-LN(2)/2)*CM84+(1-EXP(-LN(2)/2))/(LN(2)/2)*CG85*CJ85*VLOOKUP('Données projet'!$B$12,Paramètres!$A$1:$I$89,3,0)*0.475*44/12</f>
        <v>50.13484547034497</v>
      </c>
      <c r="CN85" s="22">
        <f t="shared" si="66"/>
        <v>292.99096939201979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-6.5028871176764376E-14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149.8619613776458</v>
      </c>
      <c r="CZ85" s="59">
        <f t="shared" si="96"/>
        <v>108.55560257938146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128.58502593603811</v>
      </c>
      <c r="DG85" s="21">
        <f>EXP(-LN(2)/25)*DG84+(1-EXP(-LN(2)/25))/(LN(2)/25)*Calculateur!DB85*Calculateur!DD85*VLOOKUP('Données projet'!$B$13,Paramètres!$A$1:$I$89,3,0)*0.475*44/12</f>
        <v>29.579862255896636</v>
      </c>
      <c r="DH85" s="21">
        <f>EXP(-LN(2)/2)*DH84+(1-EXP(-LN(2)/2))/(LN(2)/2)*DB85*DE85*VLOOKUP('Données projet'!$B$13,Paramètres!$A$1:$I$89,3,0)*0.475*44/12</f>
        <v>17.07790277288186</v>
      </c>
      <c r="DI85" s="22">
        <f t="shared" si="69"/>
        <v>175.24279096481661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1">
        <f t="shared" si="86"/>
        <v>19.008809433660943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67">
        <f t="shared" si="56"/>
        <v>443.70606309695938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467.03705646400994</v>
      </c>
      <c r="T86" s="59">
        <f t="shared" si="88"/>
        <v>575.68119027684361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217.16196156833001</v>
      </c>
      <c r="AA86" s="21">
        <f>EXP(-LN(2)/25)*AA85+(1-EXP(-LN(2)/25))/(LN(2)/25)*Calculateur!V86*Calculateur!X86*VLOOKUP('Données projet'!$B$9,Paramètres!$A$1:$I$89,3,0)*0.475*44/12</f>
        <v>45.130845627991931</v>
      </c>
      <c r="AB86" s="21">
        <f>EXP(-LN(2)/2)*AB85+(1-EXP(-LN(2)/2))/(LN(2)/2)*V86*Y86*VLOOKUP('Données projet'!$B$9,Paramètres!$A$1:$I$89,3,0)*0.475*44/12</f>
        <v>0.12487264932967353</v>
      </c>
      <c r="AC86" s="22">
        <f t="shared" si="57"/>
        <v>262.41767984565166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3.6</v>
      </c>
      <c r="AI86" s="13">
        <f>IF('Données projet'!$A$62&gt;35,AI85+AH86-AQ85,IF(A86&lt;'Données projet'!$A$62,$AF$205^A86,IF(A86='Données projet'!$A$62,'Données projet'!$B$62,AI85+AH86-AQ85)))</f>
        <v>438.8</v>
      </c>
      <c r="AJ86" s="13">
        <f>AI86*VLOOKUP('Données projet'!$B$10,Paramètres!$A$1:$I$89,3,0)*VLOOKUP('Données projet'!$B$10,Paramètres!$A$1:$I$89,5,0)</f>
        <v>273.81119999999999</v>
      </c>
      <c r="AK86" s="13">
        <f t="shared" si="89"/>
        <v>65.657441103980915</v>
      </c>
      <c r="AL86" s="20">
        <f t="shared" si="58"/>
        <v>591.24121658943329</v>
      </c>
      <c r="AM86" s="59">
        <f t="shared" si="59"/>
        <v>884.57454992276666</v>
      </c>
      <c r="AN86" s="59">
        <f ca="1">AVERAGE(OFFSET($AM$3,0,0,'Données projet'!$E$10+1,1))-AVERAGE(OFFSET($H$3,0,0,'Données projet'!$E$10+1,1))</f>
        <v>252.44760109054914</v>
      </c>
      <c r="AO86" s="59">
        <f t="shared" si="90"/>
        <v>121.75506329394773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32.121142678018956</v>
      </c>
      <c r="AV86" s="21">
        <f>EXP(-LN(2)/25)*AV85+(1-EXP(-LN(2)/25))/(LN(2)/25)*Calculateur!AQ86*Calculateur!AS86*VLOOKUP('Données projet'!$B$10,Paramètres!$A$1:$I$89,3,0)*0.475*44/12</f>
        <v>7.0576415969360831</v>
      </c>
      <c r="AW86" s="21">
        <f>EXP(-LN(2)/2)*AW85+(1-EXP(-LN(2)/2))/(LN(2)/2)*AQ86*AT86*VLOOKUP('Données projet'!$B$10,Paramètres!$A$1:$I$89,3,0)*0.475*44/12</f>
        <v>0.29162092397422462</v>
      </c>
      <c r="AX86" s="21">
        <f t="shared" si="60"/>
        <v>39.470405198929257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-1.3596945791505279E-13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260.97162394079265</v>
      </c>
      <c r="BJ86" s="59">
        <f t="shared" si="92"/>
        <v>279.1836614199691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139.8864911205315</v>
      </c>
      <c r="BQ86" s="21">
        <f>EXP(-LN(2)/25)*BQ85+(1-EXP(-LN(2)/25))/(LN(2)/25)*Calculateur!BL86*Calculateur!BN86*VLOOKUP('Données projet'!$B$11,Paramètres!$A$1:$I$89,3,0)*0.475*44/12</f>
        <v>28.530398796103153</v>
      </c>
      <c r="BR86" s="21">
        <f>EXP(-LN(2)/2)*BR85+(1-EXP(-LN(2)/2))/(LN(2)/2)*BL86*BO86*VLOOKUP('Données projet'!$B$11,Paramètres!$A$1:$I$89,3,0)*0.475*44/12</f>
        <v>9.6698357525360434E-2</v>
      </c>
      <c r="BS86" s="22">
        <f t="shared" si="63"/>
        <v>168.51358827416001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264.70281355687837</v>
      </c>
      <c r="CE86" s="59">
        <f t="shared" si="94"/>
        <v>199.74194600786768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193.14496682091865</v>
      </c>
      <c r="CL86" s="21">
        <f>EXP(-LN(2)/25)*CL85+(1-EXP(-LN(2)/25))/(LN(2)/25)*Calculateur!CG86*Calculateur!CI86*VLOOKUP('Données projet'!$B$12,Paramètres!$A$1:$I$89,3,0)*0.475*44/12</f>
        <v>44.594232393366276</v>
      </c>
      <c r="CM86" s="21">
        <f>EXP(-LN(2)/2)*CM85+(1-EXP(-LN(2)/2))/(LN(2)/2)*CG86*CJ86*VLOOKUP('Données projet'!$B$12,Paramètres!$A$1:$I$89,3,0)*0.475*44/12</f>
        <v>35.450689205820595</v>
      </c>
      <c r="CN86" s="22">
        <f t="shared" si="66"/>
        <v>273.18988842010549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-6.5028871176764376E-14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149.8619613776458</v>
      </c>
      <c r="CZ86" s="59">
        <f t="shared" si="96"/>
        <v>108.55560257938146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126.06355200655399</v>
      </c>
      <c r="DG86" s="21">
        <f>EXP(-LN(2)/25)*DG85+(1-EXP(-LN(2)/25))/(LN(2)/25)*Calculateur!DB86*Calculateur!DD86*VLOOKUP('Données projet'!$B$13,Paramètres!$A$1:$I$89,3,0)*0.475*44/12</f>
        <v>28.770999366971793</v>
      </c>
      <c r="DH86" s="21">
        <f>EXP(-LN(2)/2)*DH85+(1-EXP(-LN(2)/2))/(LN(2)/2)*DB86*DE86*VLOOKUP('Données projet'!$B$13,Paramètres!$A$1:$I$89,3,0)*0.475*44/12</f>
        <v>12.075900859149307</v>
      </c>
      <c r="DI86" s="22">
        <f t="shared" si="69"/>
        <v>166.91045223267508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1">
        <f t="shared" si="86"/>
        <v>19.21103183030446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67">
        <f t="shared" si="56"/>
        <v>445.4711071044469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467.03705646400994</v>
      </c>
      <c r="T87" s="59">
        <f t="shared" si="88"/>
        <v>575.68119027684361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212.90354795769269</v>
      </c>
      <c r="AA87" s="21">
        <f>EXP(-LN(2)/25)*AA86+(1-EXP(-LN(2)/25))/(LN(2)/25)*Calculateur!V87*Calculateur!X87*VLOOKUP('Données projet'!$B$9,Paramètres!$A$1:$I$89,3,0)*0.475*44/12</f>
        <v>43.896740280966469</v>
      </c>
      <c r="AB87" s="21">
        <f>EXP(-LN(2)/2)*AB86+(1-EXP(-LN(2)/2))/(LN(2)/2)*V87*Y87*VLOOKUP('Données projet'!$B$9,Paramètres!$A$1:$I$89,3,0)*0.475*44/12</f>
        <v>8.8298297125741942E-2</v>
      </c>
      <c r="AC87" s="22">
        <f t="shared" si="57"/>
        <v>256.8885865357849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3.6</v>
      </c>
      <c r="AI87" s="13">
        <f>IF('Données projet'!$A$62&gt;35,AI86+AH87-AQ86,IF(A87&lt;'Données projet'!$A$62,$AF$205^A87,IF(A87='Données projet'!$A$62,'Données projet'!$B$62,AI86+AH87-AQ86)))</f>
        <v>442.40000000000003</v>
      </c>
      <c r="AJ87" s="13">
        <f>AI87*VLOOKUP('Données projet'!$B$10,Paramètres!$A$1:$I$89,3,0)*VLOOKUP('Données projet'!$B$10,Paramètres!$A$1:$I$89,5,0)</f>
        <v>276.05760000000004</v>
      </c>
      <c r="AK87" s="13">
        <f t="shared" si="89"/>
        <v>66.133180102831929</v>
      </c>
      <c r="AL87" s="20">
        <f t="shared" si="58"/>
        <v>595.98227534576563</v>
      </c>
      <c r="AM87" s="59">
        <f t="shared" si="59"/>
        <v>889.31560867909889</v>
      </c>
      <c r="AN87" s="59">
        <f ca="1">AVERAGE(OFFSET($AM$3,0,0,'Données projet'!$E$10+1,1))-AVERAGE(OFFSET($H$3,0,0,'Données projet'!$E$10+1,1))</f>
        <v>252.44760109054914</v>
      </c>
      <c r="AO87" s="59">
        <f t="shared" si="90"/>
        <v>121.75506329394773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31.491266662065492</v>
      </c>
      <c r="AV87" s="21">
        <f>EXP(-LN(2)/25)*AV86+(1-EXP(-LN(2)/25))/(LN(2)/25)*Calculateur!AQ87*Calculateur!AS87*VLOOKUP('Données projet'!$B$10,Paramètres!$A$1:$I$89,3,0)*0.475*44/12</f>
        <v>6.8646500163226252</v>
      </c>
      <c r="AW87" s="21">
        <f>EXP(-LN(2)/2)*AW86+(1-EXP(-LN(2)/2))/(LN(2)/2)*AQ87*AT87*VLOOKUP('Données projet'!$B$10,Paramètres!$A$1:$I$89,3,0)*0.475*44/12</f>
        <v>0.20620713287806086</v>
      </c>
      <c r="AX87" s="21">
        <f t="shared" si="60"/>
        <v>38.562123811266183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-1.3596945791505279E-13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260.97162394079265</v>
      </c>
      <c r="BJ87" s="59">
        <f t="shared" si="92"/>
        <v>279.1836614199691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137.14340235199259</v>
      </c>
      <c r="BQ87" s="21">
        <f>EXP(-LN(2)/25)*BQ86+(1-EXP(-LN(2)/25))/(LN(2)/25)*Calculateur!BL87*Calculateur!BN87*VLOOKUP('Données projet'!$B$11,Paramètres!$A$1:$I$89,3,0)*0.475*44/12</f>
        <v>27.750233540675247</v>
      </c>
      <c r="BR87" s="21">
        <f>EXP(-LN(2)/2)*BR86+(1-EXP(-LN(2)/2))/(LN(2)/2)*BL87*BO87*VLOOKUP('Données projet'!$B$11,Paramètres!$A$1:$I$89,3,0)*0.475*44/12</f>
        <v>6.8376064335783582E-2</v>
      </c>
      <c r="BS87" s="22">
        <f t="shared" si="63"/>
        <v>164.96201195700363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264.70281355687837</v>
      </c>
      <c r="CE87" s="59">
        <f t="shared" si="94"/>
        <v>199.74194600786768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189.35751182835776</v>
      </c>
      <c r="CL87" s="21">
        <f>EXP(-LN(2)/25)*CL86+(1-EXP(-LN(2)/25))/(LN(2)/25)*Calculateur!CG87*Calculateur!CI87*VLOOKUP('Données projet'!$B$12,Paramètres!$A$1:$I$89,3,0)*0.475*44/12</f>
        <v>43.374800763460918</v>
      </c>
      <c r="CM87" s="21">
        <f>EXP(-LN(2)/2)*CM86+(1-EXP(-LN(2)/2))/(LN(2)/2)*CG87*CJ87*VLOOKUP('Données projet'!$B$12,Paramètres!$A$1:$I$89,3,0)*0.475*44/12</f>
        <v>25.067422735172489</v>
      </c>
      <c r="CN87" s="22">
        <f t="shared" si="66"/>
        <v>257.79973532699114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-6.5028871176764376E-14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149.8619613776458</v>
      </c>
      <c r="CZ87" s="59">
        <f t="shared" si="96"/>
        <v>108.55560257938146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123.59152264287982</v>
      </c>
      <c r="DG87" s="21">
        <f>EXP(-LN(2)/25)*DG86+(1-EXP(-LN(2)/25))/(LN(2)/25)*Calculateur!DB87*Calculateur!DD87*VLOOKUP('Données projet'!$B$13,Paramètres!$A$1:$I$89,3,0)*0.475*44/12</f>
        <v>27.984254876280851</v>
      </c>
      <c r="DH87" s="21">
        <f>EXP(-LN(2)/2)*DH86+(1-EXP(-LN(2)/2))/(LN(2)/2)*DB87*DE87*VLOOKUP('Données projet'!$B$13,Paramètres!$A$1:$I$89,3,0)*0.475*44/12</f>
        <v>8.5389513864409317</v>
      </c>
      <c r="DI87" s="22">
        <f t="shared" si="69"/>
        <v>160.11472890560162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1">
        <f t="shared" si="86"/>
        <v>19.412974191553577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67">
        <f t="shared" si="56"/>
        <v>447.23566338362241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467.03705646400994</v>
      </c>
      <c r="T88" s="59">
        <f t="shared" si="88"/>
        <v>575.68119027684361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208.72863924058416</v>
      </c>
      <c r="AA88" s="21">
        <f>EXP(-LN(2)/25)*AA87+(1-EXP(-LN(2)/25))/(LN(2)/25)*Calculateur!V88*Calculateur!X88*VLOOKUP('Données projet'!$B$9,Paramètres!$A$1:$I$89,3,0)*0.475*44/12</f>
        <v>42.696381609554194</v>
      </c>
      <c r="AB88" s="21">
        <f>EXP(-LN(2)/2)*AB87+(1-EXP(-LN(2)/2))/(LN(2)/2)*V88*Y88*VLOOKUP('Données projet'!$B$9,Paramètres!$A$1:$I$89,3,0)*0.475*44/12</f>
        <v>6.243632466483677E-2</v>
      </c>
      <c r="AC88" s="22">
        <f t="shared" si="57"/>
        <v>251.48745717480321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446</v>
      </c>
      <c r="AG88" s="12">
        <f>VLOOKUP(A88,'Données projet'!$A$61:$I$81,9,0)</f>
        <v>3.6</v>
      </c>
      <c r="AH88" s="12">
        <f t="array" ref="AH88">INDEX(AG:AG,MIN(IF(ISNUMBER(AG88:AG284),ROW(AG88:AG284),"")))</f>
        <v>3.6</v>
      </c>
      <c r="AI88" s="13">
        <f>IF('Données projet'!$A$62&gt;35,AI87+AH88-AQ87,IF(A88&lt;'Données projet'!$A$62,$AF$205^A88,IF(A88='Données projet'!$A$62,'Données projet'!$B$62,AI87+AH88-AQ87)))</f>
        <v>446.00000000000006</v>
      </c>
      <c r="AJ88" s="13">
        <f>AI88*VLOOKUP('Données projet'!$B$10,Paramètres!$A$1:$I$89,3,0)*VLOOKUP('Données projet'!$B$10,Paramètres!$A$1:$I$89,5,0)</f>
        <v>278.30400000000003</v>
      </c>
      <c r="AK88" s="13">
        <f t="shared" si="89"/>
        <v>66.608468691166877</v>
      </c>
      <c r="AL88" s="20">
        <f t="shared" si="58"/>
        <v>600.72254963711566</v>
      </c>
      <c r="AM88" s="59">
        <f t="shared" si="59"/>
        <v>894.05588297044892</v>
      </c>
      <c r="AN88" s="59">
        <f ca="1">AVERAGE(OFFSET($AM$3,0,0,'Données projet'!$E$10+1,1))-AVERAGE(OFFSET($H$3,0,0,'Données projet'!$E$10+1,1))</f>
        <v>252.44760109054914</v>
      </c>
      <c r="AO88" s="59">
        <f t="shared" si="90"/>
        <v>121.75506329394773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6</v>
      </c>
      <c r="AR88" s="16">
        <f>IF(ISNA(VLOOKUP(A88,'Données projet'!$A$61:$I$81,5,0)),0%,VLOOKUP(A88,'Données projet'!$A$61:$I$81,5,0)*VLOOKUP('Données projet'!$B$10,Paramètres!$A$1:$I$89,7,0))</f>
        <v>0.42</v>
      </c>
      <c r="AS88" s="16">
        <f>IF(ISNA(VLOOKUP(A88,'Données projet'!$A$61:$I$81,6,0)),0%,VLOOKUP(A88,'Données projet'!$A$61:$I$81,6,0)*VLOOKUP('Données projet'!$B$10,Paramètres!$A$1:$I$89,7,0))</f>
        <v>0.10200000000000001</v>
      </c>
      <c r="AT88" s="16">
        <f>IF(ISNA(VLOOKUP(A88,'Données projet'!$A$61:$I$81,7,0)),0%,VLOOKUP(A88,'Données projet'!$A$61:$I$81,7,0))</f>
        <v>0.13</v>
      </c>
      <c r="AU88" s="21">
        <f>EXP(-LN(2)/35)*AU87+(1-EXP(-LN(2)/35))/(LN(2)/35)*AQ88*AR88*VLOOKUP('Données projet'!$B$10,Paramètres!$A$1:$I$89,3,0)*0.475*44/12</f>
        <v>32.959738205488009</v>
      </c>
      <c r="AV88" s="21">
        <f>EXP(-LN(2)/25)*AV87+(1-EXP(-LN(2)/25))/(LN(2)/25)*Calculateur!AQ88*Calculateur!AS88*VLOOKUP('Données projet'!$B$10,Paramètres!$A$1:$I$89,3,0)*0.475*44/12</f>
        <v>7.181540173912464</v>
      </c>
      <c r="AW88" s="21">
        <f>EXP(-LN(2)/2)*AW87+(1-EXP(-LN(2)/2))/(LN(2)/2)*AQ88*AT88*VLOOKUP('Données projet'!$B$10,Paramètres!$A$1:$I$89,3,0)*0.475*44/12</f>
        <v>0.69689056583919373</v>
      </c>
      <c r="AX88" s="21">
        <f t="shared" si="60"/>
        <v>40.838168945239666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-1.3596945791505279E-13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260.97162394079265</v>
      </c>
      <c r="BJ88" s="59">
        <f t="shared" si="92"/>
        <v>279.1836614199691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134.45410388108579</v>
      </c>
      <c r="BQ88" s="21">
        <f>EXP(-LN(2)/25)*BQ87+(1-EXP(-LN(2)/25))/(LN(2)/25)*Calculateur!BL88*Calculateur!BN88*VLOOKUP('Données projet'!$B$11,Paramètres!$A$1:$I$89,3,0)*0.475*44/12</f>
        <v>26.991401945184123</v>
      </c>
      <c r="BR88" s="21">
        <f>EXP(-LN(2)/2)*BR87+(1-EXP(-LN(2)/2))/(LN(2)/2)*BL88*BO88*VLOOKUP('Données projet'!$B$11,Paramètres!$A$1:$I$89,3,0)*0.475*44/12</f>
        <v>4.8349178762680217E-2</v>
      </c>
      <c r="BS88" s="22">
        <f t="shared" si="63"/>
        <v>161.4938550050326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264.70281355687837</v>
      </c>
      <c r="CE88" s="59">
        <f t="shared" si="94"/>
        <v>199.74194600786768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185.64432651808153</v>
      </c>
      <c r="CL88" s="21">
        <f>EXP(-LN(2)/25)*CL87+(1-EXP(-LN(2)/25))/(LN(2)/25)*Calculateur!CG88*Calculateur!CI88*VLOOKUP('Données projet'!$B$12,Paramètres!$A$1:$I$89,3,0)*0.475*44/12</f>
        <v>42.188714555602445</v>
      </c>
      <c r="CM88" s="21">
        <f>EXP(-LN(2)/2)*CM87+(1-EXP(-LN(2)/2))/(LN(2)/2)*CG88*CJ88*VLOOKUP('Données projet'!$B$12,Paramètres!$A$1:$I$89,3,0)*0.475*44/12</f>
        <v>17.725344602910301</v>
      </c>
      <c r="CN88" s="22">
        <f t="shared" si="66"/>
        <v>245.55838567659427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-6.5028871176764376E-14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149.8619613776458</v>
      </c>
      <c r="CZ88" s="59">
        <f t="shared" si="96"/>
        <v>108.55560257938146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121.16796826723827</v>
      </c>
      <c r="DG88" s="21">
        <f>EXP(-LN(2)/25)*DG87+(1-EXP(-LN(2)/25))/(LN(2)/25)*Calculateur!DB88*Calculateur!DD88*VLOOKUP('Données projet'!$B$13,Paramètres!$A$1:$I$89,3,0)*0.475*44/12</f>
        <v>27.219023955060944</v>
      </c>
      <c r="DH88" s="21">
        <f>EXP(-LN(2)/2)*DH87+(1-EXP(-LN(2)/2))/(LN(2)/2)*DB88*DE88*VLOOKUP('Données projet'!$B$13,Paramètres!$A$1:$I$89,3,0)*0.475*44/12</f>
        <v>6.0379504295746544</v>
      </c>
      <c r="DI88" s="22">
        <f t="shared" si="69"/>
        <v>154.42494265187386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1">
        <f t="shared" si="86"/>
        <v>19.614640193079403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67">
        <f t="shared" si="56"/>
        <v>448.9997383362799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467.03705646400994</v>
      </c>
      <c r="T89" s="59">
        <f t="shared" si="88"/>
        <v>575.68119027684361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204.63559793697524</v>
      </c>
      <c r="AA89" s="21">
        <f>EXP(-LN(2)/25)*AA88+(1-EXP(-LN(2)/25))/(LN(2)/25)*Calculateur!V89*Calculateur!X89*VLOOKUP('Données projet'!$B$9,Paramètres!$A$1:$I$89,3,0)*0.475*44/12</f>
        <v>41.528846809135807</v>
      </c>
      <c r="AB89" s="21">
        <f>EXP(-LN(2)/2)*AB88+(1-EXP(-LN(2)/2))/(LN(2)/2)*V89*Y89*VLOOKUP('Données projet'!$B$9,Paramètres!$A$1:$I$89,3,0)*0.475*44/12</f>
        <v>4.4149148562870978E-2</v>
      </c>
      <c r="AC89" s="22">
        <f t="shared" si="57"/>
        <v>246.20859389467392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3.2</v>
      </c>
      <c r="AI89" s="13">
        <f>IF('Données projet'!$A$62&gt;35,AI88+AH89-AQ88,IF(A89&lt;'Données projet'!$A$62,$AF$205^A89,IF(A89='Données projet'!$A$62,'Données projet'!$B$62,AI88+AH89-AQ88)))</f>
        <v>443.20000000000005</v>
      </c>
      <c r="AJ89" s="13">
        <f>AI89*VLOOKUP('Données projet'!$B$10,Paramètres!$A$1:$I$89,3,0)*VLOOKUP('Données projet'!$B$10,Paramètres!$A$1:$I$89,5,0)</f>
        <v>276.55680000000001</v>
      </c>
      <c r="AK89" s="13">
        <f t="shared" si="89"/>
        <v>66.238838569565814</v>
      </c>
      <c r="AL89" s="20">
        <f t="shared" si="58"/>
        <v>597.03573717532709</v>
      </c>
      <c r="AM89" s="59">
        <f t="shared" si="59"/>
        <v>890.36907050866034</v>
      </c>
      <c r="AN89" s="59">
        <f ca="1">AVERAGE(OFFSET($AM$3,0,0,'Données projet'!$E$10+1,1))-AVERAGE(OFFSET($H$3,0,0,'Données projet'!$E$10+1,1))</f>
        <v>252.44760109054914</v>
      </c>
      <c r="AO89" s="59">
        <f t="shared" si="90"/>
        <v>121.75506329394773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32.313417842733642</v>
      </c>
      <c r="AV89" s="21">
        <f>EXP(-LN(2)/25)*AV88+(1-EXP(-LN(2)/25))/(LN(2)/25)*Calculateur!AQ89*Calculateur!AS89*VLOOKUP('Données projet'!$B$10,Paramètres!$A$1:$I$89,3,0)*0.475*44/12</f>
        <v>6.9851605801960437</v>
      </c>
      <c r="AW89" s="21">
        <f>EXP(-LN(2)/2)*AW88+(1-EXP(-LN(2)/2))/(LN(2)/2)*AQ89*AT89*VLOOKUP('Données projet'!$B$10,Paramètres!$A$1:$I$89,3,0)*0.475*44/12</f>
        <v>0.49277604484982407</v>
      </c>
      <c r="AX89" s="21">
        <f t="shared" si="60"/>
        <v>39.791354467779513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-1.3596945791505279E-13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260.97162394079265</v>
      </c>
      <c r="BJ89" s="59">
        <f t="shared" si="92"/>
        <v>279.1836614199691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131.81754091288335</v>
      </c>
      <c r="BQ89" s="21">
        <f>EXP(-LN(2)/25)*BQ88+(1-EXP(-LN(2)/25))/(LN(2)/25)*Calculateur!BL89*Calculateur!BN89*VLOOKUP('Données projet'!$B$11,Paramètres!$A$1:$I$89,3,0)*0.475*44/12</f>
        <v>26.253320639576923</v>
      </c>
      <c r="BR89" s="21">
        <f>EXP(-LN(2)/2)*BR88+(1-EXP(-LN(2)/2))/(LN(2)/2)*BL89*BO89*VLOOKUP('Données projet'!$B$11,Paramètres!$A$1:$I$89,3,0)*0.475*44/12</f>
        <v>3.4188032167891791E-2</v>
      </c>
      <c r="BS89" s="22">
        <f t="shared" si="63"/>
        <v>158.10504958462815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264.70281355687837</v>
      </c>
      <c r="CE89" s="59">
        <f t="shared" si="94"/>
        <v>199.74194600786768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182.00395450692039</v>
      </c>
      <c r="CL89" s="21">
        <f>EXP(-LN(2)/25)*CL88+(1-EXP(-LN(2)/25))/(LN(2)/25)*Calculateur!CG89*Calculateur!CI89*VLOOKUP('Données projet'!$B$12,Paramètres!$A$1:$I$89,3,0)*0.475*44/12</f>
        <v>41.035061937471419</v>
      </c>
      <c r="CM89" s="21">
        <f>EXP(-LN(2)/2)*CM88+(1-EXP(-LN(2)/2))/(LN(2)/2)*CG89*CJ89*VLOOKUP('Données projet'!$B$12,Paramètres!$A$1:$I$89,3,0)*0.475*44/12</f>
        <v>12.533711367586246</v>
      </c>
      <c r="CN89" s="22">
        <f t="shared" si="66"/>
        <v>235.57272781197807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-6.5028871176764376E-14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149.8619613776458</v>
      </c>
      <c r="CZ89" s="59">
        <f t="shared" si="96"/>
        <v>108.55560257938146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118.79193831468083</v>
      </c>
      <c r="DG89" s="21">
        <f>EXP(-LN(2)/25)*DG88+(1-EXP(-LN(2)/25))/(LN(2)/25)*Calculateur!DB89*Calculateur!DD89*VLOOKUP('Données projet'!$B$13,Paramètres!$A$1:$I$89,3,0)*0.475*44/12</f>
        <v>26.474718313623544</v>
      </c>
      <c r="DH89" s="21">
        <f>EXP(-LN(2)/2)*DH88+(1-EXP(-LN(2)/2))/(LN(2)/2)*DB89*DE89*VLOOKUP('Données projet'!$B$13,Paramètres!$A$1:$I$89,3,0)*0.475*44/12</f>
        <v>4.2694756932204658</v>
      </c>
      <c r="DI89" s="22">
        <f t="shared" si="69"/>
        <v>149.53613232152486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1">
        <f t="shared" si="86"/>
        <v>19.816033420152426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67">
        <f t="shared" si="56"/>
        <v>450.76333820676541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467.03705646400994</v>
      </c>
      <c r="T90" s="59">
        <f t="shared" si="88"/>
        <v>575.68119027684361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200.6228186768214</v>
      </c>
      <c r="AA90" s="21">
        <f>EXP(-LN(2)/25)*AA89+(1-EXP(-LN(2)/25))/(LN(2)/25)*Calculateur!V90*Calculateur!X90*VLOOKUP('Données projet'!$B$9,Paramètres!$A$1:$I$89,3,0)*0.475*44/12</f>
        <v>40.393238309232849</v>
      </c>
      <c r="AB90" s="21">
        <f>EXP(-LN(2)/2)*AB89+(1-EXP(-LN(2)/2))/(LN(2)/2)*V90*Y90*VLOOKUP('Données projet'!$B$9,Paramètres!$A$1:$I$89,3,0)*0.475*44/12</f>
        <v>3.1218162332418389E-2</v>
      </c>
      <c r="AC90" s="22">
        <f t="shared" si="57"/>
        <v>241.04727514838666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3.2</v>
      </c>
      <c r="AI90" s="13">
        <f>IF('Données projet'!$A$62&gt;35,AI89+AH90-AQ89,IF(A90&lt;'Données projet'!$A$62,$AF$205^A90,IF(A90='Données projet'!$A$62,'Données projet'!$B$62,AI89+AH90-AQ89)))</f>
        <v>446.40000000000003</v>
      </c>
      <c r="AJ90" s="13">
        <f>AI90*VLOOKUP('Données projet'!$B$10,Paramètres!$A$1:$I$89,3,0)*VLOOKUP('Données projet'!$B$10,Paramètres!$A$1:$I$89,5,0)</f>
        <v>278.55360000000002</v>
      </c>
      <c r="AK90" s="13">
        <f t="shared" si="89"/>
        <v>66.661250908095155</v>
      </c>
      <c r="AL90" s="20">
        <f t="shared" si="58"/>
        <v>601.24919866493246</v>
      </c>
      <c r="AM90" s="59">
        <f t="shared" si="59"/>
        <v>894.58253199826572</v>
      </c>
      <c r="AN90" s="59">
        <f ca="1">AVERAGE(OFFSET($AM$3,0,0,'Données projet'!$E$10+1,1))-AVERAGE(OFFSET($H$3,0,0,'Données projet'!$E$10+1,1))</f>
        <v>252.44760109054914</v>
      </c>
      <c r="AO90" s="59">
        <f t="shared" si="90"/>
        <v>121.75506329394773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31.679771428076393</v>
      </c>
      <c r="AV90" s="21">
        <f>EXP(-LN(2)/25)*AV89+(1-EXP(-LN(2)/25))/(LN(2)/25)*Calculateur!AQ90*Calculateur!AS90*VLOOKUP('Données projet'!$B$10,Paramètres!$A$1:$I$89,3,0)*0.475*44/12</f>
        <v>6.7941509967969527</v>
      </c>
      <c r="AW90" s="21">
        <f>EXP(-LN(2)/2)*AW89+(1-EXP(-LN(2)/2))/(LN(2)/2)*AQ90*AT90*VLOOKUP('Données projet'!$B$10,Paramètres!$A$1:$I$89,3,0)*0.475*44/12</f>
        <v>0.34844528291959692</v>
      </c>
      <c r="AX90" s="21">
        <f t="shared" si="60"/>
        <v>38.822367707792942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-1.3596945791505279E-13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260.97162394079265</v>
      </c>
      <c r="BJ90" s="59">
        <f t="shared" si="92"/>
        <v>279.1836614199691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129.23267933634276</v>
      </c>
      <c r="BQ90" s="21">
        <f>EXP(-LN(2)/25)*BQ89+(1-EXP(-LN(2)/25))/(LN(2)/25)*Calculateur!BL90*Calculateur!BN90*VLOOKUP('Données projet'!$B$11,Paramètres!$A$1:$I$89,3,0)*0.475*44/12</f>
        <v>25.535422206085563</v>
      </c>
      <c r="BR90" s="21">
        <f>EXP(-LN(2)/2)*BR89+(1-EXP(-LN(2)/2))/(LN(2)/2)*BL90*BO90*VLOOKUP('Données projet'!$B$11,Paramètres!$A$1:$I$89,3,0)*0.475*44/12</f>
        <v>2.4174589381340109E-2</v>
      </c>
      <c r="BS90" s="22">
        <f t="shared" si="63"/>
        <v>154.79227613180967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264.70281355687837</v>
      </c>
      <c r="CE90" s="59">
        <f t="shared" si="94"/>
        <v>199.74194600786768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178.43496797049048</v>
      </c>
      <c r="CL90" s="21">
        <f>EXP(-LN(2)/25)*CL89+(1-EXP(-LN(2)/25))/(LN(2)/25)*Calculateur!CG90*Calculateur!CI90*VLOOKUP('Données projet'!$B$12,Paramètres!$A$1:$I$89,3,0)*0.475*44/12</f>
        <v>39.91295601085114</v>
      </c>
      <c r="CM90" s="21">
        <f>EXP(-LN(2)/2)*CM89+(1-EXP(-LN(2)/2))/(LN(2)/2)*CG90*CJ90*VLOOKUP('Données projet'!$B$12,Paramètres!$A$1:$I$89,3,0)*0.475*44/12</f>
        <v>8.8626723014551523</v>
      </c>
      <c r="CN90" s="22">
        <f t="shared" si="66"/>
        <v>227.21059628279676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-6.5028871176764376E-14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149.8619613776458</v>
      </c>
      <c r="CZ90" s="59">
        <f t="shared" si="96"/>
        <v>108.55560257938146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116.46250086025789</v>
      </c>
      <c r="DG90" s="21">
        <f>EXP(-LN(2)/25)*DG89+(1-EXP(-LN(2)/25))/(LN(2)/25)*Calculateur!DB90*Calculateur!DD90*VLOOKUP('Données projet'!$B$13,Paramètres!$A$1:$I$89,3,0)*0.475*44/12</f>
        <v>25.750765749092579</v>
      </c>
      <c r="DH90" s="21">
        <f>EXP(-LN(2)/2)*DH89+(1-EXP(-LN(2)/2))/(LN(2)/2)*DB90*DE90*VLOOKUP('Données projet'!$B$13,Paramètres!$A$1:$I$89,3,0)*0.475*44/12</f>
        <v>3.0189752147873272</v>
      </c>
      <c r="DI90" s="22">
        <f t="shared" si="69"/>
        <v>145.23224182413779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1">
        <f t="shared" si="86"/>
        <v>20.017157370878905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67">
        <f t="shared" si="56"/>
        <v>452.52646908761403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467.03705646400994</v>
      </c>
      <c r="T91" s="59">
        <f t="shared" si="88"/>
        <v>575.68119027684361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196.68872757040549</v>
      </c>
      <c r="AA91" s="21">
        <f>EXP(-LN(2)/25)*AA90+(1-EXP(-LN(2)/25))/(LN(2)/25)*Calculateur!V91*Calculateur!X91*VLOOKUP('Données projet'!$B$9,Paramètres!$A$1:$I$89,3,0)*0.475*44/12</f>
        <v>39.288683083478794</v>
      </c>
      <c r="AB91" s="21">
        <f>EXP(-LN(2)/2)*AB90+(1-EXP(-LN(2)/2))/(LN(2)/2)*V91*Y91*VLOOKUP('Données projet'!$B$9,Paramètres!$A$1:$I$89,3,0)*0.475*44/12</f>
        <v>2.2074574281435493E-2</v>
      </c>
      <c r="AC91" s="22">
        <f t="shared" si="57"/>
        <v>235.99948522816572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3.2</v>
      </c>
      <c r="AI91" s="13">
        <f>IF('Données projet'!$A$62&gt;35,AI90+AH91-AQ90,IF(A91&lt;'Données projet'!$A$62,$AF$205^A91,IF(A91='Données projet'!$A$62,'Données projet'!$B$62,AI90+AH91-AQ90)))</f>
        <v>449.6</v>
      </c>
      <c r="AJ91" s="13">
        <f>AI91*VLOOKUP('Données projet'!$B$10,Paramètres!$A$1:$I$89,3,0)*VLOOKUP('Données projet'!$B$10,Paramètres!$A$1:$I$89,5,0)</f>
        <v>280.55040000000002</v>
      </c>
      <c r="AK91" s="13">
        <f t="shared" si="89"/>
        <v>67.08331092595256</v>
      </c>
      <c r="AL91" s="20">
        <f t="shared" si="58"/>
        <v>605.4620465293674</v>
      </c>
      <c r="AM91" s="59">
        <f t="shared" si="59"/>
        <v>898.79537986270066</v>
      </c>
      <c r="AN91" s="59">
        <f ca="1">AVERAGE(OFFSET($AM$3,0,0,'Données projet'!$E$10+1,1))-AVERAGE(OFFSET($H$3,0,0,'Données projet'!$E$10+1,1))</f>
        <v>252.44760109054914</v>
      </c>
      <c r="AO91" s="59">
        <f t="shared" si="90"/>
        <v>121.75506329394773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31.058550433124424</v>
      </c>
      <c r="AV91" s="21">
        <f>EXP(-LN(2)/25)*AV90+(1-EXP(-LN(2)/25))/(LN(2)/25)*Calculateur!AQ91*Calculateur!AS91*VLOOKUP('Données projet'!$B$10,Paramètres!$A$1:$I$89,3,0)*0.475*44/12</f>
        <v>6.608364580500667</v>
      </c>
      <c r="AW91" s="21">
        <f>EXP(-LN(2)/2)*AW90+(1-EXP(-LN(2)/2))/(LN(2)/2)*AQ91*AT91*VLOOKUP('Données projet'!$B$10,Paramètres!$A$1:$I$89,3,0)*0.475*44/12</f>
        <v>0.24638802242491209</v>
      </c>
      <c r="AX91" s="21">
        <f t="shared" si="60"/>
        <v>37.913303036050003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-1.3596945791505279E-13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260.97162394079265</v>
      </c>
      <c r="BJ91" s="59">
        <f t="shared" si="92"/>
        <v>279.1836614199691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126.69850531870823</v>
      </c>
      <c r="BQ91" s="21">
        <f>EXP(-LN(2)/25)*BQ90+(1-EXP(-LN(2)/25))/(LN(2)/25)*Calculateur!BL91*Calculateur!BN91*VLOOKUP('Données projet'!$B$11,Paramètres!$A$1:$I$89,3,0)*0.475*44/12</f>
        <v>24.837154743010661</v>
      </c>
      <c r="BR91" s="21">
        <f>EXP(-LN(2)/2)*BR90+(1-EXP(-LN(2)/2))/(LN(2)/2)*BL91*BO91*VLOOKUP('Données projet'!$B$11,Paramètres!$A$1:$I$89,3,0)*0.475*44/12</f>
        <v>1.7094016083945895E-2</v>
      </c>
      <c r="BS91" s="22">
        <f t="shared" si="63"/>
        <v>151.55275407780283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264.70281355687837</v>
      </c>
      <c r="CE91" s="59">
        <f t="shared" si="94"/>
        <v>199.74194600786768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174.9359670831731</v>
      </c>
      <c r="CL91" s="21">
        <f>EXP(-LN(2)/25)*CL90+(1-EXP(-LN(2)/25))/(LN(2)/25)*Calculateur!CG91*Calculateur!CI91*VLOOKUP('Données projet'!$B$12,Paramètres!$A$1:$I$89,3,0)*0.475*44/12</f>
        <v>38.821534129803283</v>
      </c>
      <c r="CM91" s="21">
        <f>EXP(-LN(2)/2)*CM90+(1-EXP(-LN(2)/2))/(LN(2)/2)*CG91*CJ91*VLOOKUP('Données projet'!$B$12,Paramètres!$A$1:$I$89,3,0)*0.475*44/12</f>
        <v>6.266855683793124</v>
      </c>
      <c r="CN91" s="22">
        <f t="shared" si="66"/>
        <v>220.02435689676949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-6.5028871176764376E-14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149.8619613776458</v>
      </c>
      <c r="CZ91" s="59">
        <f t="shared" si="96"/>
        <v>108.55560257938146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114.17874225349962</v>
      </c>
      <c r="DG91" s="21">
        <f>EXP(-LN(2)/25)*DG90+(1-EXP(-LN(2)/25))/(LN(2)/25)*Calculateur!DB91*Calculateur!DD91*VLOOKUP('Données projet'!$B$13,Paramètres!$A$1:$I$89,3,0)*0.475*44/12</f>
        <v>25.046609705509727</v>
      </c>
      <c r="DH91" s="21">
        <f>EXP(-LN(2)/2)*DH90+(1-EXP(-LN(2)/2))/(LN(2)/2)*DB91*DE91*VLOOKUP('Données projet'!$B$13,Paramètres!$A$1:$I$89,3,0)*0.475*44/12</f>
        <v>2.1347378466102329</v>
      </c>
      <c r="DI91" s="22">
        <f t="shared" si="69"/>
        <v>141.36008980561957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1">
        <f t="shared" si="86"/>
        <v>20.218015459285905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67">
        <f t="shared" si="56"/>
        <v>454.2891369249229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467.03705646400994</v>
      </c>
      <c r="T92" s="59">
        <f t="shared" si="88"/>
        <v>575.68119027684361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192.83178159102778</v>
      </c>
      <c r="AA92" s="21">
        <f>EXP(-LN(2)/25)*AA91+(1-EXP(-LN(2)/25))/(LN(2)/25)*Calculateur!V92*Calculateur!X92*VLOOKUP('Données projet'!$B$9,Paramètres!$A$1:$I$89,3,0)*0.475*44/12</f>
        <v>38.214331978459022</v>
      </c>
      <c r="AB92" s="21">
        <f>EXP(-LN(2)/2)*AB91+(1-EXP(-LN(2)/2))/(LN(2)/2)*V92*Y92*VLOOKUP('Données projet'!$B$9,Paramètres!$A$1:$I$89,3,0)*0.475*44/12</f>
        <v>1.5609081166209198E-2</v>
      </c>
      <c r="AC92" s="22">
        <f t="shared" si="57"/>
        <v>231.06172265065302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3.2</v>
      </c>
      <c r="AI92" s="13">
        <f>IF('Données projet'!$A$62&gt;35,AI91+AH92-AQ91,IF(A92&lt;'Données projet'!$A$62,$AF$205^A92,IF(A92='Données projet'!$A$62,'Données projet'!$B$62,AI91+AH92-AQ91)))</f>
        <v>452.8</v>
      </c>
      <c r="AJ92" s="13">
        <f>AI92*VLOOKUP('Données projet'!$B$10,Paramètres!$A$1:$I$89,3,0)*VLOOKUP('Données projet'!$B$10,Paramètres!$A$1:$I$89,5,0)</f>
        <v>282.54719999999998</v>
      </c>
      <c r="AK92" s="13">
        <f t="shared" si="89"/>
        <v>67.505021421533598</v>
      </c>
      <c r="AL92" s="20">
        <f t="shared" si="58"/>
        <v>609.67428564250429</v>
      </c>
      <c r="AM92" s="59">
        <f t="shared" si="59"/>
        <v>903.00761897583766</v>
      </c>
      <c r="AN92" s="59">
        <f ca="1">AVERAGE(OFFSET($AM$3,0,0,'Données projet'!$E$10+1,1))-AVERAGE(OFFSET($H$3,0,0,'Données projet'!$E$10+1,1))</f>
        <v>252.44760109054914</v>
      </c>
      <c r="AO92" s="59">
        <f t="shared" si="90"/>
        <v>121.75506329394773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30.449511202976069</v>
      </c>
      <c r="AV92" s="21">
        <f>EXP(-LN(2)/25)*AV91+(1-EXP(-LN(2)/25))/(LN(2)/25)*Calculateur!AQ92*Calculateur!AS92*VLOOKUP('Données projet'!$B$10,Paramètres!$A$1:$I$89,3,0)*0.475*44/12</f>
        <v>6.4276585035280869</v>
      </c>
      <c r="AW92" s="21">
        <f>EXP(-LN(2)/2)*AW91+(1-EXP(-LN(2)/2))/(LN(2)/2)*AQ92*AT92*VLOOKUP('Données projet'!$B$10,Paramètres!$A$1:$I$89,3,0)*0.475*44/12</f>
        <v>0.17422264145979849</v>
      </c>
      <c r="AX92" s="21">
        <f t="shared" si="60"/>
        <v>37.051392347963954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-1.3596945791505279E-13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260.97162394079265</v>
      </c>
      <c r="BJ92" s="59">
        <f t="shared" si="92"/>
        <v>279.1836614199691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124.21402490786599</v>
      </c>
      <c r="BQ92" s="21">
        <f>EXP(-LN(2)/25)*BQ91+(1-EXP(-LN(2)/25))/(LN(2)/25)*Calculateur!BL92*Calculateur!BN92*VLOOKUP('Données projet'!$B$11,Paramètres!$A$1:$I$89,3,0)*0.475*44/12</f>
        <v>24.157981440433833</v>
      </c>
      <c r="BR92" s="21">
        <f>EXP(-LN(2)/2)*BR91+(1-EXP(-LN(2)/2))/(LN(2)/2)*BL92*BO92*VLOOKUP('Données projet'!$B$11,Paramètres!$A$1:$I$89,3,0)*0.475*44/12</f>
        <v>1.2087294690670054E-2</v>
      </c>
      <c r="BS92" s="22">
        <f t="shared" si="63"/>
        <v>148.38409364299051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264.70281355687837</v>
      </c>
      <c r="CE92" s="59">
        <f t="shared" si="94"/>
        <v>199.74194600786768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171.5055794690762</v>
      </c>
      <c r="CL92" s="21">
        <f>EXP(-LN(2)/25)*CL91+(1-EXP(-LN(2)/25))/(LN(2)/25)*Calculateur!CG92*Calculateur!CI92*VLOOKUP('Données projet'!$B$12,Paramètres!$A$1:$I$89,3,0)*0.475*44/12</f>
        <v>37.759957237488059</v>
      </c>
      <c r="CM92" s="21">
        <f>EXP(-LN(2)/2)*CM91+(1-EXP(-LN(2)/2))/(LN(2)/2)*CG92*CJ92*VLOOKUP('Données projet'!$B$12,Paramètres!$A$1:$I$89,3,0)*0.475*44/12</f>
        <v>4.4313361507275761</v>
      </c>
      <c r="CN92" s="22">
        <f t="shared" si="66"/>
        <v>213.69687285729185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-6.5028871176764376E-14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149.8619613776458</v>
      </c>
      <c r="CZ92" s="59">
        <f t="shared" si="96"/>
        <v>108.55560257938146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111.93976676006467</v>
      </c>
      <c r="DG92" s="21">
        <f>EXP(-LN(2)/25)*DG91+(1-EXP(-LN(2)/25))/(LN(2)/25)*Calculateur!DB92*Calculateur!DD92*VLOOKUP('Données projet'!$B$13,Paramètres!$A$1:$I$89,3,0)*0.475*44/12</f>
        <v>24.361708845968604</v>
      </c>
      <c r="DH92" s="21">
        <f>EXP(-LN(2)/2)*DH91+(1-EXP(-LN(2)/2))/(LN(2)/2)*DB92*DE92*VLOOKUP('Données projet'!$B$13,Paramètres!$A$1:$I$89,3,0)*0.475*44/12</f>
        <v>1.5094876073936636</v>
      </c>
      <c r="DI92" s="22">
        <f t="shared" si="69"/>
        <v>137.81096321342693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1">
        <f t="shared" si="86"/>
        <v>20.418611018263636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67">
        <f t="shared" si="56"/>
        <v>456.05134752347578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467.03705646400994</v>
      </c>
      <c r="T93" s="59">
        <f t="shared" si="88"/>
        <v>575.68119027684361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189.05046796980091</v>
      </c>
      <c r="AA93" s="21">
        <f>EXP(-LN(2)/25)*AA92+(1-EXP(-LN(2)/25))/(LN(2)/25)*Calculateur!V93*Calculateur!X93*VLOOKUP('Données projet'!$B$9,Paramètres!$A$1:$I$89,3,0)*0.475*44/12</f>
        <v>37.16935906090368</v>
      </c>
      <c r="AB93" s="21">
        <f>EXP(-LN(2)/2)*AB92+(1-EXP(-LN(2)/2))/(LN(2)/2)*V93*Y93*VLOOKUP('Données projet'!$B$9,Paramètres!$A$1:$I$89,3,0)*0.475*44/12</f>
        <v>1.1037287140717748E-2</v>
      </c>
      <c r="AC93" s="22">
        <f t="shared" si="57"/>
        <v>226.23086431784529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456</v>
      </c>
      <c r="AG93" s="12">
        <f>VLOOKUP(A93,'Données projet'!$A$61:$I$81,9,0)</f>
        <v>3.2</v>
      </c>
      <c r="AH93" s="12">
        <f t="array" ref="AH93">INDEX(AG:AG,MIN(IF(ISNUMBER(AG93:AG289),ROW(AG93:AG289),"")))</f>
        <v>3.2</v>
      </c>
      <c r="AI93" s="13">
        <f>IF('Données projet'!$A$62&gt;35,AI92+AH93-AQ92,IF(A93&lt;'Données projet'!$A$62,$AF$205^A93,IF(A93='Données projet'!$A$62,'Données projet'!$B$62,AI92+AH93-AQ92)))</f>
        <v>456</v>
      </c>
      <c r="AJ93" s="13">
        <f>AI93*VLOOKUP('Données projet'!$B$10,Paramètres!$A$1:$I$89,3,0)*VLOOKUP('Données projet'!$B$10,Paramètres!$A$1:$I$89,5,0)</f>
        <v>284.54399999999998</v>
      </c>
      <c r="AK93" s="13">
        <f t="shared" si="89"/>
        <v>67.926385151394797</v>
      </c>
      <c r="AL93" s="20">
        <f t="shared" si="58"/>
        <v>613.8859208053459</v>
      </c>
      <c r="AM93" s="59">
        <f t="shared" si="59"/>
        <v>907.21925413867916</v>
      </c>
      <c r="AN93" s="59">
        <f ca="1">AVERAGE(OFFSET($AM$3,0,0,'Données projet'!$E$10+1,1))-AVERAGE(OFFSET($H$3,0,0,'Données projet'!$E$10+1,1))</f>
        <v>252.44760109054914</v>
      </c>
      <c r="AO93" s="59">
        <f t="shared" si="90"/>
        <v>121.75506329394773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</v>
      </c>
      <c r="AR93" s="16">
        <f>IF(ISNA(VLOOKUP(A93,'Données projet'!$A$61:$I$81,5,0)),0%,VLOOKUP(A93,'Données projet'!$A$61:$I$81,5,0)*VLOOKUP('Données projet'!$B$10,Paramètres!$A$1:$I$89,7,0))</f>
        <v>0.42</v>
      </c>
      <c r="AS93" s="16">
        <f>IF(ISNA(VLOOKUP(A93,'Données projet'!$A$61:$I$81,6,0)),0%,VLOOKUP(A93,'Données projet'!$A$61:$I$81,6,0)*VLOOKUP('Données projet'!$B$10,Paramètres!$A$1:$I$89,7,0))</f>
        <v>0.10200000000000001</v>
      </c>
      <c r="AT93" s="16">
        <f>IF(ISNA(VLOOKUP(A93,'Données projet'!$A$61:$I$81,7,0)),0%,VLOOKUP(A93,'Données projet'!$A$61:$I$81,7,0))</f>
        <v>0.13</v>
      </c>
      <c r="AU93" s="21">
        <f>EXP(-LN(2)/35)*AU92+(1-EXP(-LN(2)/35))/(LN(2)/35)*AQ93*AR93*VLOOKUP('Données projet'!$B$10,Paramètres!$A$1:$I$89,3,0)*0.475*44/12</f>
        <v>31.590744923061649</v>
      </c>
      <c r="AV93" s="21">
        <f>EXP(-LN(2)/25)*AV92+(1-EXP(-LN(2)/25))/(LN(2)/25)*Calculateur!AQ93*Calculateur!AS93*VLOOKUP('Données projet'!$B$10,Paramètres!$A$1:$I$89,3,0)*0.475*44/12</f>
        <v>6.672397488135271</v>
      </c>
      <c r="AW93" s="21">
        <f>EXP(-LN(2)/2)*AW92+(1-EXP(-LN(2)/2))/(LN(2)/2)*AQ93*AT93*VLOOKUP('Données projet'!$B$10,Paramètres!$A$1:$I$89,3,0)*0.475*44/12</f>
        <v>0.58242743108919059</v>
      </c>
      <c r="AX93" s="21">
        <f t="shared" si="60"/>
        <v>38.845569842286118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-1.3596945791505279E-13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260.97162394079265</v>
      </c>
      <c r="BJ93" s="59">
        <f t="shared" si="92"/>
        <v>279.1836614199691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121.77826364249695</v>
      </c>
      <c r="BQ93" s="21">
        <f>EXP(-LN(2)/25)*BQ92+(1-EXP(-LN(2)/25))/(LN(2)/25)*Calculateur!BL93*Calculateur!BN93*VLOOKUP('Données projet'!$B$11,Paramètres!$A$1:$I$89,3,0)*0.475*44/12</f>
        <v>23.497380167532139</v>
      </c>
      <c r="BR93" s="21">
        <f>EXP(-LN(2)/2)*BR92+(1-EXP(-LN(2)/2))/(LN(2)/2)*BL93*BO93*VLOOKUP('Données projet'!$B$11,Paramètres!$A$1:$I$89,3,0)*0.475*44/12</f>
        <v>8.5470080419729477E-3</v>
      </c>
      <c r="BS93" s="22">
        <f t="shared" si="63"/>
        <v>145.28419081807107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264.70281355687837</v>
      </c>
      <c r="CE93" s="59">
        <f t="shared" si="94"/>
        <v>199.74194600786768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168.14245966376191</v>
      </c>
      <c r="CL93" s="21">
        <f>EXP(-LN(2)/25)*CL92+(1-EXP(-LN(2)/25))/(LN(2)/25)*Calculateur!CG93*Calculateur!CI93*VLOOKUP('Données projet'!$B$12,Paramètres!$A$1:$I$89,3,0)*0.475*44/12</f>
        <v>36.727409221119096</v>
      </c>
      <c r="CM93" s="21">
        <f>EXP(-LN(2)/2)*CM92+(1-EXP(-LN(2)/2))/(LN(2)/2)*CG93*CJ93*VLOOKUP('Données projet'!$B$12,Paramètres!$A$1:$I$89,3,0)*0.475*44/12</f>
        <v>3.133427841896562</v>
      </c>
      <c r="CN93" s="22">
        <f t="shared" si="66"/>
        <v>208.00329672677756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-6.5028871176764376E-14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149.8619613776458</v>
      </c>
      <c r="CZ93" s="59">
        <f t="shared" si="96"/>
        <v>108.55560257938146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109.74469621041578</v>
      </c>
      <c r="DG93" s="21">
        <f>EXP(-LN(2)/25)*DG92+(1-EXP(-LN(2)/25))/(LN(2)/25)*Calculateur!DB93*Calculateur!DD93*VLOOKUP('Données projet'!$B$13,Paramètres!$A$1:$I$89,3,0)*0.475*44/12</f>
        <v>23.695536636449003</v>
      </c>
      <c r="DH93" s="21">
        <f>EXP(-LN(2)/2)*DH92+(1-EXP(-LN(2)/2))/(LN(2)/2)*DB93*DE93*VLOOKUP('Données projet'!$B$13,Paramètres!$A$1:$I$89,3,0)*0.475*44/12</f>
        <v>1.0673689233051165</v>
      </c>
      <c r="DI93" s="22">
        <f t="shared" si="69"/>
        <v>134.50760177016988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1">
        <f t="shared" si="86"/>
        <v>20.618947302373449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67">
        <f t="shared" si="56"/>
        <v>457.81310655163367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467.03705646400994</v>
      </c>
      <c r="T94" s="59">
        <f t="shared" si="88"/>
        <v>575.68119027684361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185.34330360231272</v>
      </c>
      <c r="AA94" s="21">
        <f>EXP(-LN(2)/25)*AA93+(1-EXP(-LN(2)/25))/(LN(2)/25)*Calculateur!V94*Calculateur!X94*VLOOKUP('Données projet'!$B$9,Paramètres!$A$1:$I$89,3,0)*0.475*44/12</f>
        <v>36.152960982731628</v>
      </c>
      <c r="AB94" s="21">
        <f>EXP(-LN(2)/2)*AB93+(1-EXP(-LN(2)/2))/(LN(2)/2)*V94*Y94*VLOOKUP('Données projet'!$B$9,Paramètres!$A$1:$I$89,3,0)*0.475*44/12</f>
        <v>7.8045405831045998E-3</v>
      </c>
      <c r="AC94" s="22">
        <f t="shared" si="57"/>
        <v>221.50406912562744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2.4</v>
      </c>
      <c r="AI94" s="13">
        <f>IF('Données projet'!$A$62&gt;35,AI93+AH94-AQ93,IF(A94&lt;'Données projet'!$A$62,$AF$205^A94,IF(A94='Données projet'!$A$62,'Données projet'!$B$62,AI93+AH94-AQ93)))</f>
        <v>453.4</v>
      </c>
      <c r="AJ94" s="13">
        <f>AI94*VLOOKUP('Données projet'!$B$10,Paramètres!$A$1:$I$89,3,0)*VLOOKUP('Données projet'!$B$10,Paramètres!$A$1:$I$89,5,0)</f>
        <v>282.92159999999996</v>
      </c>
      <c r="AK94" s="13">
        <f t="shared" si="89"/>
        <v>67.584053452243865</v>
      </c>
      <c r="AL94" s="20">
        <f t="shared" si="58"/>
        <v>610.46401309599116</v>
      </c>
      <c r="AM94" s="59">
        <f t="shared" si="59"/>
        <v>903.79734642932453</v>
      </c>
      <c r="AN94" s="59">
        <f ca="1">AVERAGE(OFFSET($AM$3,0,0,'Données projet'!$E$10+1,1))-AVERAGE(OFFSET($H$3,0,0,'Données projet'!$E$10+1,1))</f>
        <v>252.44760109054914</v>
      </c>
      <c r="AO94" s="59">
        <f t="shared" si="90"/>
        <v>121.75506329394773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30.971269683572213</v>
      </c>
      <c r="AV94" s="21">
        <f>EXP(-LN(2)/25)*AV93+(1-EXP(-LN(2)/25))/(LN(2)/25)*Calculateur!AQ94*Calculateur!AS94*VLOOKUP('Données projet'!$B$10,Paramètres!$A$1:$I$89,3,0)*0.475*44/12</f>
        <v>6.4899404279360784</v>
      </c>
      <c r="AW94" s="21">
        <f>EXP(-LN(2)/2)*AW93+(1-EXP(-LN(2)/2))/(LN(2)/2)*AQ94*AT94*VLOOKUP('Données projet'!$B$10,Paramètres!$A$1:$I$89,3,0)*0.475*44/12</f>
        <v>0.41183838607222734</v>
      </c>
      <c r="AX94" s="21">
        <f t="shared" si="60"/>
        <v>37.87304849758052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-1.3596945791505279E-13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260.97162394079265</v>
      </c>
      <c r="BJ94" s="59">
        <f t="shared" si="92"/>
        <v>279.1836614199691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119.39026616987412</v>
      </c>
      <c r="BQ94" s="21">
        <f>EXP(-LN(2)/25)*BQ93+(1-EXP(-LN(2)/25))/(LN(2)/25)*Calculateur!BL94*Calculateur!BN94*VLOOKUP('Données projet'!$B$11,Paramètres!$A$1:$I$89,3,0)*0.475*44/12</f>
        <v>22.854843071177452</v>
      </c>
      <c r="BR94" s="21">
        <f>EXP(-LN(2)/2)*BR93+(1-EXP(-LN(2)/2))/(LN(2)/2)*BL94*BO94*VLOOKUP('Données projet'!$B$11,Paramètres!$A$1:$I$89,3,0)*0.475*44/12</f>
        <v>6.0436473453350271E-3</v>
      </c>
      <c r="BS94" s="22">
        <f t="shared" si="63"/>
        <v>142.25115288839692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264.70281355687837</v>
      </c>
      <c r="CE94" s="59">
        <f t="shared" si="94"/>
        <v>199.74194600786768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164.84528858652931</v>
      </c>
      <c r="CL94" s="21">
        <f>EXP(-LN(2)/25)*CL93+(1-EXP(-LN(2)/25))/(LN(2)/25)*Calculateur!CG94*Calculateur!CI94*VLOOKUP('Données projet'!$B$12,Paramètres!$A$1:$I$89,3,0)*0.475*44/12</f>
        <v>35.723096284557087</v>
      </c>
      <c r="CM94" s="21">
        <f>EXP(-LN(2)/2)*CM93+(1-EXP(-LN(2)/2))/(LN(2)/2)*CG94*CJ94*VLOOKUP('Données projet'!$B$12,Paramètres!$A$1:$I$89,3,0)*0.475*44/12</f>
        <v>2.2156680753637881</v>
      </c>
      <c r="CN94" s="22">
        <f t="shared" si="66"/>
        <v>202.78405294645017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-6.5028871176764376E-14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149.8619613776458</v>
      </c>
      <c r="CZ94" s="59">
        <f t="shared" si="96"/>
        <v>108.55560257938146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107.59266965538467</v>
      </c>
      <c r="DG94" s="21">
        <f>EXP(-LN(2)/25)*DG93+(1-EXP(-LN(2)/25))/(LN(2)/25)*Calculateur!DB94*Calculateur!DD94*VLOOKUP('Données projet'!$B$13,Paramètres!$A$1:$I$89,3,0)*0.475*44/12</f>
        <v>23.047580941031189</v>
      </c>
      <c r="DH94" s="21">
        <f>EXP(-LN(2)/2)*DH93+(1-EXP(-LN(2)/2))/(LN(2)/2)*DB94*DE94*VLOOKUP('Données projet'!$B$13,Paramètres!$A$1:$I$89,3,0)*0.475*44/12</f>
        <v>0.75474380369683181</v>
      </c>
      <c r="DI94" s="22">
        <f t="shared" si="69"/>
        <v>131.39499440011269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1">
        <f t="shared" si="86"/>
        <v>20.819027490528757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67">
        <f t="shared" si="56"/>
        <v>459.57441954600415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467.03705646400994</v>
      </c>
      <c r="T95" s="59">
        <f t="shared" si="88"/>
        <v>575.68119027684361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181.70883446692397</v>
      </c>
      <c r="AA95" s="21">
        <f>EXP(-LN(2)/25)*AA94+(1-EXP(-LN(2)/25))/(LN(2)/25)*Calculateur!V95*Calculateur!X95*VLOOKUP('Données projet'!$B$9,Paramètres!$A$1:$I$89,3,0)*0.475*44/12</f>
        <v>35.164356363457244</v>
      </c>
      <c r="AB95" s="21">
        <f>EXP(-LN(2)/2)*AB94+(1-EXP(-LN(2)/2))/(LN(2)/2)*V95*Y95*VLOOKUP('Données projet'!$B$9,Paramètres!$A$1:$I$89,3,0)*0.475*44/12</f>
        <v>5.5186435703588749E-3</v>
      </c>
      <c r="AC95" s="22">
        <f t="shared" si="57"/>
        <v>216.87870947395157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2.4</v>
      </c>
      <c r="AI95" s="13">
        <f>IF('Données projet'!$A$62&gt;35,AI94+AH95-AQ94,IF(A95&lt;'Données projet'!$A$62,$AF$205^A95,IF(A95='Données projet'!$A$62,'Données projet'!$B$62,AI94+AH95-AQ94)))</f>
        <v>455.79999999999995</v>
      </c>
      <c r="AJ95" s="13">
        <f>AI95*VLOOKUP('Données projet'!$B$10,Paramètres!$A$1:$I$89,3,0)*VLOOKUP('Données projet'!$B$10,Paramètres!$A$1:$I$89,5,0)</f>
        <v>284.41919999999999</v>
      </c>
      <c r="AK95" s="13">
        <f t="shared" si="89"/>
        <v>67.900060025845136</v>
      </c>
      <c r="AL95" s="20">
        <f t="shared" si="58"/>
        <v>613.62271121168021</v>
      </c>
      <c r="AM95" s="59">
        <f t="shared" si="59"/>
        <v>906.95604454501358</v>
      </c>
      <c r="AN95" s="59">
        <f ca="1">AVERAGE(OFFSET($AM$3,0,0,'Données projet'!$E$10+1,1))-AVERAGE(OFFSET($H$3,0,0,'Données projet'!$E$10+1,1))</f>
        <v>252.44760109054914</v>
      </c>
      <c r="AO95" s="59">
        <f t="shared" si="90"/>
        <v>121.75506329394773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30.363941975686576</v>
      </c>
      <c r="AV95" s="21">
        <f>EXP(-LN(2)/25)*AV94+(1-EXP(-LN(2)/25))/(LN(2)/25)*Calculateur!AQ95*Calculateur!AS95*VLOOKUP('Données projet'!$B$10,Paramètres!$A$1:$I$89,3,0)*0.475*44/12</f>
        <v>6.3124726656430319</v>
      </c>
      <c r="AW95" s="21">
        <f>EXP(-LN(2)/2)*AW94+(1-EXP(-LN(2)/2))/(LN(2)/2)*AQ95*AT95*VLOOKUP('Données projet'!$B$10,Paramètres!$A$1:$I$89,3,0)*0.475*44/12</f>
        <v>0.29121371554459535</v>
      </c>
      <c r="AX95" s="21">
        <f t="shared" si="60"/>
        <v>36.967628356874201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-1.3596945791505279E-13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260.97162394079265</v>
      </c>
      <c r="BJ95" s="59">
        <f t="shared" si="92"/>
        <v>279.1836614199691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117.04909587115479</v>
      </c>
      <c r="BQ95" s="21">
        <f>EXP(-LN(2)/25)*BQ94+(1-EXP(-LN(2)/25))/(LN(2)/25)*Calculateur!BL95*Calculateur!BN95*VLOOKUP('Données projet'!$B$11,Paramètres!$A$1:$I$89,3,0)*0.475*44/12</f>
        <v>22.229876185512143</v>
      </c>
      <c r="BR95" s="21">
        <f>EXP(-LN(2)/2)*BR94+(1-EXP(-LN(2)/2))/(LN(2)/2)*BL95*BO95*VLOOKUP('Données projet'!$B$11,Paramètres!$A$1:$I$89,3,0)*0.475*44/12</f>
        <v>4.2735040209864739E-3</v>
      </c>
      <c r="BS95" s="22">
        <f t="shared" si="63"/>
        <v>139.28324556068793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264.70281355687837</v>
      </c>
      <c r="CE95" s="59">
        <f t="shared" si="94"/>
        <v>199.74194600786768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161.61277302304543</v>
      </c>
      <c r="CL95" s="21">
        <f>EXP(-LN(2)/25)*CL94+(1-EXP(-LN(2)/25))/(LN(2)/25)*Calculateur!CG95*Calculateur!CI95*VLOOKUP('Données projet'!$B$12,Paramètres!$A$1:$I$89,3,0)*0.475*44/12</f>
        <v>34.746246338059883</v>
      </c>
      <c r="CM95" s="21">
        <f>EXP(-LN(2)/2)*CM94+(1-EXP(-LN(2)/2))/(LN(2)/2)*CG95*CJ95*VLOOKUP('Données projet'!$B$12,Paramètres!$A$1:$I$89,3,0)*0.475*44/12</f>
        <v>1.566713920948281</v>
      </c>
      <c r="CN95" s="22">
        <f t="shared" si="66"/>
        <v>197.92573328205359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-6.5028871176764376E-14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149.8619613776458</v>
      </c>
      <c r="CZ95" s="59">
        <f t="shared" si="96"/>
        <v>108.55560257938146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105.48284302849113</v>
      </c>
      <c r="DG95" s="21">
        <f>EXP(-LN(2)/25)*DG94+(1-EXP(-LN(2)/25))/(LN(2)/25)*Calculateur!DB95*Calculateur!DD95*VLOOKUP('Données projet'!$B$13,Paramètres!$A$1:$I$89,3,0)*0.475*44/12</f>
        <v>22.417343628179086</v>
      </c>
      <c r="DH95" s="21">
        <f>EXP(-LN(2)/2)*DH94+(1-EXP(-LN(2)/2))/(LN(2)/2)*DB95*DE95*VLOOKUP('Données projet'!$B$13,Paramètres!$A$1:$I$89,3,0)*0.475*44/12</f>
        <v>0.53368446165255823</v>
      </c>
      <c r="DI95" s="22">
        <f t="shared" si="69"/>
        <v>128.43387111832277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1">
        <f t="shared" si="86"/>
        <v>21.018854688556051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67">
        <f t="shared" si="56"/>
        <v>461.33529191590168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467.03705646400994</v>
      </c>
      <c r="T96" s="59">
        <f t="shared" si="88"/>
        <v>575.68119027684361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178.14563505447293</v>
      </c>
      <c r="AA96" s="21">
        <f>EXP(-LN(2)/25)*AA95+(1-EXP(-LN(2)/25))/(LN(2)/25)*Calculateur!V96*Calculateur!X96*VLOOKUP('Données projet'!$B$9,Paramètres!$A$1:$I$89,3,0)*0.475*44/12</f>
        <v>34.202785189485375</v>
      </c>
      <c r="AB96" s="21">
        <f>EXP(-LN(2)/2)*AB95+(1-EXP(-LN(2)/2))/(LN(2)/2)*V96*Y96*VLOOKUP('Données projet'!$B$9,Paramètres!$A$1:$I$89,3,0)*0.475*44/12</f>
        <v>3.9022702915523007E-3</v>
      </c>
      <c r="AC96" s="22">
        <f t="shared" si="57"/>
        <v>212.35232251424986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2.4</v>
      </c>
      <c r="AI96" s="13">
        <f>IF('Données projet'!$A$62&gt;35,AI95+AH96-AQ95,IF(A96&lt;'Données projet'!$A$62,$AF$205^A96,IF(A96='Données projet'!$A$62,'Données projet'!$B$62,AI95+AH96-AQ95)))</f>
        <v>458.19999999999993</v>
      </c>
      <c r="AJ96" s="13">
        <f>AI96*VLOOKUP('Données projet'!$B$10,Paramètres!$A$1:$I$89,3,0)*VLOOKUP('Données projet'!$B$10,Paramètres!$A$1:$I$89,5,0)</f>
        <v>285.91679999999997</v>
      </c>
      <c r="AK96" s="13">
        <f t="shared" si="89"/>
        <v>68.215872977287546</v>
      </c>
      <c r="AL96" s="20">
        <f t="shared" si="58"/>
        <v>616.78107210210896</v>
      </c>
      <c r="AM96" s="59">
        <f t="shared" si="59"/>
        <v>910.11440543544222</v>
      </c>
      <c r="AN96" s="59">
        <f ca="1">AVERAGE(OFFSET($AM$3,0,0,'Données projet'!$E$10+1,1))-AVERAGE(OFFSET($H$3,0,0,'Données projet'!$E$10+1,1))</f>
        <v>252.44760109054914</v>
      </c>
      <c r="AO96" s="59">
        <f t="shared" si="90"/>
        <v>121.75506329394773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29.768523593719252</v>
      </c>
      <c r="AV96" s="21">
        <f>EXP(-LN(2)/25)*AV95+(1-EXP(-LN(2)/25))/(LN(2)/25)*Calculateur!AQ96*Calculateur!AS96*VLOOKUP('Données projet'!$B$10,Paramètres!$A$1:$I$89,3,0)*0.475*44/12</f>
        <v>6.1398577686425133</v>
      </c>
      <c r="AW96" s="21">
        <f>EXP(-LN(2)/2)*AW95+(1-EXP(-LN(2)/2))/(LN(2)/2)*AQ96*AT96*VLOOKUP('Données projet'!$B$10,Paramètres!$A$1:$I$89,3,0)*0.475*44/12</f>
        <v>0.2059191930361137</v>
      </c>
      <c r="AX96" s="21">
        <f t="shared" si="60"/>
        <v>36.114300555397882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-1.3596945791505279E-13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260.97162394079265</v>
      </c>
      <c r="BJ96" s="59">
        <f t="shared" si="92"/>
        <v>279.1836614199691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114.75383449402047</v>
      </c>
      <c r="BQ96" s="21">
        <f>EXP(-LN(2)/25)*BQ95+(1-EXP(-LN(2)/25))/(LN(2)/25)*Calculateur!BL96*Calculateur!BN96*VLOOKUP('Données projet'!$B$11,Paramètres!$A$1:$I$89,3,0)*0.475*44/12</f>
        <v>21.621999052200934</v>
      </c>
      <c r="BR96" s="21">
        <f>EXP(-LN(2)/2)*BR95+(1-EXP(-LN(2)/2))/(LN(2)/2)*BL96*BO96*VLOOKUP('Données projet'!$B$11,Paramètres!$A$1:$I$89,3,0)*0.475*44/12</f>
        <v>3.0218236726675136E-3</v>
      </c>
      <c r="BS96" s="22">
        <f t="shared" si="63"/>
        <v>136.37885536989407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264.70281355687837</v>
      </c>
      <c r="CE96" s="59">
        <f t="shared" si="94"/>
        <v>199.74194600786768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158.44364511812168</v>
      </c>
      <c r="CL96" s="21">
        <f>EXP(-LN(2)/25)*CL95+(1-EXP(-LN(2)/25))/(LN(2)/25)*Calculateur!CG96*Calculateur!CI96*VLOOKUP('Données projet'!$B$12,Paramètres!$A$1:$I$89,3,0)*0.475*44/12</f>
        <v>33.796108404719952</v>
      </c>
      <c r="CM96" s="21">
        <f>EXP(-LN(2)/2)*CM95+(1-EXP(-LN(2)/2))/(LN(2)/2)*CG96*CJ96*VLOOKUP('Données projet'!$B$12,Paramètres!$A$1:$I$89,3,0)*0.475*44/12</f>
        <v>1.107834037681894</v>
      </c>
      <c r="CN96" s="22">
        <f t="shared" si="66"/>
        <v>193.34758756052352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-6.5028871176764376E-14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149.8619613776458</v>
      </c>
      <c r="CZ96" s="59">
        <f t="shared" si="96"/>
        <v>108.55560257938146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103.41438881488381</v>
      </c>
      <c r="DG96" s="21">
        <f>EXP(-LN(2)/25)*DG95+(1-EXP(-LN(2)/25))/(LN(2)/25)*Calculateur!DB96*Calculateur!DD96*VLOOKUP('Données projet'!$B$13,Paramètres!$A$1:$I$89,3,0)*0.475*44/12</f>
        <v>21.804340187789663</v>
      </c>
      <c r="DH96" s="21">
        <f>EXP(-LN(2)/2)*DH95+(1-EXP(-LN(2)/2))/(LN(2)/2)*DB96*DE96*VLOOKUP('Données projet'!$B$13,Paramètres!$A$1:$I$89,3,0)*0.475*44/12</f>
        <v>0.3773719018484159</v>
      </c>
      <c r="DI96" s="22">
        <f t="shared" si="69"/>
        <v>125.59610090452189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1">
        <f t="shared" si="86"/>
        <v>21.21843193164284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67">
        <f t="shared" si="56"/>
        <v>463.09572894761118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467.03705646400994</v>
      </c>
      <c r="T97" s="59">
        <f t="shared" si="88"/>
        <v>575.68119027684361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174.65230780916301</v>
      </c>
      <c r="AA97" s="21">
        <f>EXP(-LN(2)/25)*AA96+(1-EXP(-LN(2)/25))/(LN(2)/25)*Calculateur!V97*Calculateur!X97*VLOOKUP('Données projet'!$B$9,Paramètres!$A$1:$I$89,3,0)*0.475*44/12</f>
        <v>33.267508229832593</v>
      </c>
      <c r="AB97" s="21">
        <f>EXP(-LN(2)/2)*AB96+(1-EXP(-LN(2)/2))/(LN(2)/2)*V97*Y97*VLOOKUP('Données projet'!$B$9,Paramètres!$A$1:$I$89,3,0)*0.475*44/12</f>
        <v>2.7593217851794379E-3</v>
      </c>
      <c r="AC97" s="22">
        <f t="shared" si="57"/>
        <v>207.9225753607808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2.4</v>
      </c>
      <c r="AI97" s="13">
        <f>IF('Données projet'!$A$62&gt;35,AI96+AH97-AQ96,IF(A97&lt;'Données projet'!$A$62,$AF$205^A97,IF(A97='Données projet'!$A$62,'Données projet'!$B$62,AI96+AH97-AQ96)))</f>
        <v>460.59999999999991</v>
      </c>
      <c r="AJ97" s="13">
        <f>AI97*VLOOKUP('Données projet'!$B$10,Paramètres!$A$1:$I$89,3,0)*VLOOKUP('Données projet'!$B$10,Paramètres!$A$1:$I$89,5,0)</f>
        <v>287.41439999999994</v>
      </c>
      <c r="AK97" s="13">
        <f t="shared" si="89"/>
        <v>68.531493438456806</v>
      </c>
      <c r="AL97" s="20">
        <f t="shared" si="58"/>
        <v>619.93909773864561</v>
      </c>
      <c r="AM97" s="59">
        <f t="shared" si="59"/>
        <v>913.27243107197887</v>
      </c>
      <c r="AN97" s="59">
        <f ca="1">AVERAGE(OFFSET($AM$3,0,0,'Données projet'!$E$10+1,1))-AVERAGE(OFFSET($H$3,0,0,'Données projet'!$E$10+1,1))</f>
        <v>252.44760109054914</v>
      </c>
      <c r="AO97" s="59">
        <f t="shared" si="90"/>
        <v>121.75506329394773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29.184781003052954</v>
      </c>
      <c r="AV97" s="21">
        <f>EXP(-LN(2)/25)*AV96+(1-EXP(-LN(2)/25))/(LN(2)/25)*Calculateur!AQ97*Calculateur!AS97*VLOOKUP('Données projet'!$B$10,Paramètres!$A$1:$I$89,3,0)*0.475*44/12</f>
        <v>5.9719630350778967</v>
      </c>
      <c r="AW97" s="21">
        <f>EXP(-LN(2)/2)*AW96+(1-EXP(-LN(2)/2))/(LN(2)/2)*AQ97*AT97*VLOOKUP('Données projet'!$B$10,Paramètres!$A$1:$I$89,3,0)*0.475*44/12</f>
        <v>0.1456068577722977</v>
      </c>
      <c r="AX97" s="21">
        <f t="shared" si="60"/>
        <v>35.302350895903153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-1.3596945791505279E-13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260.97162394079265</v>
      </c>
      <c r="BJ97" s="59">
        <f t="shared" si="92"/>
        <v>279.1836614199691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112.50358179252054</v>
      </c>
      <c r="BQ97" s="21">
        <f>EXP(-LN(2)/25)*BQ96+(1-EXP(-LN(2)/25))/(LN(2)/25)*Calculateur!BL97*Calculateur!BN97*VLOOKUP('Données projet'!$B$11,Paramètres!$A$1:$I$89,3,0)*0.475*44/12</f>
        <v>21.030744351066986</v>
      </c>
      <c r="BR97" s="21">
        <f>EXP(-LN(2)/2)*BR96+(1-EXP(-LN(2)/2))/(LN(2)/2)*BL97*BO97*VLOOKUP('Données projet'!$B$11,Paramètres!$A$1:$I$89,3,0)*0.475*44/12</f>
        <v>2.1367520104932369E-3</v>
      </c>
      <c r="BS97" s="22">
        <f t="shared" si="63"/>
        <v>133.53646289559802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264.70281355687837</v>
      </c>
      <c r="CE97" s="59">
        <f t="shared" si="94"/>
        <v>199.74194600786768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155.33666187843633</v>
      </c>
      <c r="CL97" s="21">
        <f>EXP(-LN(2)/25)*CL96+(1-EXP(-LN(2)/25))/(LN(2)/25)*Calculateur!CG97*Calculateur!CI97*VLOOKUP('Données projet'!$B$12,Paramètres!$A$1:$I$89,3,0)*0.475*44/12</f>
        <v>32.871952043132787</v>
      </c>
      <c r="CM97" s="21">
        <f>EXP(-LN(2)/2)*CM96+(1-EXP(-LN(2)/2))/(LN(2)/2)*CG97*CJ97*VLOOKUP('Données projet'!$B$12,Paramètres!$A$1:$I$89,3,0)*0.475*44/12</f>
        <v>0.7833569604741405</v>
      </c>
      <c r="CN97" s="22">
        <f t="shared" si="66"/>
        <v>188.99197088204326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-6.5028871176764376E-14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149.8619613776458</v>
      </c>
      <c r="CZ97" s="59">
        <f t="shared" si="96"/>
        <v>108.55560257938146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101.38649572677282</v>
      </c>
      <c r="DG97" s="21">
        <f>EXP(-LN(2)/25)*DG96+(1-EXP(-LN(2)/25))/(LN(2)/25)*Calculateur!DB97*Calculateur!DD97*VLOOKUP('Données projet'!$B$13,Paramètres!$A$1:$I$89,3,0)*0.475*44/12</f>
        <v>21.20809935871414</v>
      </c>
      <c r="DH97" s="21">
        <f>EXP(-LN(2)/2)*DH96+(1-EXP(-LN(2)/2))/(LN(2)/2)*DB97*DE97*VLOOKUP('Données projet'!$B$13,Paramètres!$A$1:$I$89,3,0)*0.475*44/12</f>
        <v>0.26684223082627911</v>
      </c>
      <c r="DI97" s="22">
        <f t="shared" si="69"/>
        <v>122.86143731631324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1">
        <f t="shared" si="86"/>
        <v>21.417762186678065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67">
        <f t="shared" si="56"/>
        <v>464.8557358084642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467.03705646400994</v>
      </c>
      <c r="T98" s="59">
        <f t="shared" si="88"/>
        <v>575.68119027684361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171.22748258041437</v>
      </c>
      <c r="AA98" s="21">
        <f>EXP(-LN(2)/25)*AA97+(1-EXP(-LN(2)/25))/(LN(2)/25)*Calculateur!V98*Calculateur!X98*VLOOKUP('Données projet'!$B$9,Paramètres!$A$1:$I$89,3,0)*0.475*44/12</f>
        <v>32.357806467825597</v>
      </c>
      <c r="AB98" s="21">
        <f>EXP(-LN(2)/2)*AB97+(1-EXP(-LN(2)/2))/(LN(2)/2)*V98*Y98*VLOOKUP('Données projet'!$B$9,Paramètres!$A$1:$I$89,3,0)*0.475*44/12</f>
        <v>1.9511351457761506E-3</v>
      </c>
      <c r="AC98" s="22">
        <f t="shared" si="57"/>
        <v>203.58724018338577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463</v>
      </c>
      <c r="AG98" s="12">
        <f>VLOOKUP(A98,'Données projet'!$A$61:$I$81,9,0)</f>
        <v>2.4</v>
      </c>
      <c r="AH98" s="12">
        <f t="array" ref="AH98">INDEX(AG:AG,MIN(IF(ISNUMBER(AG98:AG294),ROW(AG98:AG294),"")))</f>
        <v>2.4</v>
      </c>
      <c r="AI98" s="13">
        <f>IF('Données projet'!$A$62&gt;35,AI97+AH98-AQ97,IF(A98&lt;'Données projet'!$A$62,$AF$205^A98,IF(A98='Données projet'!$A$62,'Données projet'!$B$62,AI97+AH98-AQ97)))</f>
        <v>462.99999999999989</v>
      </c>
      <c r="AJ98" s="13">
        <f>AI98*VLOOKUP('Données projet'!$B$10,Paramètres!$A$1:$I$89,3,0)*VLOOKUP('Données projet'!$B$10,Paramètres!$A$1:$I$89,5,0)</f>
        <v>288.91199999999992</v>
      </c>
      <c r="AK98" s="13">
        <f t="shared" si="89"/>
        <v>68.846922528760416</v>
      </c>
      <c r="AL98" s="20">
        <f t="shared" si="58"/>
        <v>623.09679007092416</v>
      </c>
      <c r="AM98" s="59">
        <f t="shared" si="59"/>
        <v>916.43012340425753</v>
      </c>
      <c r="AN98" s="59">
        <f ca="1">AVERAGE(OFFSET($AM$3,0,0,'Données projet'!$E$10+1,1))-AVERAGE(OFFSET($H$3,0,0,'Données projet'!$E$10+1,1))</f>
        <v>252.44760109054914</v>
      </c>
      <c r="AO98" s="59">
        <f t="shared" si="90"/>
        <v>121.75506329394773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4</v>
      </c>
      <c r="AR98" s="16">
        <f>IF(ISNA(VLOOKUP(A98,'Données projet'!$A$61:$I$81,5,0)),0%,VLOOKUP(A98,'Données projet'!$A$61:$I$81,5,0)*VLOOKUP('Données projet'!$B$10,Paramètres!$A$1:$I$89,7,0))</f>
        <v>0.42</v>
      </c>
      <c r="AS98" s="16">
        <f>IF(ISNA(VLOOKUP(A98,'Données projet'!$A$61:$I$81,6,0)),0%,VLOOKUP(A98,'Données projet'!$A$61:$I$81,6,0)*VLOOKUP('Données projet'!$B$10,Paramètres!$A$1:$I$89,7,0))</f>
        <v>0.10200000000000001</v>
      </c>
      <c r="AT98" s="16">
        <f>IF(ISNA(VLOOKUP(A98,'Données projet'!$A$61:$I$81,7,0)),0%,VLOOKUP(A98,'Données projet'!$A$61:$I$81,7,0))</f>
        <v>0.13</v>
      </c>
      <c r="AU98" s="21">
        <f>EXP(-LN(2)/35)*AU97+(1-EXP(-LN(2)/35))/(LN(2)/35)*AQ98*AR98*VLOOKUP('Données projet'!$B$10,Paramètres!$A$1:$I$89,3,0)*0.475*44/12</f>
        <v>30.003149298468177</v>
      </c>
      <c r="AV98" s="21">
        <f>EXP(-LN(2)/25)*AV97+(1-EXP(-LN(2)/25))/(LN(2)/25)*Calculateur!AQ98*Calculateur!AS98*VLOOKUP('Données projet'!$B$10,Paramètres!$A$1:$I$89,3,0)*0.475*44/12</f>
        <v>6.1450623073534283</v>
      </c>
      <c r="AW98" s="21">
        <f>EXP(-LN(2)/2)*AW97+(1-EXP(-LN(2)/2))/(LN(2)/2)*AQ98*AT98*VLOOKUP('Données projet'!$B$10,Paramètres!$A$1:$I$89,3,0)*0.475*44/12</f>
        <v>0.47034633241944451</v>
      </c>
      <c r="AX98" s="21">
        <f t="shared" si="60"/>
        <v>36.618557938241054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-1.3596945791505279E-13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260.97162394079265</v>
      </c>
      <c r="BJ98" s="59">
        <f t="shared" si="92"/>
        <v>279.1836614199691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110.29745517397839</v>
      </c>
      <c r="BQ98" s="21">
        <f>EXP(-LN(2)/25)*BQ97+(1-EXP(-LN(2)/25))/(LN(2)/25)*Calculateur!BL98*Calculateur!BN98*VLOOKUP('Données projet'!$B$11,Paramètres!$A$1:$I$89,3,0)*0.475*44/12</f>
        <v>20.45565754082828</v>
      </c>
      <c r="BR98" s="21">
        <f>EXP(-LN(2)/2)*BR97+(1-EXP(-LN(2)/2))/(LN(2)/2)*BL98*BO98*VLOOKUP('Données projet'!$B$11,Paramètres!$A$1:$I$89,3,0)*0.475*44/12</f>
        <v>1.5109118363337568E-3</v>
      </c>
      <c r="BS98" s="22">
        <f t="shared" si="63"/>
        <v>130.754623626643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264.70281355687837</v>
      </c>
      <c r="CE98" s="59">
        <f t="shared" si="94"/>
        <v>199.74194600786768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152.29060468500856</v>
      </c>
      <c r="CL98" s="21">
        <f>EXP(-LN(2)/25)*CL97+(1-EXP(-LN(2)/25))/(LN(2)/25)*Calculateur!CG98*Calculateur!CI98*VLOOKUP('Données projet'!$B$12,Paramètres!$A$1:$I$89,3,0)*0.475*44/12</f>
        <v>31.973066785852492</v>
      </c>
      <c r="CM98" s="21">
        <f>EXP(-LN(2)/2)*CM97+(1-EXP(-LN(2)/2))/(LN(2)/2)*CG98*CJ98*VLOOKUP('Données projet'!$B$12,Paramètres!$A$1:$I$89,3,0)*0.475*44/12</f>
        <v>0.55391701884094702</v>
      </c>
      <c r="CN98" s="22">
        <f t="shared" si="66"/>
        <v>184.81758848970199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-6.5028871176764376E-14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149.8619613776458</v>
      </c>
      <c r="CZ98" s="59">
        <f t="shared" si="96"/>
        <v>108.55560257938146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99.398368385227045</v>
      </c>
      <c r="DG98" s="21">
        <f>EXP(-LN(2)/25)*DG97+(1-EXP(-LN(2)/25))/(LN(2)/25)*Calculateur!DB98*Calculateur!DD98*VLOOKUP('Données projet'!$B$13,Paramètres!$A$1:$I$89,3,0)*0.475*44/12</f>
        <v>20.628162766464627</v>
      </c>
      <c r="DH98" s="21">
        <f>EXP(-LN(2)/2)*DH97+(1-EXP(-LN(2)/2))/(LN(2)/2)*DB98*DE98*VLOOKUP('Données projet'!$B$13,Paramètres!$A$1:$I$89,3,0)*0.475*44/12</f>
        <v>0.18868595092420795</v>
      </c>
      <c r="DI98" s="22">
        <f t="shared" si="69"/>
        <v>120.21521710261588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1">
        <f t="shared" si="86"/>
        <v>21.616848354491538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67">
        <f t="shared" si="56"/>
        <v>466.61531755073935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467.03705646400994</v>
      </c>
      <c r="T99" s="59">
        <f t="shared" si="88"/>
        <v>575.68119027684361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167.86981608546438</v>
      </c>
      <c r="AA99" s="21">
        <f>EXP(-LN(2)/25)*AA98+(1-EXP(-LN(2)/25))/(LN(2)/25)*Calculateur!V99*Calculateur!X99*VLOOKUP('Données projet'!$B$9,Paramètres!$A$1:$I$89,3,0)*0.475*44/12</f>
        <v>31.47298054833982</v>
      </c>
      <c r="AB99" s="21">
        <f>EXP(-LN(2)/2)*AB98+(1-EXP(-LN(2)/2))/(LN(2)/2)*V99*Y99*VLOOKUP('Données projet'!$B$9,Paramètres!$A$1:$I$89,3,0)*0.475*44/12</f>
        <v>1.3796608925897192E-3</v>
      </c>
      <c r="AC99" s="22">
        <f t="shared" si="57"/>
        <v>199.34417629469678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</v>
      </c>
      <c r="AI99" s="13">
        <f>IF('Données projet'!$A$62&gt;35,AI98+AH99-AQ98,IF(A99&lt;'Données projet'!$A$62,$AF$205^A99,IF(A99='Données projet'!$A$62,'Données projet'!$B$62,AI98+AH99-AQ98)))</f>
        <v>460.99999999999989</v>
      </c>
      <c r="AJ99" s="13">
        <f>AI99*VLOOKUP('Données projet'!$B$10,Paramètres!$A$1:$I$89,3,0)*VLOOKUP('Données projet'!$B$10,Paramètres!$A$1:$I$89,5,0)</f>
        <v>287.66399999999993</v>
      </c>
      <c r="AK99" s="13">
        <f t="shared" si="89"/>
        <v>68.584078213100597</v>
      </c>
      <c r="AL99" s="20">
        <f t="shared" si="58"/>
        <v>620.46540288781671</v>
      </c>
      <c r="AM99" s="59">
        <f t="shared" si="59"/>
        <v>913.79873622114997</v>
      </c>
      <c r="AN99" s="59">
        <f ca="1">AVERAGE(OFFSET($AM$3,0,0,'Données projet'!$E$10+1,1))-AVERAGE(OFFSET($H$3,0,0,'Données projet'!$E$10+1,1))</f>
        <v>252.44760109054914</v>
      </c>
      <c r="AO99" s="59">
        <f t="shared" si="90"/>
        <v>121.75506329394773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29.414805840839303</v>
      </c>
      <c r="AV99" s="21">
        <f>EXP(-LN(2)/25)*AV98+(1-EXP(-LN(2)/25))/(LN(2)/25)*Calculateur!AQ99*Calculateur!AS99*VLOOKUP('Données projet'!$B$10,Paramètres!$A$1:$I$89,3,0)*0.475*44/12</f>
        <v>5.977025255404067</v>
      </c>
      <c r="AW99" s="21">
        <f>EXP(-LN(2)/2)*AW98+(1-EXP(-LN(2)/2))/(LN(2)/2)*AQ99*AT99*VLOOKUP('Données projet'!$B$10,Paramètres!$A$1:$I$89,3,0)*0.475*44/12</f>
        <v>0.33258508116001134</v>
      </c>
      <c r="AX99" s="21">
        <f t="shared" si="60"/>
        <v>35.724416177403384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-1.3596945791505279E-13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260.97162394079265</v>
      </c>
      <c r="BJ99" s="59">
        <f t="shared" si="92"/>
        <v>279.1836614199691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108.13458935282149</v>
      </c>
      <c r="BQ99" s="21">
        <f>EXP(-LN(2)/25)*BQ98+(1-EXP(-LN(2)/25))/(LN(2)/25)*Calculateur!BL99*Calculateur!BN99*VLOOKUP('Données projet'!$B$11,Paramètres!$A$1:$I$89,3,0)*0.475*44/12</f>
        <v>19.896296509658054</v>
      </c>
      <c r="BR99" s="21">
        <f>EXP(-LN(2)/2)*BR98+(1-EXP(-LN(2)/2))/(LN(2)/2)*BL99*BO99*VLOOKUP('Données projet'!$B$11,Paramètres!$A$1:$I$89,3,0)*0.475*44/12</f>
        <v>1.0683760052466185E-3</v>
      </c>
      <c r="BS99" s="22">
        <f t="shared" si="63"/>
        <v>128.03195423848479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264.70281355687837</v>
      </c>
      <c r="CE99" s="59">
        <f t="shared" si="94"/>
        <v>199.74194600786768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149.30427881523246</v>
      </c>
      <c r="CL99" s="21">
        <f>EXP(-LN(2)/25)*CL98+(1-EXP(-LN(2)/25))/(LN(2)/25)*Calculateur!CG99*Calculateur!CI99*VLOOKUP('Données projet'!$B$12,Paramètres!$A$1:$I$89,3,0)*0.475*44/12</f>
        <v>31.098761593202848</v>
      </c>
      <c r="CM99" s="21">
        <f>EXP(-LN(2)/2)*CM98+(1-EXP(-LN(2)/2))/(LN(2)/2)*CG99*CJ99*VLOOKUP('Données projet'!$B$12,Paramètres!$A$1:$I$89,3,0)*0.475*44/12</f>
        <v>0.39167848023707025</v>
      </c>
      <c r="CN99" s="22">
        <f t="shared" si="66"/>
        <v>180.79471888867238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-6.5028871176764376E-14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149.8619613776458</v>
      </c>
      <c r="CZ99" s="59">
        <f t="shared" si="96"/>
        <v>108.55560257938146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97.449227008211039</v>
      </c>
      <c r="DG99" s="21">
        <f>EXP(-LN(2)/25)*DG98+(1-EXP(-LN(2)/25))/(LN(2)/25)*Calculateur!DB99*Calculateur!DD99*VLOOKUP('Données projet'!$B$13,Paramètres!$A$1:$I$89,3,0)*0.475*44/12</f>
        <v>20.064084570827717</v>
      </c>
      <c r="DH99" s="21">
        <f>EXP(-LN(2)/2)*DH98+(1-EXP(-LN(2)/2))/(LN(2)/2)*DB99*DE99*VLOOKUP('Données projet'!$B$13,Paramètres!$A$1:$I$89,3,0)*0.475*44/12</f>
        <v>0.13342111541313956</v>
      </c>
      <c r="DI99" s="22">
        <f t="shared" si="69"/>
        <v>117.6467326944519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1">
        <f t="shared" si="86"/>
        <v>21.815693271997169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67">
        <f t="shared" si="56"/>
        <v>468.37447911539493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467.03705646400994</v>
      </c>
      <c r="T100" s="59">
        <f t="shared" si="88"/>
        <v>575.68119027684361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164.57799138250601</v>
      </c>
      <c r="AA100" s="21">
        <f>EXP(-LN(2)/25)*AA99+(1-EXP(-LN(2)/25))/(LN(2)/25)*Calculateur!V100*Calculateur!X100*VLOOKUP('Données projet'!$B$9,Paramètres!$A$1:$I$89,3,0)*0.475*44/12</f>
        <v>30.612350240153354</v>
      </c>
      <c r="AB100" s="21">
        <f>EXP(-LN(2)/2)*AB99+(1-EXP(-LN(2)/2))/(LN(2)/2)*V100*Y100*VLOOKUP('Données projet'!$B$9,Paramètres!$A$1:$I$89,3,0)*0.475*44/12</f>
        <v>9.755675728880754E-4</v>
      </c>
      <c r="AC100" s="22">
        <f t="shared" si="57"/>
        <v>195.19131719023224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</v>
      </c>
      <c r="AI100" s="13">
        <f>IF('Données projet'!$A$62&gt;35,AI99+AH100-AQ99,IF(A100&lt;'Données projet'!$A$62,$AF$205^A100,IF(A100='Données projet'!$A$62,'Données projet'!$B$62,AI99+AH100-AQ99)))</f>
        <v>462.99999999999989</v>
      </c>
      <c r="AJ100" s="13">
        <f>AI100*VLOOKUP('Données projet'!$B$10,Paramètres!$A$1:$I$89,3,0)*VLOOKUP('Données projet'!$B$10,Paramètres!$A$1:$I$89,5,0)</f>
        <v>288.91199999999992</v>
      </c>
      <c r="AK100" s="13">
        <f t="shared" si="89"/>
        <v>68.846922528760416</v>
      </c>
      <c r="AL100" s="20">
        <f t="shared" si="58"/>
        <v>623.09679007092416</v>
      </c>
      <c r="AM100" s="59">
        <f t="shared" si="59"/>
        <v>916.43012340425753</v>
      </c>
      <c r="AN100" s="59">
        <f ca="1">AVERAGE(OFFSET($AM$3,0,0,'Données projet'!$E$10+1,1))-AVERAGE(OFFSET($H$3,0,0,'Données projet'!$E$10+1,1))</f>
        <v>252.44760109054914</v>
      </c>
      <c r="AO100" s="59">
        <f t="shared" si="90"/>
        <v>121.75506329394773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28.837999439560456</v>
      </c>
      <c r="AV100" s="21">
        <f>EXP(-LN(2)/25)*AV99+(1-EXP(-LN(2)/25))/(LN(2)/25)*Calculateur!AQ100*Calculateur!AS100*VLOOKUP('Données projet'!$B$10,Paramètres!$A$1:$I$89,3,0)*0.475*44/12</f>
        <v>5.8135831854769453</v>
      </c>
      <c r="AW100" s="21">
        <f>EXP(-LN(2)/2)*AW99+(1-EXP(-LN(2)/2))/(LN(2)/2)*AQ100*AT100*VLOOKUP('Données projet'!$B$10,Paramètres!$A$1:$I$89,3,0)*0.475*44/12</f>
        <v>0.23517316620972231</v>
      </c>
      <c r="AX100" s="21">
        <f t="shared" si="60"/>
        <v>34.886755791247118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-1.3596945791505279E-13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260.97162394079265</v>
      </c>
      <c r="BJ100" s="59">
        <f t="shared" si="92"/>
        <v>279.1836614199691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106.0141360111996</v>
      </c>
      <c r="BQ100" s="21">
        <f>EXP(-LN(2)/25)*BQ99+(1-EXP(-LN(2)/25))/(LN(2)/25)*Calculateur!BL100*Calculateur!BN100*VLOOKUP('Données projet'!$B$11,Paramètres!$A$1:$I$89,3,0)*0.475*44/12</f>
        <v>19.352231235300696</v>
      </c>
      <c r="BR100" s="21">
        <f>EXP(-LN(2)/2)*BR99+(1-EXP(-LN(2)/2))/(LN(2)/2)*BL100*BO100*VLOOKUP('Données projet'!$B$11,Paramètres!$A$1:$I$89,3,0)*0.475*44/12</f>
        <v>7.5545591816687839E-4</v>
      </c>
      <c r="BS100" s="22">
        <f t="shared" si="63"/>
        <v>125.36712270241846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264.70281355687837</v>
      </c>
      <c r="CE100" s="59">
        <f t="shared" si="94"/>
        <v>199.74194600786768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146.37651297428374</v>
      </c>
      <c r="CL100" s="21">
        <f>EXP(-LN(2)/25)*CL99+(1-EXP(-LN(2)/25))/(LN(2)/25)*Calculateur!CG100*Calculateur!CI100*VLOOKUP('Données projet'!$B$12,Paramètres!$A$1:$I$89,3,0)*0.475*44/12</f>
        <v>30.248364322023921</v>
      </c>
      <c r="CM100" s="21">
        <f>EXP(-LN(2)/2)*CM99+(1-EXP(-LN(2)/2))/(LN(2)/2)*CG100*CJ100*VLOOKUP('Données projet'!$B$12,Paramètres!$A$1:$I$89,3,0)*0.475*44/12</f>
        <v>0.27695850942047351</v>
      </c>
      <c r="CN100" s="22">
        <f t="shared" si="66"/>
        <v>176.90183580572813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-6.5028871176764376E-14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149.8619613776458</v>
      </c>
      <c r="CZ100" s="59">
        <f t="shared" si="96"/>
        <v>108.55560257938146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95.538307104739459</v>
      </c>
      <c r="DG100" s="21">
        <f>EXP(-LN(2)/25)*DG99+(1-EXP(-LN(2)/25))/(LN(2)/25)*Calculateur!DB100*Calculateur!DD100*VLOOKUP('Données projet'!$B$13,Paramètres!$A$1:$I$89,3,0)*0.475*44/12</f>
        <v>19.515431123114084</v>
      </c>
      <c r="DH100" s="21">
        <f>EXP(-LN(2)/2)*DH99+(1-EXP(-LN(2)/2))/(LN(2)/2)*DB100*DE100*VLOOKUP('Données projet'!$B$13,Paramètres!$A$1:$I$89,3,0)*0.475*44/12</f>
        <v>9.4342975462103976E-2</v>
      </c>
      <c r="DI100" s="22">
        <f t="shared" si="69"/>
        <v>115.14808120331564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1">
        <f t="shared" si="86"/>
        <v>22.014299714245336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67">
        <f t="shared" si="56"/>
        <v>470.13322533564389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467.03705646400994</v>
      </c>
      <c r="T101" s="59">
        <f t="shared" si="88"/>
        <v>575.68119027684361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161.35071735415784</v>
      </c>
      <c r="AA101" s="21">
        <f>EXP(-LN(2)/25)*AA100+(1-EXP(-LN(2)/25))/(LN(2)/25)*Calculateur!V101*Calculateur!X101*VLOOKUP('Données projet'!$B$9,Paramètres!$A$1:$I$89,3,0)*0.475*44/12</f>
        <v>29.775253913002828</v>
      </c>
      <c r="AB101" s="21">
        <f>EXP(-LN(2)/2)*AB100+(1-EXP(-LN(2)/2))/(LN(2)/2)*V101*Y101*VLOOKUP('Données projet'!$B$9,Paramètres!$A$1:$I$89,3,0)*0.475*44/12</f>
        <v>6.8983044629485968E-4</v>
      </c>
      <c r="AC101" s="22">
        <f t="shared" si="57"/>
        <v>191.12666109760696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</v>
      </c>
      <c r="AI101" s="13">
        <f>IF('Données projet'!$A$62&gt;35,AI100+AH101-AQ100,IF(A101&lt;'Données projet'!$A$62,$AF$205^A101,IF(A101='Données projet'!$A$62,'Données projet'!$B$62,AI100+AH101-AQ100)))</f>
        <v>464.99999999999989</v>
      </c>
      <c r="AJ101" s="13">
        <f>AI101*VLOOKUP('Données projet'!$B$10,Paramètres!$A$1:$I$89,3,0)*VLOOKUP('Données projet'!$B$10,Paramètres!$A$1:$I$89,5,0)</f>
        <v>290.15999999999991</v>
      </c>
      <c r="AK101" s="13">
        <f t="shared" si="89"/>
        <v>69.109634717039938</v>
      </c>
      <c r="AL101" s="20">
        <f t="shared" si="58"/>
        <v>625.72794713217775</v>
      </c>
      <c r="AM101" s="59">
        <f t="shared" si="59"/>
        <v>919.06128046551112</v>
      </c>
      <c r="AN101" s="59">
        <f ca="1">AVERAGE(OFFSET($AM$3,0,0,'Données projet'!$E$10+1,1))-AVERAGE(OFFSET($H$3,0,0,'Données projet'!$E$10+1,1))</f>
        <v>252.44760109054914</v>
      </c>
      <c r="AO101" s="59">
        <f t="shared" si="90"/>
        <v>121.75506329394773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28.27250385999352</v>
      </c>
      <c r="AV101" s="21">
        <f>EXP(-LN(2)/25)*AV100+(1-EXP(-LN(2)/25))/(LN(2)/25)*Calculateur!AQ101*Calculateur!AS101*VLOOKUP('Données projet'!$B$10,Paramètres!$A$1:$I$89,3,0)*0.475*44/12</f>
        <v>5.654610447547026</v>
      </c>
      <c r="AW101" s="21">
        <f>EXP(-LN(2)/2)*AW100+(1-EXP(-LN(2)/2))/(LN(2)/2)*AQ101*AT101*VLOOKUP('Données projet'!$B$10,Paramètres!$A$1:$I$89,3,0)*0.475*44/12</f>
        <v>0.1662925405800057</v>
      </c>
      <c r="AX101" s="21">
        <f t="shared" si="60"/>
        <v>34.093406848120551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-1.3596945791505279E-13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260.97162394079265</v>
      </c>
      <c r="BJ101" s="59">
        <f t="shared" si="92"/>
        <v>279.1836614199691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103.93526346625808</v>
      </c>
      <c r="BQ101" s="21">
        <f>EXP(-LN(2)/25)*BQ100+(1-EXP(-LN(2)/25))/(LN(2)/25)*Calculateur!BL101*Calculateur!BN101*VLOOKUP('Données projet'!$B$11,Paramètres!$A$1:$I$89,3,0)*0.475*44/12</f>
        <v>18.823043454481788</v>
      </c>
      <c r="BR101" s="21">
        <f>EXP(-LN(2)/2)*BR100+(1-EXP(-LN(2)/2))/(LN(2)/2)*BL101*BO101*VLOOKUP('Données projet'!$B$11,Paramètres!$A$1:$I$89,3,0)*0.475*44/12</f>
        <v>5.3418800262330923E-4</v>
      </c>
      <c r="BS101" s="22">
        <f t="shared" si="63"/>
        <v>122.75884110874249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264.70281355687837</v>
      </c>
      <c r="CE101" s="59">
        <f t="shared" si="94"/>
        <v>199.74194600786768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143.50615883571521</v>
      </c>
      <c r="CL101" s="21">
        <f>EXP(-LN(2)/25)*CL100+(1-EXP(-LN(2)/25))/(LN(2)/25)*Calculateur!CG101*Calculateur!CI101*VLOOKUP('Données projet'!$B$12,Paramètres!$A$1:$I$89,3,0)*0.475*44/12</f>
        <v>29.42122120894583</v>
      </c>
      <c r="CM101" s="21">
        <f>EXP(-LN(2)/2)*CM100+(1-EXP(-LN(2)/2))/(LN(2)/2)*CG101*CJ101*VLOOKUP('Données projet'!$B$12,Paramètres!$A$1:$I$89,3,0)*0.475*44/12</f>
        <v>0.19583924011853512</v>
      </c>
      <c r="CN101" s="22">
        <f t="shared" si="66"/>
        <v>173.12321928477959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-6.5028871176764376E-14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149.8619613776458</v>
      </c>
      <c r="CZ101" s="59">
        <f t="shared" si="96"/>
        <v>108.55560257938146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93.664859175028909</v>
      </c>
      <c r="DG101" s="21">
        <f>EXP(-LN(2)/25)*DG100+(1-EXP(-LN(2)/25))/(LN(2)/25)*Calculateur!DB101*Calculateur!DD101*VLOOKUP('Données projet'!$B$13,Paramètres!$A$1:$I$89,3,0)*0.475*44/12</f>
        <v>18.981780632780609</v>
      </c>
      <c r="DH101" s="21">
        <f>EXP(-LN(2)/2)*DH100+(1-EXP(-LN(2)/2))/(LN(2)/2)*DB101*DE101*VLOOKUP('Données projet'!$B$13,Paramètres!$A$1:$I$89,3,0)*0.475*44/12</f>
        <v>6.6710557706569779E-2</v>
      </c>
      <c r="DI101" s="22">
        <f t="shared" si="69"/>
        <v>112.71335036551609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1">
        <f t="shared" si="86"/>
        <v>22.212670396389218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67">
        <f t="shared" si="56"/>
        <v>471.89156094037781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467.03705646400994</v>
      </c>
      <c r="T102" s="59">
        <f t="shared" si="88"/>
        <v>575.68119027684361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158.18672820106278</v>
      </c>
      <c r="AA102" s="21">
        <f>EXP(-LN(2)/25)*AA101+(1-EXP(-LN(2)/25))/(LN(2)/25)*Calculateur!V102*Calculateur!X102*VLOOKUP('Données projet'!$B$9,Paramètres!$A$1:$I$89,3,0)*0.475*44/12</f>
        <v>28.961048028939214</v>
      </c>
      <c r="AB102" s="21">
        <f>EXP(-LN(2)/2)*AB101+(1-EXP(-LN(2)/2))/(LN(2)/2)*V102*Y102*VLOOKUP('Données projet'!$B$9,Paramètres!$A$1:$I$89,3,0)*0.475*44/12</f>
        <v>4.8778378644403781E-4</v>
      </c>
      <c r="AC102" s="22">
        <f t="shared" si="57"/>
        <v>187.14826401378843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</v>
      </c>
      <c r="AI102" s="13">
        <f>IF('Données projet'!$A$62&gt;35,AI101+AH102-AQ101,IF(A102&lt;'Données projet'!$A$62,$AF$205^A102,IF(A102='Données projet'!$A$62,'Données projet'!$B$62,AI101+AH102-AQ101)))</f>
        <v>466.99999999999989</v>
      </c>
      <c r="AJ102" s="13">
        <f>AI102*VLOOKUP('Données projet'!$B$10,Paramètres!$A$1:$I$89,3,0)*VLOOKUP('Données projet'!$B$10,Paramètres!$A$1:$I$89,5,0)</f>
        <v>291.40799999999996</v>
      </c>
      <c r="AK102" s="13">
        <f t="shared" si="89"/>
        <v>69.372215412222957</v>
      </c>
      <c r="AL102" s="20">
        <f t="shared" si="58"/>
        <v>628.35887517628817</v>
      </c>
      <c r="AM102" s="59">
        <f t="shared" si="59"/>
        <v>921.69220850962142</v>
      </c>
      <c r="AN102" s="59">
        <f ca="1">AVERAGE(OFFSET($AM$3,0,0,'Données projet'!$E$10+1,1))-AVERAGE(OFFSET($H$3,0,0,'Données projet'!$E$10+1,1))</f>
        <v>252.44760109054914</v>
      </c>
      <c r="AO102" s="59">
        <f t="shared" si="90"/>
        <v>121.75506329394773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27.718097303823647</v>
      </c>
      <c r="AV102" s="21">
        <f>EXP(-LN(2)/25)*AV101+(1-EXP(-LN(2)/25))/(LN(2)/25)*Calculateur!AQ102*Calculateur!AS102*VLOOKUP('Données projet'!$B$10,Paramètres!$A$1:$I$89,3,0)*0.475*44/12</f>
        <v>5.4999848274958127</v>
      </c>
      <c r="AW102" s="21">
        <f>EXP(-LN(2)/2)*AW101+(1-EXP(-LN(2)/2))/(LN(2)/2)*AQ102*AT102*VLOOKUP('Données projet'!$B$10,Paramètres!$A$1:$I$89,3,0)*0.475*44/12</f>
        <v>0.11758658310486117</v>
      </c>
      <c r="AX102" s="21">
        <f t="shared" si="60"/>
        <v>33.335668714424322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-1.3596945791505279E-13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260.97162394079265</v>
      </c>
      <c r="BJ102" s="59">
        <f t="shared" si="92"/>
        <v>279.1836614199691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101.89715634393581</v>
      </c>
      <c r="BQ102" s="21">
        <f>EXP(-LN(2)/25)*BQ101+(1-EXP(-LN(2)/25))/(LN(2)/25)*Calculateur!BL102*Calculateur!BN102*VLOOKUP('Données projet'!$B$11,Paramètres!$A$1:$I$89,3,0)*0.475*44/12</f>
        <v>18.30832634135815</v>
      </c>
      <c r="BR102" s="21">
        <f>EXP(-LN(2)/2)*BR101+(1-EXP(-LN(2)/2))/(LN(2)/2)*BL102*BO102*VLOOKUP('Données projet'!$B$11,Paramètres!$A$1:$I$89,3,0)*0.475*44/12</f>
        <v>3.777279590834392E-4</v>
      </c>
      <c r="BS102" s="22">
        <f t="shared" si="63"/>
        <v>120.20586041325303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264.70281355687837</v>
      </c>
      <c r="CE102" s="59">
        <f t="shared" si="94"/>
        <v>199.74194600786768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140.69209059106083</v>
      </c>
      <c r="CL102" s="21">
        <f>EXP(-LN(2)/25)*CL101+(1-EXP(-LN(2)/25))/(LN(2)/25)*Calculateur!CG102*Calculateur!CI102*VLOOKUP('Données projet'!$B$12,Paramètres!$A$1:$I$89,3,0)*0.475*44/12</f>
        <v>28.616696367792425</v>
      </c>
      <c r="CM102" s="21">
        <f>EXP(-LN(2)/2)*CM101+(1-EXP(-LN(2)/2))/(LN(2)/2)*CG102*CJ102*VLOOKUP('Données projet'!$B$12,Paramètres!$A$1:$I$89,3,0)*0.475*44/12</f>
        <v>0.13847925471023675</v>
      </c>
      <c r="CN102" s="22">
        <f t="shared" si="66"/>
        <v>169.44726621356349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-6.5028871176764376E-14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149.8619613776458</v>
      </c>
      <c r="CZ102" s="59">
        <f t="shared" si="96"/>
        <v>108.55560257938146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91.828148416529572</v>
      </c>
      <c r="DG102" s="21">
        <f>EXP(-LN(2)/25)*DG101+(1-EXP(-LN(2)/25))/(LN(2)/25)*Calculateur!DB102*Calculateur!DD102*VLOOKUP('Données projet'!$B$13,Paramètres!$A$1:$I$89,3,0)*0.475*44/12</f>
        <v>18.462722843168763</v>
      </c>
      <c r="DH102" s="21">
        <f>EXP(-LN(2)/2)*DH101+(1-EXP(-LN(2)/2))/(LN(2)/2)*DB102*DE102*VLOOKUP('Données projet'!$B$13,Paramètres!$A$1:$I$89,3,0)*0.475*44/12</f>
        <v>4.7171487731051988E-2</v>
      </c>
      <c r="DI102" s="22">
        <f t="shared" si="69"/>
        <v>110.33804274742938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1">
        <f t="shared" si="86"/>
        <v>22.410807975569163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67">
        <f t="shared" si="56"/>
        <v>473.64949055744955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467.03705646400994</v>
      </c>
      <c r="T103" s="59">
        <f t="shared" si="88"/>
        <v>575.68119027684361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155.08478294541709</v>
      </c>
      <c r="AA103" s="21">
        <f>EXP(-LN(2)/25)*AA102+(1-EXP(-LN(2)/25))/(LN(2)/25)*Calculateur!V103*Calculateur!X103*VLOOKUP('Données projet'!$B$9,Paramètres!$A$1:$I$89,3,0)*0.475*44/12</f>
        <v>28.169106647592546</v>
      </c>
      <c r="AB103" s="21">
        <f>EXP(-LN(2)/2)*AB102+(1-EXP(-LN(2)/2))/(LN(2)/2)*V103*Y103*VLOOKUP('Données projet'!$B$9,Paramètres!$A$1:$I$89,3,0)*0.475*44/12</f>
        <v>3.449152231474299E-4</v>
      </c>
      <c r="AC103" s="22">
        <f t="shared" si="57"/>
        <v>183.25423450823277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469</v>
      </c>
      <c r="AG103" s="12">
        <f>VLOOKUP(A103,'Données projet'!$A$61:$I$81,9,0)</f>
        <v>2</v>
      </c>
      <c r="AH103" s="12">
        <f t="array" ref="AH103">INDEX(AG:AG,MIN(IF(ISNUMBER(AG103:AG299),ROW(AG103:AG299),"")))</f>
        <v>2</v>
      </c>
      <c r="AI103" s="13">
        <f>IF('Données projet'!$A$62&gt;35,AI102+AH103-AQ102,IF(A103&lt;'Données projet'!$A$62,$AF$205^A103,IF(A103='Données projet'!$A$62,'Données projet'!$B$62,AI102+AH103-AQ102)))</f>
        <v>468.99999999999989</v>
      </c>
      <c r="AJ103" s="13">
        <f>AI103*VLOOKUP('Données projet'!$B$10,Paramètres!$A$1:$I$89,3,0)*VLOOKUP('Données projet'!$B$10,Paramètres!$A$1:$I$89,5,0)</f>
        <v>292.65599999999995</v>
      </c>
      <c r="AK103" s="13">
        <f t="shared" si="89"/>
        <v>69.634665242845699</v>
      </c>
      <c r="AL103" s="20">
        <f t="shared" si="58"/>
        <v>630.98957529795609</v>
      </c>
      <c r="AM103" s="59">
        <f t="shared" si="59"/>
        <v>924.32290863128947</v>
      </c>
      <c r="AN103" s="59">
        <f ca="1">AVERAGE(OFFSET($AM$3,0,0,'Données projet'!$E$10+1,1))-AVERAGE(OFFSET($H$3,0,0,'Données projet'!$E$10+1,1))</f>
        <v>252.44760109054914</v>
      </c>
      <c r="AO103" s="59">
        <f t="shared" si="90"/>
        <v>121.75506329394773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469</v>
      </c>
      <c r="AR103" s="16">
        <f>IF(ISNA(VLOOKUP(A103,'Données projet'!$A$61:$I$81,5,0)),0%,VLOOKUP(A103,'Données projet'!$A$61:$I$81,5,0)*VLOOKUP('Données projet'!$B$10,Paramètres!$A$1:$I$89,7,0))</f>
        <v>0.42</v>
      </c>
      <c r="AS103" s="16">
        <f>IF(ISNA(VLOOKUP(A103,'Données projet'!$A$61:$I$81,6,0)),0%,VLOOKUP(A103,'Données projet'!$A$61:$I$81,6,0)*VLOOKUP('Données projet'!$B$10,Paramètres!$A$1:$I$89,7,0))</f>
        <v>0.10200000000000001</v>
      </c>
      <c r="AT103" s="16">
        <f>IF(ISNA(VLOOKUP(A103,'Données projet'!$A$61:$I$81,7,0)),0%,VLOOKUP(A103,'Données projet'!$A$61:$I$81,7,0))</f>
        <v>0.13</v>
      </c>
      <c r="AU103" s="21">
        <f>EXP(-LN(2)/35)*AU102+(1-EXP(-LN(2)/35))/(LN(2)/35)*AQ103*AR103*VLOOKUP('Données projet'!$B$10,Paramètres!$A$1:$I$89,3,0)*0.475*44/12</f>
        <v>190.22992217593355</v>
      </c>
      <c r="AV103" s="21">
        <f>EXP(-LN(2)/25)*AV102+(1-EXP(-LN(2)/25))/(LN(2)/25)*Calculateur!AQ103*Calculateur!AS103*VLOOKUP('Données projet'!$B$10,Paramètres!$A$1:$I$89,3,0)*0.475*44/12</f>
        <v>44.792829298066678</v>
      </c>
      <c r="AW103" s="21">
        <f>EXP(-LN(2)/2)*AW102+(1-EXP(-LN(2)/2))/(LN(2)/2)*AQ103*AT103*VLOOKUP('Données projet'!$B$10,Paramètres!$A$1:$I$89,3,0)*0.475*44/12</f>
        <v>43.159241054727708</v>
      </c>
      <c r="AX103" s="21">
        <f t="shared" si="60"/>
        <v>278.18199252872796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-1.3596945791505279E-13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260.97162394079265</v>
      </c>
      <c r="BJ103" s="59">
        <f t="shared" si="92"/>
        <v>279.1836614199691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99.899015259159683</v>
      </c>
      <c r="BQ103" s="21">
        <f>EXP(-LN(2)/25)*BQ102+(1-EXP(-LN(2)/25))/(LN(2)/25)*Calculateur!BL103*Calculateur!BN103*VLOOKUP('Données projet'!$B$11,Paramètres!$A$1:$I$89,3,0)*0.475*44/12</f>
        <v>17.807684194760672</v>
      </c>
      <c r="BR103" s="21">
        <f>EXP(-LN(2)/2)*BR102+(1-EXP(-LN(2)/2))/(LN(2)/2)*BL103*BO103*VLOOKUP('Données projet'!$B$11,Paramètres!$A$1:$I$89,3,0)*0.475*44/12</f>
        <v>2.6709400131165462E-4</v>
      </c>
      <c r="BS103" s="22">
        <f t="shared" si="63"/>
        <v>117.70696654792167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264.70281355687837</v>
      </c>
      <c r="CE103" s="59">
        <f t="shared" si="94"/>
        <v>199.74194600786768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137.93320450827198</v>
      </c>
      <c r="CL103" s="21">
        <f>EXP(-LN(2)/25)*CL102+(1-EXP(-LN(2)/25))/(LN(2)/25)*Calculateur!CG103*Calculateur!CI103*VLOOKUP('Données projet'!$B$12,Paramètres!$A$1:$I$89,3,0)*0.475*44/12</f>
        <v>27.834171300728485</v>
      </c>
      <c r="CM103" s="21">
        <f>EXP(-LN(2)/2)*CM102+(1-EXP(-LN(2)/2))/(LN(2)/2)*CG103*CJ103*VLOOKUP('Données projet'!$B$12,Paramètres!$A$1:$I$89,3,0)*0.475*44/12</f>
        <v>9.7919620059267562E-2</v>
      </c>
      <c r="CN103" s="22">
        <f t="shared" si="66"/>
        <v>165.86529542905973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-6.5028871176764376E-14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149.8619613776458</v>
      </c>
      <c r="CZ103" s="59">
        <f t="shared" si="96"/>
        <v>108.55560257938146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90.027454435721467</v>
      </c>
      <c r="DG103" s="21">
        <f>EXP(-LN(2)/25)*DG102+(1-EXP(-LN(2)/25))/(LN(2)/25)*Calculateur!DB103*Calculateur!DD103*VLOOKUP('Données projet'!$B$13,Paramètres!$A$1:$I$89,3,0)*0.475*44/12</f>
        <v>17.957858716109914</v>
      </c>
      <c r="DH103" s="21">
        <f>EXP(-LN(2)/2)*DH102+(1-EXP(-LN(2)/2))/(LN(2)/2)*DB103*DE103*VLOOKUP('Données projet'!$B$13,Paramètres!$A$1:$I$89,3,0)*0.475*44/12</f>
        <v>3.3355278853284889E-2</v>
      </c>
      <c r="DI103" s="22">
        <f t="shared" si="69"/>
        <v>108.01866843068466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1">
        <f t="shared" si="86"/>
        <v>22.608715052719756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67">
        <f t="shared" si="56"/>
        <v>475.40701871682018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467.03705646400994</v>
      </c>
      <c r="T104" s="59">
        <f t="shared" si="88"/>
        <v>575.68119027684361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152.04366494423485</v>
      </c>
      <c r="AA104" s="21">
        <f>EXP(-LN(2)/25)*AA103+(1-EXP(-LN(2)/25))/(LN(2)/25)*Calculateur!V104*Calculateur!X104*VLOOKUP('Données projet'!$B$9,Paramètres!$A$1:$I$89,3,0)*0.475*44/12</f>
        <v>27.398820944965191</v>
      </c>
      <c r="AB104" s="21">
        <f>EXP(-LN(2)/2)*AB103+(1-EXP(-LN(2)/2))/(LN(2)/2)*V104*Y104*VLOOKUP('Données projet'!$B$9,Paramètres!$A$1:$I$89,3,0)*0.475*44/12</f>
        <v>2.4389189322201893E-4</v>
      </c>
      <c r="AC104" s="22">
        <f t="shared" si="57"/>
        <v>179.44272978109328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-7.0940586738288402E-14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252.44760109054914</v>
      </c>
      <c r="AO104" s="59">
        <f t="shared" si="90"/>
        <v>121.75506329394773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186.49962943085913</v>
      </c>
      <c r="AV104" s="21">
        <f>EXP(-LN(2)/25)*AV103+(1-EXP(-LN(2)/25))/(LN(2)/25)*Calculateur!AQ104*Calculateur!AS104*VLOOKUP('Données projet'!$B$10,Paramètres!$A$1:$I$89,3,0)*0.475*44/12</f>
        <v>43.567967025358527</v>
      </c>
      <c r="AW104" s="21">
        <f>EXP(-LN(2)/2)*AW103+(1-EXP(-LN(2)/2))/(LN(2)/2)*AQ104*AT104*VLOOKUP('Données projet'!$B$10,Paramètres!$A$1:$I$89,3,0)*0.475*44/12</f>
        <v>30.518192020662806</v>
      </c>
      <c r="AX104" s="21">
        <f t="shared" si="60"/>
        <v>260.58578847688045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-1.3596945791505279E-13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260.97162394079265</v>
      </c>
      <c r="BJ104" s="59">
        <f t="shared" si="92"/>
        <v>279.1836614199691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97.940056502310298</v>
      </c>
      <c r="BQ104" s="21">
        <f>EXP(-LN(2)/25)*BQ103+(1-EXP(-LN(2)/25))/(LN(2)/25)*Calculateur!BL104*Calculateur!BN104*VLOOKUP('Données projet'!$B$11,Paramètres!$A$1:$I$89,3,0)*0.475*44/12</f>
        <v>17.32073213398953</v>
      </c>
      <c r="BR104" s="21">
        <f>EXP(-LN(2)/2)*BR103+(1-EXP(-LN(2)/2))/(LN(2)/2)*BL104*BO104*VLOOKUP('Données projet'!$B$11,Paramètres!$A$1:$I$89,3,0)*0.475*44/12</f>
        <v>1.888639795417196E-4</v>
      </c>
      <c r="BS104" s="22">
        <f t="shared" si="63"/>
        <v>115.26097750027937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264.70281355687837</v>
      </c>
      <c r="CE104" s="59">
        <f t="shared" si="94"/>
        <v>199.74194600786768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135.22841849881229</v>
      </c>
      <c r="CL104" s="21">
        <f>EXP(-LN(2)/25)*CL103+(1-EXP(-LN(2)/25))/(LN(2)/25)*Calculateur!CG104*Calculateur!CI104*VLOOKUP('Données projet'!$B$12,Paramètres!$A$1:$I$89,3,0)*0.475*44/12</f>
        <v>27.073044422774611</v>
      </c>
      <c r="CM104" s="21">
        <f>EXP(-LN(2)/2)*CM103+(1-EXP(-LN(2)/2))/(LN(2)/2)*CG104*CJ104*VLOOKUP('Données projet'!$B$12,Paramètres!$A$1:$I$89,3,0)*0.475*44/12</f>
        <v>6.9239627355118377E-2</v>
      </c>
      <c r="CN104" s="22">
        <f t="shared" si="66"/>
        <v>162.37070254894203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-6.5028871176764376E-14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149.8619613776458</v>
      </c>
      <c r="CZ104" s="59">
        <f t="shared" si="96"/>
        <v>108.55560257938146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88.262070965562131</v>
      </c>
      <c r="DG104" s="21">
        <f>EXP(-LN(2)/25)*DG103+(1-EXP(-LN(2)/25))/(LN(2)/25)*Calculateur!DB104*Calculateur!DD104*VLOOKUP('Données projet'!$B$13,Paramètres!$A$1:$I$89,3,0)*0.475*44/12</f>
        <v>17.466800125155142</v>
      </c>
      <c r="DH104" s="21">
        <f>EXP(-LN(2)/2)*DH103+(1-EXP(-LN(2)/2))/(LN(2)/2)*DB104*DE104*VLOOKUP('Données projet'!$B$13,Paramètres!$A$1:$I$89,3,0)*0.475*44/12</f>
        <v>2.3585743865525994E-2</v>
      </c>
      <c r="DI104" s="22">
        <f t="shared" si="69"/>
        <v>105.7524568345828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1">
        <f t="shared" si="86"/>
        <v>22.806394174303183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67">
        <f t="shared" si="56"/>
        <v>477.16414985357795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467.03705646400994</v>
      </c>
      <c r="T105" s="59">
        <f t="shared" si="88"/>
        <v>575.68119027684361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149.06218141215695</v>
      </c>
      <c r="AA105" s="21">
        <f>EXP(-LN(2)/25)*AA104+(1-EXP(-LN(2)/25))/(LN(2)/25)*Calculateur!V105*Calculateur!X105*VLOOKUP('Données projet'!$B$9,Paramètres!$A$1:$I$89,3,0)*0.475*44/12</f>
        <v>26.649598745383745</v>
      </c>
      <c r="AB105" s="21">
        <f>EXP(-LN(2)/2)*AB104+(1-EXP(-LN(2)/2))/(LN(2)/2)*V105*Y105*VLOOKUP('Données projet'!$B$9,Paramètres!$A$1:$I$89,3,0)*0.475*44/12</f>
        <v>1.7245761157371498E-4</v>
      </c>
      <c r="AC105" s="22">
        <f t="shared" si="57"/>
        <v>175.71195261515226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-7.0940586738288402E-14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252.44760109054914</v>
      </c>
      <c r="AO105" s="59">
        <f t="shared" si="90"/>
        <v>121.75506329394773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182.84248545126169</v>
      </c>
      <c r="AV105" s="21">
        <f>EXP(-LN(2)/25)*AV104+(1-EXP(-LN(2)/25))/(LN(2)/25)*Calculateur!AQ105*Calculateur!AS105*VLOOKUP('Données projet'!$B$10,Paramètres!$A$1:$I$89,3,0)*0.475*44/12</f>
        <v>42.376598675910287</v>
      </c>
      <c r="AW105" s="21">
        <f>EXP(-LN(2)/2)*AW104+(1-EXP(-LN(2)/2))/(LN(2)/2)*AQ105*AT105*VLOOKUP('Données projet'!$B$10,Paramètres!$A$1:$I$89,3,0)*0.475*44/12</f>
        <v>21.579620527363858</v>
      </c>
      <c r="AX105" s="21">
        <f t="shared" si="60"/>
        <v>246.79870465453584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-1.3596945791505279E-13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260.97162394079265</v>
      </c>
      <c r="BJ105" s="59">
        <f t="shared" si="92"/>
        <v>279.1836614199691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96.019511731835863</v>
      </c>
      <c r="BQ105" s="21">
        <f>EXP(-LN(2)/25)*BQ104+(1-EXP(-LN(2)/25))/(LN(2)/25)*Calculateur!BL105*Calculateur!BN105*VLOOKUP('Données projet'!$B$11,Paramètres!$A$1:$I$89,3,0)*0.475*44/12</f>
        <v>16.847095802927871</v>
      </c>
      <c r="BR105" s="21">
        <f>EXP(-LN(2)/2)*BR104+(1-EXP(-LN(2)/2))/(LN(2)/2)*BL105*BO105*VLOOKUP('Données projet'!$B$11,Paramètres!$A$1:$I$89,3,0)*0.475*44/12</f>
        <v>1.3354700065582731E-4</v>
      </c>
      <c r="BS105" s="22">
        <f t="shared" si="63"/>
        <v>112.86674108176439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264.70281355687837</v>
      </c>
      <c r="CE105" s="59">
        <f t="shared" si="94"/>
        <v>199.74194600786768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132.57667169324154</v>
      </c>
      <c r="CL105" s="21">
        <f>EXP(-LN(2)/25)*CL104+(1-EXP(-LN(2)/25))/(LN(2)/25)*Calculateur!CG105*Calculateur!CI105*VLOOKUP('Données projet'!$B$12,Paramètres!$A$1:$I$89,3,0)*0.475*44/12</f>
        <v>26.332730599324311</v>
      </c>
      <c r="CM105" s="21">
        <f>EXP(-LN(2)/2)*CM104+(1-EXP(-LN(2)/2))/(LN(2)/2)*CG105*CJ105*VLOOKUP('Données projet'!$B$12,Paramètres!$A$1:$I$89,3,0)*0.475*44/12</f>
        <v>4.8959810029633781E-2</v>
      </c>
      <c r="CN105" s="22">
        <f t="shared" si="66"/>
        <v>158.95836210259549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-6.5028871176764376E-14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149.8619613776458</v>
      </c>
      <c r="CZ105" s="59">
        <f t="shared" si="96"/>
        <v>108.55560257938146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86.531305588475021</v>
      </c>
      <c r="DG105" s="21">
        <f>EXP(-LN(2)/25)*DG104+(1-EXP(-LN(2)/25))/(LN(2)/25)*Calculateur!DB105*Calculateur!DD105*VLOOKUP('Données projet'!$B$13,Paramètres!$A$1:$I$89,3,0)*0.475*44/12</f>
        <v>16.989169557193676</v>
      </c>
      <c r="DH105" s="21">
        <f>EXP(-LN(2)/2)*DH104+(1-EXP(-LN(2)/2))/(LN(2)/2)*DB105*DE105*VLOOKUP('Données projet'!$B$13,Paramètres!$A$1:$I$89,3,0)*0.475*44/12</f>
        <v>1.6677639426642445E-2</v>
      </c>
      <c r="DI105" s="22">
        <f t="shared" si="69"/>
        <v>103.53715278509534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1">
        <f t="shared" si="86"/>
        <v>23.00384783397265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67">
        <f t="shared" si="56"/>
        <v>478.92088831083561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467.03705646400994</v>
      </c>
      <c r="T106" s="59">
        <f t="shared" si="88"/>
        <v>575.68119027684361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146.1391629536177</v>
      </c>
      <c r="AA106" s="21">
        <f>EXP(-LN(2)/25)*AA105+(1-EXP(-LN(2)/25))/(LN(2)/25)*Calculateur!V106*Calculateur!X106*VLOOKUP('Données projet'!$B$9,Paramètres!$A$1:$I$89,3,0)*0.475*44/12</f>
        <v>25.920864066249738</v>
      </c>
      <c r="AB106" s="21">
        <f>EXP(-LN(2)/2)*AB105+(1-EXP(-LN(2)/2))/(LN(2)/2)*V106*Y106*VLOOKUP('Données projet'!$B$9,Paramètres!$A$1:$I$89,3,0)*0.475*44/12</f>
        <v>1.2194594661100949E-4</v>
      </c>
      <c r="AC106" s="22">
        <f t="shared" si="57"/>
        <v>172.06014896581405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-7.0940586738288402E-14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252.44760109054914</v>
      </c>
      <c r="AO106" s="59">
        <f t="shared" si="90"/>
        <v>121.75506329394773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179.2570558344666</v>
      </c>
      <c r="AV106" s="21">
        <f>EXP(-LN(2)/25)*AV105+(1-EXP(-LN(2)/25))/(LN(2)/25)*Calculateur!AQ106*Calculateur!AS106*VLOOKUP('Données projet'!$B$10,Paramètres!$A$1:$I$89,3,0)*0.475*44/12</f>
        <v>41.21780835662905</v>
      </c>
      <c r="AW106" s="21">
        <f>EXP(-LN(2)/2)*AW105+(1-EXP(-LN(2)/2))/(LN(2)/2)*AQ106*AT106*VLOOKUP('Données projet'!$B$10,Paramètres!$A$1:$I$89,3,0)*0.475*44/12</f>
        <v>15.259096010331406</v>
      </c>
      <c r="AX106" s="21">
        <f t="shared" si="60"/>
        <v>235.73396020142707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-1.3596945791505279E-13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260.97162394079265</v>
      </c>
      <c r="BJ106" s="59">
        <f t="shared" si="92"/>
        <v>279.1836614199691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94.136627672893795</v>
      </c>
      <c r="BQ106" s="21">
        <f>EXP(-LN(2)/25)*BQ105+(1-EXP(-LN(2)/25))/(LN(2)/25)*Calculateur!BL106*Calculateur!BN106*VLOOKUP('Données projet'!$B$11,Paramètres!$A$1:$I$89,3,0)*0.475*44/12</f>
        <v>16.386411082246546</v>
      </c>
      <c r="BR106" s="21">
        <f>EXP(-LN(2)/2)*BR105+(1-EXP(-LN(2)/2))/(LN(2)/2)*BL106*BO106*VLOOKUP('Données projet'!$B$11,Paramètres!$A$1:$I$89,3,0)*0.475*44/12</f>
        <v>9.4431989770859799E-5</v>
      </c>
      <c r="BS106" s="22">
        <f t="shared" si="63"/>
        <v>110.5231331871301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264.70281355687837</v>
      </c>
      <c r="CE106" s="59">
        <f t="shared" si="94"/>
        <v>199.74194600786768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129.97692402512217</v>
      </c>
      <c r="CL106" s="21">
        <f>EXP(-LN(2)/25)*CL105+(1-EXP(-LN(2)/25))/(LN(2)/25)*Calculateur!CG106*Calculateur!CI106*VLOOKUP('Données projet'!$B$12,Paramètres!$A$1:$I$89,3,0)*0.475*44/12</f>
        <v>25.612660696307671</v>
      </c>
      <c r="CM106" s="21">
        <f>EXP(-LN(2)/2)*CM105+(1-EXP(-LN(2)/2))/(LN(2)/2)*CG106*CJ106*VLOOKUP('Données projet'!$B$12,Paramètres!$A$1:$I$89,3,0)*0.475*44/12</f>
        <v>3.4619813677559189E-2</v>
      </c>
      <c r="CN106" s="22">
        <f t="shared" si="66"/>
        <v>155.6242045351074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-6.5028871176764376E-14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149.8619613776458</v>
      </c>
      <c r="CZ106" s="59">
        <f t="shared" si="96"/>
        <v>108.55560257938146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84.834479464769956</v>
      </c>
      <c r="DG106" s="21">
        <f>EXP(-LN(2)/25)*DG105+(1-EXP(-LN(2)/25))/(LN(2)/25)*Calculateur!DB106*Calculateur!DD106*VLOOKUP('Données projet'!$B$13,Paramètres!$A$1:$I$89,3,0)*0.475*44/12</f>
        <v>16.524599822230616</v>
      </c>
      <c r="DH106" s="21">
        <f>EXP(-LN(2)/2)*DH105+(1-EXP(-LN(2)/2))/(LN(2)/2)*DB106*DE106*VLOOKUP('Données projet'!$B$13,Paramètres!$A$1:$I$89,3,0)*0.475*44/12</f>
        <v>1.1792871932762997E-2</v>
      </c>
      <c r="DI106" s="22">
        <f t="shared" si="69"/>
        <v>101.37087215893334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1">
        <f t="shared" si="86"/>
        <v>23.201078474169361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67">
        <f t="shared" si="56"/>
        <v>480.67723834251154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467.03705646400994</v>
      </c>
      <c r="T107" s="59">
        <f t="shared" si="88"/>
        <v>575.68119027684361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143.2734631041852</v>
      </c>
      <c r="AA107" s="21">
        <f>EXP(-LN(2)/25)*AA106+(1-EXP(-LN(2)/25))/(LN(2)/25)*Calculateur!V107*Calculateur!X107*VLOOKUP('Données projet'!$B$9,Paramètres!$A$1:$I$89,3,0)*0.475*44/12</f>
        <v>25.21205667523914</v>
      </c>
      <c r="AB107" s="21">
        <f>EXP(-LN(2)/2)*AB106+(1-EXP(-LN(2)/2))/(LN(2)/2)*V107*Y107*VLOOKUP('Données projet'!$B$9,Paramètres!$A$1:$I$89,3,0)*0.475*44/12</f>
        <v>8.6228805786857501E-5</v>
      </c>
      <c r="AC107" s="22">
        <f t="shared" si="57"/>
        <v>168.48560600823015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-7.0940586738288402E-14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252.44760109054914</v>
      </c>
      <c r="AO107" s="59">
        <f t="shared" si="90"/>
        <v>121.75506329394773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175.74193430556073</v>
      </c>
      <c r="AV107" s="21">
        <f>EXP(-LN(2)/25)*AV106+(1-EXP(-LN(2)/25))/(LN(2)/25)*Calculateur!AQ107*Calculateur!AS107*VLOOKUP('Données projet'!$B$10,Paramètres!$A$1:$I$89,3,0)*0.475*44/12</f>
        <v>40.090705219566694</v>
      </c>
      <c r="AW107" s="21">
        <f>EXP(-LN(2)/2)*AW106+(1-EXP(-LN(2)/2))/(LN(2)/2)*AQ107*AT107*VLOOKUP('Données projet'!$B$10,Paramètres!$A$1:$I$89,3,0)*0.475*44/12</f>
        <v>10.789810263681931</v>
      </c>
      <c r="AX107" s="21">
        <f t="shared" si="60"/>
        <v>226.62244978880938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-1.3596945791505279E-13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260.97162394079265</v>
      </c>
      <c r="BJ107" s="59">
        <f t="shared" si="92"/>
        <v>279.1836614199691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92.290665821901698</v>
      </c>
      <c r="BQ107" s="21">
        <f>EXP(-LN(2)/25)*BQ106+(1-EXP(-LN(2)/25))/(LN(2)/25)*Calculateur!BL107*Calculateur!BN107*VLOOKUP('Données projet'!$B$11,Paramètres!$A$1:$I$89,3,0)*0.475*44/12</f>
        <v>15.938323809478607</v>
      </c>
      <c r="BR107" s="21">
        <f>EXP(-LN(2)/2)*BR106+(1-EXP(-LN(2)/2))/(LN(2)/2)*BL107*BO107*VLOOKUP('Données projet'!$B$11,Paramètres!$A$1:$I$89,3,0)*0.475*44/12</f>
        <v>6.6773500327913654E-5</v>
      </c>
      <c r="BS107" s="22">
        <f t="shared" si="63"/>
        <v>108.22905640488062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264.70281355687837</v>
      </c>
      <c r="CE107" s="59">
        <f t="shared" si="94"/>
        <v>199.74194600786768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127.42815582308512</v>
      </c>
      <c r="CL107" s="21">
        <f>EXP(-LN(2)/25)*CL106+(1-EXP(-LN(2)/25))/(LN(2)/25)*Calculateur!CG107*Calculateur!CI107*VLOOKUP('Données projet'!$B$12,Paramètres!$A$1:$I$89,3,0)*0.475*44/12</f>
        <v>24.91228114265585</v>
      </c>
      <c r="CM107" s="21">
        <f>EXP(-LN(2)/2)*CM106+(1-EXP(-LN(2)/2))/(LN(2)/2)*CG107*CJ107*VLOOKUP('Données projet'!$B$12,Paramètres!$A$1:$I$89,3,0)*0.475*44/12</f>
        <v>2.447990501481689E-2</v>
      </c>
      <c r="CN107" s="22">
        <f t="shared" si="66"/>
        <v>152.36491687075579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-6.5028871176764376E-14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149.8619613776458</v>
      </c>
      <c r="CZ107" s="59">
        <f t="shared" si="96"/>
        <v>108.55560257938146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83.170927066388998</v>
      </c>
      <c r="DG107" s="21">
        <f>EXP(-LN(2)/25)*DG106+(1-EXP(-LN(2)/25))/(LN(2)/25)*Calculateur!DB107*Calculateur!DD107*VLOOKUP('Données projet'!$B$13,Paramètres!$A$1:$I$89,3,0)*0.475*44/12</f>
        <v>16.072733771100783</v>
      </c>
      <c r="DH107" s="21">
        <f>EXP(-LN(2)/2)*DH106+(1-EXP(-LN(2)/2))/(LN(2)/2)*DB107*DE107*VLOOKUP('Données projet'!$B$13,Paramètres!$A$1:$I$89,3,0)*0.475*44/12</f>
        <v>8.3388197133212223E-3</v>
      </c>
      <c r="DI107" s="22">
        <f t="shared" si="69"/>
        <v>99.2519996572031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1">
        <f t="shared" si="86"/>
        <v>23.398088487656434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67">
        <f t="shared" si="56"/>
        <v>482.43320411600155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467.03705646400994</v>
      </c>
      <c r="T108" s="59">
        <f t="shared" si="88"/>
        <v>575.68119027684361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140.46395788089575</v>
      </c>
      <c r="AA108" s="21">
        <f>EXP(-LN(2)/25)*AA107+(1-EXP(-LN(2)/25))/(LN(2)/25)*Calculateur!V108*Calculateur!X108*VLOOKUP('Données projet'!$B$9,Paramètres!$A$1:$I$89,3,0)*0.475*44/12</f>
        <v>24.522631659610287</v>
      </c>
      <c r="AB108" s="21">
        <f>EXP(-LN(2)/2)*AB107+(1-EXP(-LN(2)/2))/(LN(2)/2)*V108*Y108*VLOOKUP('Données projet'!$B$9,Paramètres!$A$1:$I$89,3,0)*0.475*44/12</f>
        <v>6.0972973305504753E-5</v>
      </c>
      <c r="AC108" s="22">
        <f t="shared" si="57"/>
        <v>164.98665051347933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-7.0940586738288402E-14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252.44760109054914</v>
      </c>
      <c r="AO108" s="59">
        <f t="shared" si="90"/>
        <v>121.75506329394773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172.29574216582429</v>
      </c>
      <c r="AV108" s="21">
        <f>EXP(-LN(2)/25)*AV107+(1-EXP(-LN(2)/25))/(LN(2)/25)*Calculateur!AQ108*Calculateur!AS108*VLOOKUP('Données projet'!$B$10,Paramètres!$A$1:$I$89,3,0)*0.475*44/12</f>
        <v>38.994422777059086</v>
      </c>
      <c r="AW108" s="21">
        <f>EXP(-LN(2)/2)*AW107+(1-EXP(-LN(2)/2))/(LN(2)/2)*AQ108*AT108*VLOOKUP('Données projet'!$B$10,Paramètres!$A$1:$I$89,3,0)*0.475*44/12</f>
        <v>7.6295480051657041</v>
      </c>
      <c r="AX108" s="21">
        <f t="shared" si="60"/>
        <v>218.9197129480491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-1.3596945791505279E-13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260.97162394079265</v>
      </c>
      <c r="BJ108" s="59">
        <f t="shared" si="92"/>
        <v>279.1836614199691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90.48090215688201</v>
      </c>
      <c r="BQ108" s="21">
        <f>EXP(-LN(2)/25)*BQ107+(1-EXP(-LN(2)/25))/(LN(2)/25)*Calculateur!BL108*Calculateur!BN108*VLOOKUP('Données projet'!$B$11,Paramètres!$A$1:$I$89,3,0)*0.475*44/12</f>
        <v>15.502489506748393</v>
      </c>
      <c r="BR108" s="21">
        <f>EXP(-LN(2)/2)*BR107+(1-EXP(-LN(2)/2))/(LN(2)/2)*BL108*BO108*VLOOKUP('Données projet'!$B$11,Paramètres!$A$1:$I$89,3,0)*0.475*44/12</f>
        <v>4.72159948854299E-5</v>
      </c>
      <c r="BS108" s="22">
        <f t="shared" si="63"/>
        <v>105.98343887962528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264.70281355687837</v>
      </c>
      <c r="CE108" s="59">
        <f t="shared" si="94"/>
        <v>199.74194600786768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124.92936741089491</v>
      </c>
      <c r="CL108" s="21">
        <f>EXP(-LN(2)/25)*CL107+(1-EXP(-LN(2)/25))/(LN(2)/25)*Calculateur!CG108*Calculateur!CI108*VLOOKUP('Données projet'!$B$12,Paramètres!$A$1:$I$89,3,0)*0.475*44/12</f>
        <v>24.231053504729999</v>
      </c>
      <c r="CM108" s="21">
        <f>EXP(-LN(2)/2)*CM107+(1-EXP(-LN(2)/2))/(LN(2)/2)*CG108*CJ108*VLOOKUP('Données projet'!$B$12,Paramètres!$A$1:$I$89,3,0)*0.475*44/12</f>
        <v>1.7309906838779594E-2</v>
      </c>
      <c r="CN108" s="22">
        <f t="shared" si="66"/>
        <v>149.1777308224637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-6.5028871176764376E-14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149.8619613776458</v>
      </c>
      <c r="CZ108" s="59">
        <f t="shared" si="96"/>
        <v>108.55560257938146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81.539995915873519</v>
      </c>
      <c r="DG108" s="21">
        <f>EXP(-LN(2)/25)*DG107+(1-EXP(-LN(2)/25))/(LN(2)/25)*Calculateur!DB108*Calculateur!DD108*VLOOKUP('Données projet'!$B$13,Paramètres!$A$1:$I$89,3,0)*0.475*44/12</f>
        <v>15.633224020901698</v>
      </c>
      <c r="DH108" s="21">
        <f>EXP(-LN(2)/2)*DH107+(1-EXP(-LN(2)/2))/(LN(2)/2)*DB108*DE108*VLOOKUP('Données projet'!$B$13,Paramètres!$A$1:$I$89,3,0)*0.475*44/12</f>
        <v>5.8964359663814985E-3</v>
      </c>
      <c r="DI108" s="22">
        <f t="shared" si="69"/>
        <v>97.179116372741589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1">
        <f t="shared" si="86"/>
        <v>23.594880218992504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67">
        <f t="shared" si="56"/>
        <v>484.18878971474516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467.03705646400994</v>
      </c>
      <c r="T109" s="59">
        <f t="shared" si="88"/>
        <v>575.68119027684361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137.70954534140603</v>
      </c>
      <c r="AA109" s="21">
        <f>EXP(-LN(2)/25)*AA108+(1-EXP(-LN(2)/25))/(LN(2)/25)*Calculateur!V109*Calculateur!X109*VLOOKUP('Données projet'!$B$9,Paramètres!$A$1:$I$89,3,0)*0.475*44/12</f>
        <v>23.852059007289093</v>
      </c>
      <c r="AB109" s="21">
        <f>EXP(-LN(2)/2)*AB108+(1-EXP(-LN(2)/2))/(LN(2)/2)*V109*Y109*VLOOKUP('Données projet'!$B$9,Paramètres!$A$1:$I$89,3,0)*0.475*44/12</f>
        <v>4.3114402893428757E-5</v>
      </c>
      <c r="AC109" s="22">
        <f t="shared" si="57"/>
        <v>161.56164746309801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-7.0940586738288402E-14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252.44760109054914</v>
      </c>
      <c r="AO109" s="59">
        <f t="shared" si="90"/>
        <v>121.75506329394773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168.91712775197843</v>
      </c>
      <c r="AV109" s="21">
        <f>EXP(-LN(2)/25)*AV108+(1-EXP(-LN(2)/25))/(LN(2)/25)*Calculateur!AQ109*Calculateur!AS109*VLOOKUP('Données projet'!$B$10,Paramètres!$A$1:$I$89,3,0)*0.475*44/12</f>
        <v>37.928118235592834</v>
      </c>
      <c r="AW109" s="21">
        <f>EXP(-LN(2)/2)*AW108+(1-EXP(-LN(2)/2))/(LN(2)/2)*AQ109*AT109*VLOOKUP('Données projet'!$B$10,Paramètres!$A$1:$I$89,3,0)*0.475*44/12</f>
        <v>5.3949051318409662</v>
      </c>
      <c r="AX109" s="21">
        <f t="shared" si="60"/>
        <v>212.24015111941225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-1.3596945791505279E-13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260.97162394079265</v>
      </c>
      <c r="BJ109" s="59">
        <f t="shared" si="92"/>
        <v>279.1836614199691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88.706626853486512</v>
      </c>
      <c r="BQ109" s="21">
        <f>EXP(-LN(2)/25)*BQ108+(1-EXP(-LN(2)/25))/(LN(2)/25)*Calculateur!BL109*Calculateur!BN109*VLOOKUP('Données projet'!$B$11,Paramètres!$A$1:$I$89,3,0)*0.475*44/12</f>
        <v>15.078573115945867</v>
      </c>
      <c r="BR109" s="21">
        <f>EXP(-LN(2)/2)*BR108+(1-EXP(-LN(2)/2))/(LN(2)/2)*BL109*BO109*VLOOKUP('Données projet'!$B$11,Paramètres!$A$1:$I$89,3,0)*0.475*44/12</f>
        <v>3.3386750163956827E-5</v>
      </c>
      <c r="BS109" s="22">
        <f t="shared" si="63"/>
        <v>103.78523335618254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264.70281355687837</v>
      </c>
      <c r="CE109" s="59">
        <f t="shared" si="94"/>
        <v>199.74194600786768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122.47957871535732</v>
      </c>
      <c r="CL109" s="21">
        <f>EXP(-LN(2)/25)*CL108+(1-EXP(-LN(2)/25))/(LN(2)/25)*Calculateur!CG109*Calculateur!CI109*VLOOKUP('Données projet'!$B$12,Paramètres!$A$1:$I$89,3,0)*0.475*44/12</f>
        <v>23.568454072387436</v>
      </c>
      <c r="CM109" s="21">
        <f>EXP(-LN(2)/2)*CM108+(1-EXP(-LN(2)/2))/(LN(2)/2)*CG109*CJ109*VLOOKUP('Données projet'!$B$12,Paramètres!$A$1:$I$89,3,0)*0.475*44/12</f>
        <v>1.2239952507408445E-2</v>
      </c>
      <c r="CN109" s="22">
        <f t="shared" si="66"/>
        <v>146.06027274025215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-6.5028871176764376E-14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149.8619613776458</v>
      </c>
      <c r="CZ109" s="59">
        <f t="shared" si="96"/>
        <v>108.55560257938146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79.941046330449879</v>
      </c>
      <c r="DG109" s="21">
        <f>EXP(-LN(2)/25)*DG108+(1-EXP(-LN(2)/25))/(LN(2)/25)*Calculateur!DB109*Calculateur!DD109*VLOOKUP('Données projet'!$B$13,Paramètres!$A$1:$I$89,3,0)*0.475*44/12</f>
        <v>15.205732687934621</v>
      </c>
      <c r="DH109" s="21">
        <f>EXP(-LN(2)/2)*DH108+(1-EXP(-LN(2)/2))/(LN(2)/2)*DB109*DE109*VLOOKUP('Données projet'!$B$13,Paramètres!$A$1:$I$89,3,0)*0.475*44/12</f>
        <v>4.1694098566606112E-3</v>
      </c>
      <c r="DI109" s="22">
        <f t="shared" si="69"/>
        <v>95.150948428241165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1">
        <f t="shared" si="86"/>
        <v>23.79145596594833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67">
        <f t="shared" si="56"/>
        <v>485.94399914069322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467.03705646400994</v>
      </c>
      <c r="T110" s="59">
        <f t="shared" si="88"/>
        <v>575.68119027684361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135.00914515178994</v>
      </c>
      <c r="AA110" s="21">
        <f>EXP(-LN(2)/25)*AA109+(1-EXP(-LN(2)/25))/(LN(2)/25)*Calculateur!V110*Calculateur!X110*VLOOKUP('Données projet'!$B$9,Paramètres!$A$1:$I$89,3,0)*0.475*44/12</f>
        <v>23.199823199409504</v>
      </c>
      <c r="AB110" s="21">
        <f>EXP(-LN(2)/2)*AB109+(1-EXP(-LN(2)/2))/(LN(2)/2)*V110*Y110*VLOOKUP('Données projet'!$B$9,Paramètres!$A$1:$I$89,3,0)*0.475*44/12</f>
        <v>3.0486486652752383E-5</v>
      </c>
      <c r="AC110" s="22">
        <f t="shared" si="57"/>
        <v>158.2089988376861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-7.0940586738288402E-14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252.44760109054914</v>
      </c>
      <c r="AO110" s="59">
        <f t="shared" si="90"/>
        <v>121.75506329394773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165.60476590603676</v>
      </c>
      <c r="AV110" s="21">
        <f>EXP(-LN(2)/25)*AV109+(1-EXP(-LN(2)/25))/(LN(2)/25)*Calculateur!AQ110*Calculateur!AS110*VLOOKUP('Données projet'!$B$10,Paramètres!$A$1:$I$89,3,0)*0.475*44/12</f>
        <v>36.890971847887492</v>
      </c>
      <c r="AW110" s="21">
        <f>EXP(-LN(2)/2)*AW109+(1-EXP(-LN(2)/2))/(LN(2)/2)*AQ110*AT110*VLOOKUP('Données projet'!$B$10,Paramètres!$A$1:$I$89,3,0)*0.475*44/12</f>
        <v>3.8147740025828525</v>
      </c>
      <c r="AX110" s="21">
        <f t="shared" si="60"/>
        <v>206.31051175650711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-1.3596945791505279E-13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260.97162394079265</v>
      </c>
      <c r="BJ110" s="59">
        <f t="shared" si="92"/>
        <v>279.1836614199691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86.967144006589521</v>
      </c>
      <c r="BQ110" s="21">
        <f>EXP(-LN(2)/25)*BQ109+(1-EXP(-LN(2)/25))/(LN(2)/25)*Calculateur!BL110*Calculateur!BN110*VLOOKUP('Données projet'!$B$11,Paramètres!$A$1:$I$89,3,0)*0.475*44/12</f>
        <v>14.666248741142629</v>
      </c>
      <c r="BR110" s="21">
        <f>EXP(-LN(2)/2)*BR109+(1-EXP(-LN(2)/2))/(LN(2)/2)*BL110*BO110*VLOOKUP('Données projet'!$B$11,Paramètres!$A$1:$I$89,3,0)*0.475*44/12</f>
        <v>2.360799744271495E-5</v>
      </c>
      <c r="BS110" s="22">
        <f t="shared" si="63"/>
        <v>101.63341635572959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264.70281355687837</v>
      </c>
      <c r="CE110" s="59">
        <f t="shared" si="94"/>
        <v>199.74194600786768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120.07782888191565</v>
      </c>
      <c r="CL110" s="21">
        <f>EXP(-LN(2)/25)*CL109+(1-EXP(-LN(2)/25))/(LN(2)/25)*Calculateur!CG110*Calculateur!CI110*VLOOKUP('Données projet'!$B$12,Paramètres!$A$1:$I$89,3,0)*0.475*44/12</f>
        <v>22.923973456366866</v>
      </c>
      <c r="CM110" s="21">
        <f>EXP(-LN(2)/2)*CM109+(1-EXP(-LN(2)/2))/(LN(2)/2)*CG110*CJ110*VLOOKUP('Données projet'!$B$12,Paramètres!$A$1:$I$89,3,0)*0.475*44/12</f>
        <v>8.6549534193897971E-3</v>
      </c>
      <c r="CN110" s="22">
        <f t="shared" si="66"/>
        <v>143.0104572917019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-6.5028871176764376E-14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149.8619613776458</v>
      </c>
      <c r="CZ110" s="59">
        <f t="shared" si="96"/>
        <v>108.55560257938146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78.373451171133439</v>
      </c>
      <c r="DG110" s="21">
        <f>EXP(-LN(2)/25)*DG109+(1-EXP(-LN(2)/25))/(LN(2)/25)*Calculateur!DB110*Calculateur!DD110*VLOOKUP('Données projet'!$B$13,Paramètres!$A$1:$I$89,3,0)*0.475*44/12</f>
        <v>14.78993112794832</v>
      </c>
      <c r="DH110" s="21">
        <f>EXP(-LN(2)/2)*DH109+(1-EXP(-LN(2)/2))/(LN(2)/2)*DB110*DE110*VLOOKUP('Données projet'!$B$13,Paramètres!$A$1:$I$89,3,0)*0.475*44/12</f>
        <v>2.9482179831907492E-3</v>
      </c>
      <c r="DI110" s="22">
        <f t="shared" si="69"/>
        <v>93.166330517064949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1">
        <f t="shared" si="86"/>
        <v>23.987817980868776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67">
        <f t="shared" si="56"/>
        <v>487.69883631667966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467.03705646400994</v>
      </c>
      <c r="T111" s="59">
        <f t="shared" si="88"/>
        <v>575.68119027684361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132.36169816281074</v>
      </c>
      <c r="AA111" s="21">
        <f>EXP(-LN(2)/25)*AA110+(1-EXP(-LN(2)/25))/(LN(2)/25)*Calculateur!V111*Calculateur!X111*VLOOKUP('Données projet'!$B$9,Paramètres!$A$1:$I$89,3,0)*0.475*44/12</f>
        <v>22.565422813995973</v>
      </c>
      <c r="AB111" s="21">
        <f>EXP(-LN(2)/2)*AB110+(1-EXP(-LN(2)/2))/(LN(2)/2)*V111*Y111*VLOOKUP('Données projet'!$B$9,Paramètres!$A$1:$I$89,3,0)*0.475*44/12</f>
        <v>2.1557201446714382E-5</v>
      </c>
      <c r="AC111" s="22">
        <f t="shared" si="57"/>
        <v>154.92714253400817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-7.0940586738288402E-14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252.44760109054914</v>
      </c>
      <c r="AO111" s="59">
        <f t="shared" si="90"/>
        <v>121.75506329394773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162.35735745555277</v>
      </c>
      <c r="AV111" s="21">
        <f>EXP(-LN(2)/25)*AV110+(1-EXP(-LN(2)/25))/(LN(2)/25)*Calculateur!AQ111*Calculateur!AS111*VLOOKUP('Données projet'!$B$10,Paramètres!$A$1:$I$89,3,0)*0.475*44/12</f>
        <v>35.882186282695116</v>
      </c>
      <c r="AW111" s="21">
        <f>EXP(-LN(2)/2)*AW110+(1-EXP(-LN(2)/2))/(LN(2)/2)*AQ111*AT111*VLOOKUP('Données projet'!$B$10,Paramètres!$A$1:$I$89,3,0)*0.475*44/12</f>
        <v>2.6974525659204835</v>
      </c>
      <c r="AX111" s="21">
        <f t="shared" si="60"/>
        <v>200.93699630416839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-1.3596945791505279E-13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260.97162394079265</v>
      </c>
      <c r="BJ111" s="59">
        <f t="shared" si="92"/>
        <v>279.1836614199691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85.261771357340407</v>
      </c>
      <c r="BQ111" s="21">
        <f>EXP(-LN(2)/25)*BQ110+(1-EXP(-LN(2)/25))/(LN(2)/25)*Calculateur!BL111*Calculateur!BN111*VLOOKUP('Données projet'!$B$11,Paramètres!$A$1:$I$89,3,0)*0.475*44/12</f>
        <v>14.265199398051584</v>
      </c>
      <c r="BR111" s="21">
        <f>EXP(-LN(2)/2)*BR110+(1-EXP(-LN(2)/2))/(LN(2)/2)*BL111*BO111*VLOOKUP('Données projet'!$B$11,Paramètres!$A$1:$I$89,3,0)*0.475*44/12</f>
        <v>1.6693375081978414E-5</v>
      </c>
      <c r="BS111" s="22">
        <f t="shared" si="63"/>
        <v>99.526987448767073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264.70281355687837</v>
      </c>
      <c r="CE111" s="59">
        <f t="shared" si="94"/>
        <v>199.74194600786768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117.72317589778503</v>
      </c>
      <c r="CL111" s="21">
        <f>EXP(-LN(2)/25)*CL110+(1-EXP(-LN(2)/25))/(LN(2)/25)*Calculateur!CG111*Calculateur!CI111*VLOOKUP('Données projet'!$B$12,Paramètres!$A$1:$I$89,3,0)*0.475*44/12</f>
        <v>22.297116196683145</v>
      </c>
      <c r="CM111" s="21">
        <f>EXP(-LN(2)/2)*CM110+(1-EXP(-LN(2)/2))/(LN(2)/2)*CG111*CJ111*VLOOKUP('Données projet'!$B$12,Paramètres!$A$1:$I$89,3,0)*0.475*44/12</f>
        <v>6.1199762537042226E-3</v>
      </c>
      <c r="CN111" s="22">
        <f t="shared" si="66"/>
        <v>140.02641207072188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-6.5028871176764376E-14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149.8619613776458</v>
      </c>
      <c r="CZ111" s="59">
        <f t="shared" si="96"/>
        <v>108.55560257938146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76.836595596752559</v>
      </c>
      <c r="DG111" s="21">
        <f>EXP(-LN(2)/25)*DG110+(1-EXP(-LN(2)/25))/(LN(2)/25)*Calculateur!DB111*Calculateur!DD111*VLOOKUP('Données projet'!$B$13,Paramètres!$A$1:$I$89,3,0)*0.475*44/12</f>
        <v>14.385499683485898</v>
      </c>
      <c r="DH111" s="21">
        <f>EXP(-LN(2)/2)*DH110+(1-EXP(-LN(2)/2))/(LN(2)/2)*DB111*DE111*VLOOKUP('Données projet'!$B$13,Paramètres!$A$1:$I$89,3,0)*0.475*44/12</f>
        <v>2.0847049283303056E-3</v>
      </c>
      <c r="DI111" s="22">
        <f t="shared" si="69"/>
        <v>91.224179985166799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1">
        <f t="shared" si="86"/>
        <v>24.183968471983022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67">
        <f t="shared" si="56"/>
        <v>489.4533050887037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467.03705646400994</v>
      </c>
      <c r="T112" s="59">
        <f t="shared" si="88"/>
        <v>575.68119027684361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129.76616599450222</v>
      </c>
      <c r="AA112" s="21">
        <f>EXP(-LN(2)/25)*AA111+(1-EXP(-LN(2)/25))/(LN(2)/25)*Calculateur!V112*Calculateur!X112*VLOOKUP('Données projet'!$B$9,Paramètres!$A$1:$I$89,3,0)*0.475*44/12</f>
        <v>21.948370140483242</v>
      </c>
      <c r="AB112" s="21">
        <f>EXP(-LN(2)/2)*AB111+(1-EXP(-LN(2)/2))/(LN(2)/2)*V112*Y112*VLOOKUP('Données projet'!$B$9,Paramètres!$A$1:$I$89,3,0)*0.475*44/12</f>
        <v>1.5243243326376193E-5</v>
      </c>
      <c r="AC112" s="22">
        <f t="shared" si="57"/>
        <v>151.71455137822878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-7.0940586738288402E-14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252.44760109054914</v>
      </c>
      <c r="AO112" s="59">
        <f t="shared" si="90"/>
        <v>121.75506329394773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159.17362870405921</v>
      </c>
      <c r="AV112" s="21">
        <f>EXP(-LN(2)/25)*AV111+(1-EXP(-LN(2)/25))/(LN(2)/25)*Calculateur!AQ112*Calculateur!AS112*VLOOKUP('Données projet'!$B$10,Paramètres!$A$1:$I$89,3,0)*0.475*44/12</f>
        <v>34.90098601183265</v>
      </c>
      <c r="AW112" s="21">
        <f>EXP(-LN(2)/2)*AW111+(1-EXP(-LN(2)/2))/(LN(2)/2)*AQ112*AT112*VLOOKUP('Données projet'!$B$10,Paramètres!$A$1:$I$89,3,0)*0.475*44/12</f>
        <v>1.9073870012914267</v>
      </c>
      <c r="AX112" s="21">
        <f t="shared" si="60"/>
        <v>195.98200171718329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-1.3596945791505279E-13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260.97162394079265</v>
      </c>
      <c r="BJ112" s="59">
        <f t="shared" si="92"/>
        <v>279.1836614199691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83.589840025568463</v>
      </c>
      <c r="BQ112" s="21">
        <f>EXP(-LN(2)/25)*BQ111+(1-EXP(-LN(2)/25))/(LN(2)/25)*Calculateur!BL112*Calculateur!BN112*VLOOKUP('Données projet'!$B$11,Paramètres!$A$1:$I$89,3,0)*0.475*44/12</f>
        <v>13.87511677033763</v>
      </c>
      <c r="BR112" s="21">
        <f>EXP(-LN(2)/2)*BR111+(1-EXP(-LN(2)/2))/(LN(2)/2)*BL112*BO112*VLOOKUP('Données projet'!$B$11,Paramètres!$A$1:$I$89,3,0)*0.475*44/12</f>
        <v>1.1803998721357475E-5</v>
      </c>
      <c r="BS112" s="22">
        <f t="shared" si="63"/>
        <v>97.464968599904807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264.70281355687837</v>
      </c>
      <c r="CE112" s="59">
        <f t="shared" si="94"/>
        <v>199.74194600786768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115.41469622247669</v>
      </c>
      <c r="CL112" s="21">
        <f>EXP(-LN(2)/25)*CL111+(1-EXP(-LN(2)/25))/(LN(2)/25)*Calculateur!CG112*Calculateur!CI112*VLOOKUP('Données projet'!$B$12,Paramètres!$A$1:$I$89,3,0)*0.475*44/12</f>
        <v>21.687400381730466</v>
      </c>
      <c r="CM112" s="21">
        <f>EXP(-LN(2)/2)*CM111+(1-EXP(-LN(2)/2))/(LN(2)/2)*CG112*CJ112*VLOOKUP('Données projet'!$B$12,Paramètres!$A$1:$I$89,3,0)*0.475*44/12</f>
        <v>4.3274767096948986E-3</v>
      </c>
      <c r="CN112" s="22">
        <f t="shared" si="66"/>
        <v>137.10642408091687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-6.5028871176764376E-14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149.8619613776458</v>
      </c>
      <c r="CZ112" s="59">
        <f t="shared" si="96"/>
        <v>108.55560257938146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75.329876822795953</v>
      </c>
      <c r="DG112" s="21">
        <f>EXP(-LN(2)/25)*DG111+(1-EXP(-LN(2)/25))/(LN(2)/25)*Calculateur!DB112*Calculateur!DD112*VLOOKUP('Données projet'!$B$13,Paramètres!$A$1:$I$89,3,0)*0.475*44/12</f>
        <v>13.992127438140427</v>
      </c>
      <c r="DH112" s="21">
        <f>EXP(-LN(2)/2)*DH111+(1-EXP(-LN(2)/2))/(LN(2)/2)*DB112*DE112*VLOOKUP('Données projet'!$B$13,Paramètres!$A$1:$I$89,3,0)*0.475*44/12</f>
        <v>1.4741089915953746E-3</v>
      </c>
      <c r="DI112" s="22">
        <f t="shared" si="69"/>
        <v>89.323478369927983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1">
        <f t="shared" si="86"/>
        <v>24.379909604665212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67">
        <f t="shared" si="56"/>
        <v>491.20740922812513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467.03705646400994</v>
      </c>
      <c r="T113" s="59">
        <f t="shared" si="88"/>
        <v>575.68119027684361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127.22153062889592</v>
      </c>
      <c r="AA113" s="21">
        <f>EXP(-LN(2)/25)*AA112+(1-EXP(-LN(2)/25))/(LN(2)/25)*Calculateur!V113*Calculateur!X113*VLOOKUP('Données projet'!$B$9,Paramètres!$A$1:$I$89,3,0)*0.475*44/12</f>
        <v>21.348190804777104</v>
      </c>
      <c r="AB113" s="21">
        <f>EXP(-LN(2)/2)*AB112+(1-EXP(-LN(2)/2))/(LN(2)/2)*V113*Y113*VLOOKUP('Données projet'!$B$9,Paramètres!$A$1:$I$89,3,0)*0.475*44/12</f>
        <v>1.0778600723357193E-5</v>
      </c>
      <c r="AC113" s="22">
        <f t="shared" si="57"/>
        <v>148.56973221227372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-7.0940586738288402E-14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252.44760109054914</v>
      </c>
      <c r="AO113" s="59">
        <f t="shared" si="90"/>
        <v>121.75506329394773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156.05233093149965</v>
      </c>
      <c r="AV113" s="21">
        <f>EXP(-LN(2)/25)*AV112+(1-EXP(-LN(2)/25))/(LN(2)/25)*Calculateur!AQ113*Calculateur!AS113*VLOOKUP('Données projet'!$B$10,Paramètres!$A$1:$I$89,3,0)*0.475*44/12</f>
        <v>33.946616713975999</v>
      </c>
      <c r="AW113" s="21">
        <f>EXP(-LN(2)/2)*AW112+(1-EXP(-LN(2)/2))/(LN(2)/2)*AQ113*AT113*VLOOKUP('Données projet'!$B$10,Paramètres!$A$1:$I$89,3,0)*0.475*44/12</f>
        <v>1.348726282960242</v>
      </c>
      <c r="AX113" s="21">
        <f t="shared" si="60"/>
        <v>191.34767392843588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-1.3596945791505279E-13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260.97162394079265</v>
      </c>
      <c r="BJ113" s="59">
        <f t="shared" si="92"/>
        <v>279.1836614199691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81.950694247435152</v>
      </c>
      <c r="BQ113" s="21">
        <f>EXP(-LN(2)/25)*BQ112+(1-EXP(-LN(2)/25))/(LN(2)/25)*Calculateur!BL113*Calculateur!BN113*VLOOKUP('Données projet'!$B$11,Paramètres!$A$1:$I$89,3,0)*0.475*44/12</f>
        <v>13.495700972592068</v>
      </c>
      <c r="BR113" s="21">
        <f>EXP(-LN(2)/2)*BR112+(1-EXP(-LN(2)/2))/(LN(2)/2)*BL113*BO113*VLOOKUP('Données projet'!$B$11,Paramètres!$A$1:$I$89,3,0)*0.475*44/12</f>
        <v>8.3466875409892068E-6</v>
      </c>
      <c r="BS113" s="22">
        <f t="shared" si="63"/>
        <v>95.446403566714764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264.70281355687837</v>
      </c>
      <c r="CE113" s="59">
        <f t="shared" si="94"/>
        <v>199.74194600786768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113.15148442556759</v>
      </c>
      <c r="CL113" s="21">
        <f>EXP(-LN(2)/25)*CL112+(1-EXP(-LN(2)/25))/(LN(2)/25)*Calculateur!CG113*Calculateur!CI113*VLOOKUP('Données projet'!$B$12,Paramètres!$A$1:$I$89,3,0)*0.475*44/12</f>
        <v>21.094357277801226</v>
      </c>
      <c r="CM113" s="21">
        <f>EXP(-LN(2)/2)*CM112+(1-EXP(-LN(2)/2))/(LN(2)/2)*CG113*CJ113*VLOOKUP('Données projet'!$B$12,Paramètres!$A$1:$I$89,3,0)*0.475*44/12</f>
        <v>3.0599881268521113E-3</v>
      </c>
      <c r="CN113" s="22">
        <f t="shared" si="66"/>
        <v>134.24890169149569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-6.5028871176764376E-14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149.8619613776458</v>
      </c>
      <c r="CZ113" s="59">
        <f t="shared" si="96"/>
        <v>108.55560257938146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73.852703884988927</v>
      </c>
      <c r="DG113" s="21">
        <f>EXP(-LN(2)/25)*DG112+(1-EXP(-LN(2)/25))/(LN(2)/25)*Calculateur!DB113*Calculateur!DD113*VLOOKUP('Données projet'!$B$13,Paramètres!$A$1:$I$89,3,0)*0.475*44/12</f>
        <v>13.609511977530474</v>
      </c>
      <c r="DH113" s="21">
        <f>EXP(-LN(2)/2)*DH112+(1-EXP(-LN(2)/2))/(LN(2)/2)*DB113*DE113*VLOOKUP('Données projet'!$B$13,Paramètres!$A$1:$I$89,3,0)*0.475*44/12</f>
        <v>1.0423524641651528E-3</v>
      </c>
      <c r="DI113" s="22">
        <f t="shared" si="69"/>
        <v>87.463258214983568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1">
        <f t="shared" si="86"/>
        <v>24.575643502648031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67">
        <f t="shared" si="56"/>
        <v>492.96115243377858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467.03705646400994</v>
      </c>
      <c r="T114" s="59">
        <f t="shared" si="88"/>
        <v>575.68119027684361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124.72679401073484</v>
      </c>
      <c r="AA114" s="21">
        <f>EXP(-LN(2)/25)*AA113+(1-EXP(-LN(2)/25))/(LN(2)/25)*Calculateur!V114*Calculateur!X114*VLOOKUP('Données projet'!$B$9,Paramètres!$A$1:$I$89,3,0)*0.475*44/12</f>
        <v>20.764423404567911</v>
      </c>
      <c r="AB114" s="21">
        <f>EXP(-LN(2)/2)*AB113+(1-EXP(-LN(2)/2))/(LN(2)/2)*V114*Y114*VLOOKUP('Données projet'!$B$9,Paramètres!$A$1:$I$89,3,0)*0.475*44/12</f>
        <v>7.6216216631880976E-6</v>
      </c>
      <c r="AC114" s="22">
        <f t="shared" si="57"/>
        <v>145.49122503692442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-7.0940586738288402E-14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252.44760109054914</v>
      </c>
      <c r="AO114" s="59">
        <f t="shared" si="90"/>
        <v>121.75506329394773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152.99223990445631</v>
      </c>
      <c r="AV114" s="21">
        <f>EXP(-LN(2)/25)*AV113+(1-EXP(-LN(2)/25))/(LN(2)/25)*Calculateur!AQ114*Calculateur!AS114*VLOOKUP('Données projet'!$B$10,Paramètres!$A$1:$I$89,3,0)*0.475*44/12</f>
        <v>33.018344694757339</v>
      </c>
      <c r="AW114" s="21">
        <f>EXP(-LN(2)/2)*AW113+(1-EXP(-LN(2)/2))/(LN(2)/2)*AQ114*AT114*VLOOKUP('Données projet'!$B$10,Paramètres!$A$1:$I$89,3,0)*0.475*44/12</f>
        <v>0.95369350064571345</v>
      </c>
      <c r="AX114" s="21">
        <f t="shared" si="60"/>
        <v>186.96427809985937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-1.3596945791505279E-13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260.97162394079265</v>
      </c>
      <c r="BJ114" s="59">
        <f t="shared" si="92"/>
        <v>279.1836614199691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80.343691118230836</v>
      </c>
      <c r="BQ114" s="21">
        <f>EXP(-LN(2)/25)*BQ113+(1-EXP(-LN(2)/25))/(LN(2)/25)*Calculateur!BL114*Calculateur!BN114*VLOOKUP('Données projet'!$B$11,Paramètres!$A$1:$I$89,3,0)*0.475*44/12</f>
        <v>13.126660319788469</v>
      </c>
      <c r="BR114" s="21">
        <f>EXP(-LN(2)/2)*BR113+(1-EXP(-LN(2)/2))/(LN(2)/2)*BL114*BO114*VLOOKUP('Données projet'!$B$11,Paramètres!$A$1:$I$89,3,0)*0.475*44/12</f>
        <v>5.9019993606787375E-6</v>
      </c>
      <c r="BS114" s="22">
        <f t="shared" si="63"/>
        <v>93.470357340018666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264.70281355687837</v>
      </c>
      <c r="CE114" s="59">
        <f t="shared" si="94"/>
        <v>199.74194600786768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110.93265283157298</v>
      </c>
      <c r="CL114" s="21">
        <f>EXP(-LN(2)/25)*CL113+(1-EXP(-LN(2)/25))/(LN(2)/25)*Calculateur!CG114*Calculateur!CI114*VLOOKUP('Données projet'!$B$12,Paramètres!$A$1:$I$89,3,0)*0.475*44/12</f>
        <v>20.517530968735713</v>
      </c>
      <c r="CM114" s="21">
        <f>EXP(-LN(2)/2)*CM113+(1-EXP(-LN(2)/2))/(LN(2)/2)*CG114*CJ114*VLOOKUP('Données projet'!$B$12,Paramètres!$A$1:$I$89,3,0)*0.475*44/12</f>
        <v>2.1637383548474493E-3</v>
      </c>
      <c r="CN114" s="22">
        <f t="shared" si="66"/>
        <v>131.45234753866356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-6.5028871176764376E-14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149.8619613776458</v>
      </c>
      <c r="CZ114" s="59">
        <f t="shared" si="96"/>
        <v>108.55560257938146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72.404497407505772</v>
      </c>
      <c r="DG114" s="21">
        <f>EXP(-LN(2)/25)*DG113+(1-EXP(-LN(2)/25))/(LN(2)/25)*Calculateur!DB114*Calculateur!DD114*VLOOKUP('Données projet'!$B$13,Paramètres!$A$1:$I$89,3,0)*0.475*44/12</f>
        <v>13.237359156811774</v>
      </c>
      <c r="DH114" s="21">
        <f>EXP(-LN(2)/2)*DH113+(1-EXP(-LN(2)/2))/(LN(2)/2)*DB114*DE114*VLOOKUP('Données projet'!$B$13,Paramètres!$A$1:$I$89,3,0)*0.475*44/12</f>
        <v>7.3705449579768731E-4</v>
      </c>
      <c r="DI114" s="22">
        <f t="shared" si="69"/>
        <v>85.642593618813351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1">
        <f t="shared" si="86"/>
        <v>24.771172249191263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67">
        <f t="shared" si="56"/>
        <v>494.71453833400801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467.03705646400994</v>
      </c>
      <c r="T115" s="59">
        <f t="shared" si="88"/>
        <v>575.68119027684361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122.2809776560168</v>
      </c>
      <c r="AA115" s="21">
        <f>EXP(-LN(2)/25)*AA114+(1-EXP(-LN(2)/25))/(LN(2)/25)*Calculateur!V115*Calculateur!X115*VLOOKUP('Données projet'!$B$9,Paramètres!$A$1:$I$89,3,0)*0.475*44/12</f>
        <v>20.196619154616432</v>
      </c>
      <c r="AB115" s="21">
        <f>EXP(-LN(2)/2)*AB114+(1-EXP(-LN(2)/2))/(LN(2)/2)*V115*Y115*VLOOKUP('Données projet'!$B$9,Paramètres!$A$1:$I$89,3,0)*0.475*44/12</f>
        <v>5.3893003616785972E-6</v>
      </c>
      <c r="AC115" s="22">
        <f t="shared" si="57"/>
        <v>142.47760219993359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-7.0940586738288402E-14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252.44760109054914</v>
      </c>
      <c r="AO115" s="59">
        <f t="shared" si="90"/>
        <v>121.75506329394773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149.99215539598208</v>
      </c>
      <c r="AV115" s="21">
        <f>EXP(-LN(2)/25)*AV114+(1-EXP(-LN(2)/25))/(LN(2)/25)*Calculateur!AQ115*Calculateur!AS115*VLOOKUP('Données projet'!$B$10,Paramètres!$A$1:$I$89,3,0)*0.475*44/12</f>
        <v>32.115456322719915</v>
      </c>
      <c r="AW115" s="21">
        <f>EXP(-LN(2)/2)*AW114+(1-EXP(-LN(2)/2))/(LN(2)/2)*AQ115*AT115*VLOOKUP('Données projet'!$B$10,Paramètres!$A$1:$I$89,3,0)*0.475*44/12</f>
        <v>0.67436314148012111</v>
      </c>
      <c r="AX115" s="21">
        <f t="shared" si="60"/>
        <v>182.78197486018212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-1.3596945791505279E-13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260.97162394079265</v>
      </c>
      <c r="BJ115" s="59">
        <f t="shared" si="92"/>
        <v>279.1836614199691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78.768200340215088</v>
      </c>
      <c r="BQ115" s="21">
        <f>EXP(-LN(2)/25)*BQ114+(1-EXP(-LN(2)/25))/(LN(2)/25)*Calculateur!BL115*Calculateur!BN115*VLOOKUP('Données projet'!$B$11,Paramètres!$A$1:$I$89,3,0)*0.475*44/12</f>
        <v>12.767711103042789</v>
      </c>
      <c r="BR115" s="21">
        <f>EXP(-LN(2)/2)*BR114+(1-EXP(-LN(2)/2))/(LN(2)/2)*BL115*BO115*VLOOKUP('Données projet'!$B$11,Paramètres!$A$1:$I$89,3,0)*0.475*44/12</f>
        <v>4.1733437704946034E-6</v>
      </c>
      <c r="BS115" s="22">
        <f t="shared" si="63"/>
        <v>91.535915616601642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264.70281355687837</v>
      </c>
      <c r="CE115" s="59">
        <f t="shared" si="94"/>
        <v>199.74194600786768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108.75733117178297</v>
      </c>
      <c r="CL115" s="21">
        <f>EXP(-LN(2)/25)*CL114+(1-EXP(-LN(2)/25))/(LN(2)/25)*Calculateur!CG115*Calculateur!CI115*VLOOKUP('Données projet'!$B$12,Paramètres!$A$1:$I$89,3,0)*0.475*44/12</f>
        <v>19.956478005425573</v>
      </c>
      <c r="CM115" s="21">
        <f>EXP(-LN(2)/2)*CM114+(1-EXP(-LN(2)/2))/(LN(2)/2)*CG115*CJ115*VLOOKUP('Données projet'!$B$12,Paramètres!$A$1:$I$89,3,0)*0.475*44/12</f>
        <v>1.5299940634260557E-3</v>
      </c>
      <c r="CN115" s="22">
        <f t="shared" si="66"/>
        <v>128.71533917127195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-6.5028871176764376E-14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149.8619613776458</v>
      </c>
      <c r="CZ115" s="59">
        <f t="shared" si="96"/>
        <v>108.55560257938146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70.984689375727328</v>
      </c>
      <c r="DG115" s="21">
        <f>EXP(-LN(2)/25)*DG114+(1-EXP(-LN(2)/25))/(LN(2)/25)*Calculateur!DB115*Calculateur!DD115*VLOOKUP('Données projet'!$B$13,Paramètres!$A$1:$I$89,3,0)*0.475*44/12</f>
        <v>12.875382874546291</v>
      </c>
      <c r="DH115" s="21">
        <f>EXP(-LN(2)/2)*DH114+(1-EXP(-LN(2)/2))/(LN(2)/2)*DB115*DE115*VLOOKUP('Données projet'!$B$13,Paramètres!$A$1:$I$89,3,0)*0.475*44/12</f>
        <v>5.211762320825764E-4</v>
      </c>
      <c r="DI115" s="22">
        <f t="shared" si="69"/>
        <v>83.860593426505702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1">
        <f t="shared" si="86"/>
        <v>24.966497888207424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67">
        <f t="shared" si="56"/>
        <v>496.46757048862781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467.03705646400994</v>
      </c>
      <c r="T116" s="59">
        <f t="shared" si="88"/>
        <v>575.68119027684361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119.88312226821412</v>
      </c>
      <c r="AA116" s="21">
        <f>EXP(-LN(2)/25)*AA115+(1-EXP(-LN(2)/25))/(LN(2)/25)*Calculateur!V116*Calculateur!X116*VLOOKUP('Données projet'!$B$9,Paramètres!$A$1:$I$89,3,0)*0.475*44/12</f>
        <v>19.644341541739404</v>
      </c>
      <c r="AB116" s="21">
        <f>EXP(-LN(2)/2)*AB115+(1-EXP(-LN(2)/2))/(LN(2)/2)*V116*Y116*VLOOKUP('Données projet'!$B$9,Paramètres!$A$1:$I$89,3,0)*0.475*44/12</f>
        <v>3.8108108315940496E-6</v>
      </c>
      <c r="AC116" s="22">
        <f t="shared" si="57"/>
        <v>139.52746762076436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-7.0940586738288402E-14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252.44760109054914</v>
      </c>
      <c r="AO116" s="59">
        <f t="shared" si="90"/>
        <v>121.75506329394773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147.05090071484815</v>
      </c>
      <c r="AV116" s="21">
        <f>EXP(-LN(2)/25)*AV115+(1-EXP(-LN(2)/25))/(LN(2)/25)*Calculateur!AQ116*Calculateur!AS116*VLOOKUP('Données projet'!$B$10,Paramètres!$A$1:$I$89,3,0)*0.475*44/12</f>
        <v>31.237257480696691</v>
      </c>
      <c r="AW116" s="21">
        <f>EXP(-LN(2)/2)*AW115+(1-EXP(-LN(2)/2))/(LN(2)/2)*AQ116*AT116*VLOOKUP('Données projet'!$B$10,Paramètres!$A$1:$I$89,3,0)*0.475*44/12</f>
        <v>0.47684675032285684</v>
      </c>
      <c r="AX116" s="21">
        <f t="shared" si="60"/>
        <v>178.7650049458677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-1.3596945791505279E-13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260.97162394079265</v>
      </c>
      <c r="BJ116" s="59">
        <f t="shared" si="92"/>
        <v>279.1836614199691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77.223603975401744</v>
      </c>
      <c r="BQ116" s="21">
        <f>EXP(-LN(2)/25)*BQ115+(1-EXP(-LN(2)/25))/(LN(2)/25)*Calculateur!BL116*Calculateur!BN116*VLOOKUP('Données projet'!$B$11,Paramètres!$A$1:$I$89,3,0)*0.475*44/12</f>
        <v>12.418577371505338</v>
      </c>
      <c r="BR116" s="21">
        <f>EXP(-LN(2)/2)*BR115+(1-EXP(-LN(2)/2))/(LN(2)/2)*BL116*BO116*VLOOKUP('Données projet'!$B$11,Paramètres!$A$1:$I$89,3,0)*0.475*44/12</f>
        <v>2.9509996803393687E-6</v>
      </c>
      <c r="BS116" s="22">
        <f t="shared" si="63"/>
        <v>89.642184297906766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264.70281355687837</v>
      </c>
      <c r="CE116" s="59">
        <f t="shared" si="94"/>
        <v>199.74194600786768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106.62466624292624</v>
      </c>
      <c r="CL116" s="21">
        <f>EXP(-LN(2)/25)*CL115+(1-EXP(-LN(2)/25))/(LN(2)/25)*Calculateur!CG116*Calculateur!CI116*VLOOKUP('Données projet'!$B$12,Paramètres!$A$1:$I$89,3,0)*0.475*44/12</f>
        <v>19.410767064901645</v>
      </c>
      <c r="CM116" s="21">
        <f>EXP(-LN(2)/2)*CM115+(1-EXP(-LN(2)/2))/(LN(2)/2)*CG116*CJ116*VLOOKUP('Données projet'!$B$12,Paramètres!$A$1:$I$89,3,0)*0.475*44/12</f>
        <v>1.0818691774237246E-3</v>
      </c>
      <c r="CN116" s="22">
        <f t="shared" si="66"/>
        <v>126.03651517700531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-6.5028871176764376E-14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149.8619613776458</v>
      </c>
      <c r="CZ116" s="59">
        <f t="shared" si="96"/>
        <v>108.55560257938146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69.592722913454665</v>
      </c>
      <c r="DG116" s="21">
        <f>EXP(-LN(2)/25)*DG115+(1-EXP(-LN(2)/25))/(LN(2)/25)*Calculateur!DB116*Calculateur!DD116*VLOOKUP('Données projet'!$B$13,Paramètres!$A$1:$I$89,3,0)*0.475*44/12</f>
        <v>12.523304852754865</v>
      </c>
      <c r="DH116" s="21">
        <f>EXP(-LN(2)/2)*DH115+(1-EXP(-LN(2)/2))/(LN(2)/2)*DB116*DE116*VLOOKUP('Données projet'!$B$13,Paramètres!$A$1:$I$89,3,0)*0.475*44/12</f>
        <v>3.6852724789884365E-4</v>
      </c>
      <c r="DI116" s="22">
        <f t="shared" si="69"/>
        <v>82.116396293457427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1">
        <f t="shared" si="86"/>
        <v>25.161622425346401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67">
        <f t="shared" si="56"/>
        <v>498.22025239081154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467.03705646400994</v>
      </c>
      <c r="T117" s="59">
        <f t="shared" si="88"/>
        <v>575.68119027684361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117.53228736201888</v>
      </c>
      <c r="AA117" s="21">
        <f>EXP(-LN(2)/25)*AA116+(1-EXP(-LN(2)/25))/(LN(2)/25)*Calculateur!V117*Calculateur!X117*VLOOKUP('Données projet'!$B$9,Paramètres!$A$1:$I$89,3,0)*0.475*44/12</f>
        <v>19.107165989229518</v>
      </c>
      <c r="AB117" s="21">
        <f>EXP(-LN(2)/2)*AB116+(1-EXP(-LN(2)/2))/(LN(2)/2)*V117*Y117*VLOOKUP('Données projet'!$B$9,Paramètres!$A$1:$I$89,3,0)*0.475*44/12</f>
        <v>2.694650180839299E-6</v>
      </c>
      <c r="AC117" s="22">
        <f t="shared" si="57"/>
        <v>136.63945604589858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-7.0940586738288402E-14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252.44760109054914</v>
      </c>
      <c r="AO117" s="59">
        <f t="shared" si="90"/>
        <v>121.75506329394773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144.16732224402304</v>
      </c>
      <c r="AV117" s="21">
        <f>EXP(-LN(2)/25)*AV116+(1-EXP(-LN(2)/25))/(LN(2)/25)*Calculateur!AQ117*Calculateur!AS117*VLOOKUP('Données projet'!$B$10,Paramètres!$A$1:$I$89,3,0)*0.475*44/12</f>
        <v>30.383073032191064</v>
      </c>
      <c r="AW117" s="21">
        <f>EXP(-LN(2)/2)*AW116+(1-EXP(-LN(2)/2))/(LN(2)/2)*AQ117*AT117*VLOOKUP('Données projet'!$B$10,Paramètres!$A$1:$I$89,3,0)*0.475*44/12</f>
        <v>0.33718157074006061</v>
      </c>
      <c r="AX117" s="21">
        <f t="shared" si="60"/>
        <v>174.88757684695415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-1.3596945791505279E-13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260.97162394079265</v>
      </c>
      <c r="BJ117" s="59">
        <f t="shared" si="92"/>
        <v>279.1836614199691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75.709296203191627</v>
      </c>
      <c r="BQ117" s="21">
        <f>EXP(-LN(2)/25)*BQ116+(1-EXP(-LN(2)/25))/(LN(2)/25)*Calculateur!BL117*Calculateur!BN117*VLOOKUP('Données projet'!$B$11,Paramètres!$A$1:$I$89,3,0)*0.475*44/12</f>
        <v>12.078990720216924</v>
      </c>
      <c r="BR117" s="21">
        <f>EXP(-LN(2)/2)*BR116+(1-EXP(-LN(2)/2))/(LN(2)/2)*BL117*BO117*VLOOKUP('Données projet'!$B$11,Paramètres!$A$1:$I$89,3,0)*0.475*44/12</f>
        <v>2.0866718852473017E-6</v>
      </c>
      <c r="BS117" s="22">
        <f t="shared" si="63"/>
        <v>87.788289010080433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264.70281355687837</v>
      </c>
      <c r="CE117" s="59">
        <f t="shared" si="94"/>
        <v>199.74194600786768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104.53382157252723</v>
      </c>
      <c r="CL117" s="21">
        <f>EXP(-LN(2)/25)*CL116+(1-EXP(-LN(2)/25))/(LN(2)/25)*Calculateur!CG117*Calculateur!CI117*VLOOKUP('Données projet'!$B$12,Paramètres!$A$1:$I$89,3,0)*0.475*44/12</f>
        <v>18.879978618744033</v>
      </c>
      <c r="CM117" s="21">
        <f>EXP(-LN(2)/2)*CM116+(1-EXP(-LN(2)/2))/(LN(2)/2)*CG117*CJ117*VLOOKUP('Données projet'!$B$12,Paramètres!$A$1:$I$89,3,0)*0.475*44/12</f>
        <v>7.6499703171302783E-4</v>
      </c>
      <c r="CN117" s="22">
        <f t="shared" si="66"/>
        <v>123.41456518830297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-6.5028871176764376E-14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149.8619613776458</v>
      </c>
      <c r="CZ117" s="59">
        <f t="shared" si="96"/>
        <v>108.55560257938146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68.228052064491465</v>
      </c>
      <c r="DG117" s="21">
        <f>EXP(-LN(2)/25)*DG116+(1-EXP(-LN(2)/25))/(LN(2)/25)*Calculateur!DB117*Calculateur!DD117*VLOOKUP('Données projet'!$B$13,Paramètres!$A$1:$I$89,3,0)*0.475*44/12</f>
        <v>12.180854422984304</v>
      </c>
      <c r="DH117" s="21">
        <f>EXP(-LN(2)/2)*DH116+(1-EXP(-LN(2)/2))/(LN(2)/2)*DB117*DE117*VLOOKUP('Données projet'!$B$13,Paramètres!$A$1:$I$89,3,0)*0.475*44/12</f>
        <v>2.605881160412882E-4</v>
      </c>
      <c r="DI117" s="22">
        <f t="shared" si="69"/>
        <v>80.40916707559181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1">
        <f t="shared" si="86"/>
        <v>25.356547829040977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67">
        <f t="shared" si="56"/>
        <v>499.97258746891293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467.03705646400994</v>
      </c>
      <c r="T118" s="59">
        <f t="shared" si="88"/>
        <v>575.68119027684361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115.22755089446642</v>
      </c>
      <c r="AA118" s="21">
        <f>EXP(-LN(2)/25)*AA117+(1-EXP(-LN(2)/25))/(LN(2)/25)*Calculateur!V118*Calculateur!X118*VLOOKUP('Données projet'!$B$9,Paramètres!$A$1:$I$89,3,0)*0.475*44/12</f>
        <v>18.584679530451847</v>
      </c>
      <c r="AB118" s="21">
        <f>EXP(-LN(2)/2)*AB117+(1-EXP(-LN(2)/2))/(LN(2)/2)*V118*Y118*VLOOKUP('Données projet'!$B$9,Paramètres!$A$1:$I$89,3,0)*0.475*44/12</f>
        <v>1.905405415797025E-6</v>
      </c>
      <c r="AC118" s="22">
        <f t="shared" si="57"/>
        <v>133.81223233032367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-7.0940586738288402E-14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252.44760109054914</v>
      </c>
      <c r="AO118" s="59">
        <f t="shared" si="90"/>
        <v>121.75506329394773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141.34028898820162</v>
      </c>
      <c r="AV118" s="21">
        <f>EXP(-LN(2)/25)*AV117+(1-EXP(-LN(2)/25))/(LN(2)/25)*Calculateur!AQ118*Calculateur!AS118*VLOOKUP('Données projet'!$B$10,Paramètres!$A$1:$I$89,3,0)*0.475*44/12</f>
        <v>29.552246302349431</v>
      </c>
      <c r="AW118" s="21">
        <f>EXP(-LN(2)/2)*AW117+(1-EXP(-LN(2)/2))/(LN(2)/2)*AQ118*AT118*VLOOKUP('Données projet'!$B$10,Paramètres!$A$1:$I$89,3,0)*0.475*44/12</f>
        <v>0.23842337516142845</v>
      </c>
      <c r="AX118" s="21">
        <f t="shared" si="60"/>
        <v>171.13095866571248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-1.3596945791505279E-13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260.97162394079265</v>
      </c>
      <c r="BJ118" s="59">
        <f t="shared" si="92"/>
        <v>279.1836614199691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74.22468308275802</v>
      </c>
      <c r="BQ118" s="21">
        <f>EXP(-LN(2)/25)*BQ117+(1-EXP(-LN(2)/25))/(LN(2)/25)*Calculateur!BL118*Calculateur!BN118*VLOOKUP('Données projet'!$B$11,Paramètres!$A$1:$I$89,3,0)*0.475*44/12</f>
        <v>11.748690083766077</v>
      </c>
      <c r="BR118" s="21">
        <f>EXP(-LN(2)/2)*BR117+(1-EXP(-LN(2)/2))/(LN(2)/2)*BL118*BO118*VLOOKUP('Données projet'!$B$11,Paramètres!$A$1:$I$89,3,0)*0.475*44/12</f>
        <v>1.4754998401696844E-6</v>
      </c>
      <c r="BS118" s="22">
        <f t="shared" si="63"/>
        <v>85.973374642023941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264.70281355687837</v>
      </c>
      <c r="CE118" s="59">
        <f t="shared" si="94"/>
        <v>199.74194600786768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102.48397709082542</v>
      </c>
      <c r="CL118" s="21">
        <f>EXP(-LN(2)/25)*CL117+(1-EXP(-LN(2)/25))/(LN(2)/25)*Calculateur!CG118*Calculateur!CI118*VLOOKUP('Données projet'!$B$12,Paramètres!$A$1:$I$89,3,0)*0.475*44/12</f>
        <v>18.363704610559552</v>
      </c>
      <c r="CM118" s="21">
        <f>EXP(-LN(2)/2)*CM117+(1-EXP(-LN(2)/2))/(LN(2)/2)*CG118*CJ118*VLOOKUP('Données projet'!$B$12,Paramètres!$A$1:$I$89,3,0)*0.475*44/12</f>
        <v>5.4093458871186232E-4</v>
      </c>
      <c r="CN118" s="22">
        <f t="shared" si="66"/>
        <v>120.84822263597368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-6.5028871176764376E-14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149.8619613776458</v>
      </c>
      <c r="CZ118" s="59">
        <f t="shared" si="96"/>
        <v>108.55560257938146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66.8901415785094</v>
      </c>
      <c r="DG118" s="21">
        <f>EXP(-LN(2)/25)*DG117+(1-EXP(-LN(2)/25))/(LN(2)/25)*Calculateur!DB118*Calculateur!DD118*VLOOKUP('Données projet'!$B$13,Paramètres!$A$1:$I$89,3,0)*0.475*44/12</f>
        <v>11.847768318224503</v>
      </c>
      <c r="DH118" s="21">
        <f>EXP(-LN(2)/2)*DH117+(1-EXP(-LN(2)/2))/(LN(2)/2)*DB118*DE118*VLOOKUP('Données projet'!$B$13,Paramètres!$A$1:$I$89,3,0)*0.475*44/12</f>
        <v>1.8426362394942183E-4</v>
      </c>
      <c r="DI118" s="22">
        <f t="shared" si="69"/>
        <v>78.738094160357846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1">
        <f t="shared" si="86"/>
        <v>25.551276031514817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67">
        <f t="shared" si="56"/>
        <v>501.7245790882215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467.03705646400994</v>
      </c>
      <c r="T119" s="59">
        <f t="shared" si="88"/>
        <v>575.68119027684361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112.96800890329222</v>
      </c>
      <c r="AA119" s="21">
        <f>EXP(-LN(2)/25)*AA118+(1-EXP(-LN(2)/25))/(LN(2)/25)*Calculateur!V119*Calculateur!X119*VLOOKUP('Données projet'!$B$9,Paramètres!$A$1:$I$89,3,0)*0.475*44/12</f>
        <v>18.076480491365821</v>
      </c>
      <c r="AB119" s="21">
        <f>EXP(-LN(2)/2)*AB118+(1-EXP(-LN(2)/2))/(LN(2)/2)*V119*Y119*VLOOKUP('Données projet'!$B$9,Paramètres!$A$1:$I$89,3,0)*0.475*44/12</f>
        <v>1.3473250904196497E-6</v>
      </c>
      <c r="AC119" s="22">
        <f t="shared" si="57"/>
        <v>131.04449074198311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-7.0940586738288402E-14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252.44760109054914</v>
      </c>
      <c r="AO119" s="59">
        <f t="shared" si="90"/>
        <v>121.75506329394773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138.56869213020684</v>
      </c>
      <c r="AV119" s="21">
        <f>EXP(-LN(2)/25)*AV118+(1-EXP(-LN(2)/25))/(LN(2)/25)*Calculateur!AQ119*Calculateur!AS119*VLOOKUP('Données projet'!$B$10,Paramètres!$A$1:$I$89,3,0)*0.475*44/12</f>
        <v>28.744138573126595</v>
      </c>
      <c r="AW119" s="21">
        <f>EXP(-LN(2)/2)*AW118+(1-EXP(-LN(2)/2))/(LN(2)/2)*AQ119*AT119*VLOOKUP('Données projet'!$B$10,Paramètres!$A$1:$I$89,3,0)*0.475*44/12</f>
        <v>0.16859078537003033</v>
      </c>
      <c r="AX119" s="21">
        <f t="shared" si="60"/>
        <v>167.48142148870349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-1.3596945791505279E-13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260.97162394079265</v>
      </c>
      <c r="BJ119" s="59">
        <f t="shared" si="92"/>
        <v>279.1836614199691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72.769182320091517</v>
      </c>
      <c r="BQ119" s="21">
        <f>EXP(-LN(2)/25)*BQ118+(1-EXP(-LN(2)/25))/(LN(2)/25)*Calculateur!BL119*Calculateur!BN119*VLOOKUP('Données projet'!$B$11,Paramètres!$A$1:$I$89,3,0)*0.475*44/12</f>
        <v>11.427421535588733</v>
      </c>
      <c r="BR119" s="21">
        <f>EXP(-LN(2)/2)*BR118+(1-EXP(-LN(2)/2))/(LN(2)/2)*BL119*BO119*VLOOKUP('Données projet'!$B$11,Paramètres!$A$1:$I$89,3,0)*0.475*44/12</f>
        <v>1.0433359426236508E-6</v>
      </c>
      <c r="BS119" s="22">
        <f t="shared" si="63"/>
        <v>84.196604899016194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264.70281355687837</v>
      </c>
      <c r="CE119" s="59">
        <f t="shared" si="94"/>
        <v>199.74194600786768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100.4743288091281</v>
      </c>
      <c r="CL119" s="21">
        <f>EXP(-LN(2)/25)*CL118+(1-EXP(-LN(2)/25))/(LN(2)/25)*Calculateur!CG119*Calculateur!CI119*VLOOKUP('Données projet'!$B$12,Paramètres!$A$1:$I$89,3,0)*0.475*44/12</f>
        <v>17.861548142278547</v>
      </c>
      <c r="CM119" s="21">
        <f>EXP(-LN(2)/2)*CM118+(1-EXP(-LN(2)/2))/(LN(2)/2)*CG119*CJ119*VLOOKUP('Données projet'!$B$12,Paramètres!$A$1:$I$89,3,0)*0.475*44/12</f>
        <v>3.8249851585651391E-4</v>
      </c>
      <c r="CN119" s="22">
        <f t="shared" si="66"/>
        <v>118.33625944992251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-6.5028871176764376E-14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149.8619613776458</v>
      </c>
      <c r="CZ119" s="59">
        <f t="shared" si="96"/>
        <v>108.55560257938146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65.578466701112632</v>
      </c>
      <c r="DG119" s="21">
        <f>EXP(-LN(2)/25)*DG118+(1-EXP(-LN(2)/25))/(LN(2)/25)*Calculateur!DB119*Calculateur!DD119*VLOOKUP('Données projet'!$B$13,Paramètres!$A$1:$I$89,3,0)*0.475*44/12</f>
        <v>11.523790470515596</v>
      </c>
      <c r="DH119" s="21">
        <f>EXP(-LN(2)/2)*DH118+(1-EXP(-LN(2)/2))/(LN(2)/2)*DB119*DE119*VLOOKUP('Données projet'!$B$13,Paramètres!$A$1:$I$89,3,0)*0.475*44/12</f>
        <v>1.302940580206441E-4</v>
      </c>
      <c r="DI119" s="22">
        <f t="shared" si="69"/>
        <v>77.102387465686249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1">
        <f t="shared" si="86"/>
        <v>25.745808929754968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67">
        <f t="shared" si="56"/>
        <v>503.47623055265649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467.03705646400994</v>
      </c>
      <c r="T120" s="59">
        <f t="shared" si="88"/>
        <v>575.68119027684361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110.75277515238041</v>
      </c>
      <c r="AA120" s="21">
        <f>EXP(-LN(2)/25)*AA119+(1-EXP(-LN(2)/25))/(LN(2)/25)*Calculateur!V120*Calculateur!X120*VLOOKUP('Données projet'!$B$9,Paramètres!$A$1:$I$89,3,0)*0.475*44/12</f>
        <v>17.582178181728629</v>
      </c>
      <c r="AB120" s="21">
        <f>EXP(-LN(2)/2)*AB119+(1-EXP(-LN(2)/2))/(LN(2)/2)*V120*Y120*VLOOKUP('Données projet'!$B$9,Paramètres!$A$1:$I$89,3,0)*0.475*44/12</f>
        <v>9.5270270789851272E-7</v>
      </c>
      <c r="AC120" s="22">
        <f t="shared" si="57"/>
        <v>128.33495428681175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-7.0940586738288402E-14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252.44760109054914</v>
      </c>
      <c r="AO120" s="59">
        <f t="shared" si="90"/>
        <v>121.75506329394773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135.85144459609018</v>
      </c>
      <c r="AV120" s="21">
        <f>EXP(-LN(2)/25)*AV119+(1-EXP(-LN(2)/25))/(LN(2)/25)*Calculateur!AQ120*Calculateur!AS120*VLOOKUP('Données projet'!$B$10,Paramètres!$A$1:$I$89,3,0)*0.475*44/12</f>
        <v>27.958128592255896</v>
      </c>
      <c r="AW120" s="21">
        <f>EXP(-LN(2)/2)*AW119+(1-EXP(-LN(2)/2))/(LN(2)/2)*AQ120*AT120*VLOOKUP('Données projet'!$B$10,Paramètres!$A$1:$I$89,3,0)*0.475*44/12</f>
        <v>0.11921168758071424</v>
      </c>
      <c r="AX120" s="21">
        <f t="shared" si="60"/>
        <v>163.92878487592677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-1.3596945791505279E-13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260.97162394079265</v>
      </c>
      <c r="BJ120" s="59">
        <f t="shared" si="92"/>
        <v>279.1836614199691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71.342223039613103</v>
      </c>
      <c r="BQ120" s="21">
        <f>EXP(-LN(2)/25)*BQ119+(1-EXP(-LN(2)/25))/(LN(2)/25)*Calculateur!BL120*Calculateur!BN120*VLOOKUP('Données projet'!$B$11,Paramètres!$A$1:$I$89,3,0)*0.475*44/12</f>
        <v>11.114938092756079</v>
      </c>
      <c r="BR120" s="21">
        <f>EXP(-LN(2)/2)*BR119+(1-EXP(-LN(2)/2))/(LN(2)/2)*BL120*BO120*VLOOKUP('Données projet'!$B$11,Paramètres!$A$1:$I$89,3,0)*0.475*44/12</f>
        <v>7.3774992008484218E-7</v>
      </c>
      <c r="BS120" s="22">
        <f t="shared" si="63"/>
        <v>82.457161870119094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264.70281355687837</v>
      </c>
      <c r="CE120" s="59">
        <f t="shared" si="94"/>
        <v>199.74194600786768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98.504088504470445</v>
      </c>
      <c r="CL120" s="21">
        <f>EXP(-LN(2)/25)*CL119+(1-EXP(-LN(2)/25))/(LN(2)/25)*Calculateur!CG120*Calculateur!CI120*VLOOKUP('Données projet'!$B$12,Paramètres!$A$1:$I$89,3,0)*0.475*44/12</f>
        <v>17.373123169029945</v>
      </c>
      <c r="CM120" s="21">
        <f>EXP(-LN(2)/2)*CM119+(1-EXP(-LN(2)/2))/(LN(2)/2)*CG120*CJ120*VLOOKUP('Données projet'!$B$12,Paramètres!$A$1:$I$89,3,0)*0.475*44/12</f>
        <v>2.7046729435593116E-4</v>
      </c>
      <c r="CN120" s="22">
        <f t="shared" si="66"/>
        <v>115.87748214079475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-6.5028871176764376E-14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149.8619613776458</v>
      </c>
      <c r="CZ120" s="59">
        <f t="shared" si="96"/>
        <v>108.55560257938146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64.29251296801894</v>
      </c>
      <c r="DG120" s="21">
        <f>EXP(-LN(2)/25)*DG119+(1-EXP(-LN(2)/25))/(LN(2)/25)*Calculateur!DB120*Calculateur!DD120*VLOOKUP('Données projet'!$B$13,Paramètres!$A$1:$I$89,3,0)*0.475*44/12</f>
        <v>11.208671814089545</v>
      </c>
      <c r="DH120" s="21">
        <f>EXP(-LN(2)/2)*DH119+(1-EXP(-LN(2)/2))/(LN(2)/2)*DB120*DE120*VLOOKUP('Données projet'!$B$13,Paramètres!$A$1:$I$89,3,0)*0.475*44/12</f>
        <v>9.2131811974710914E-5</v>
      </c>
      <c r="DI120" s="22">
        <f t="shared" si="69"/>
        <v>75.501276913920449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1">
        <f t="shared" si="86"/>
        <v>25.940148386449934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67">
        <f t="shared" si="56"/>
        <v>505.22754510640021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467.03705646400994</v>
      </c>
      <c r="T121" s="59">
        <f t="shared" si="88"/>
        <v>575.68119027684361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108.58098078416481</v>
      </c>
      <c r="AA121" s="21">
        <f>EXP(-LN(2)/25)*AA120+(1-EXP(-LN(2)/25))/(LN(2)/25)*Calculateur!V121*Calculateur!X121*VLOOKUP('Données projet'!$B$9,Paramètres!$A$1:$I$89,3,0)*0.475*44/12</f>
        <v>17.101392594742695</v>
      </c>
      <c r="AB121" s="21">
        <f>EXP(-LN(2)/2)*AB120+(1-EXP(-LN(2)/2))/(LN(2)/2)*V121*Y121*VLOOKUP('Données projet'!$B$9,Paramètres!$A$1:$I$89,3,0)*0.475*44/12</f>
        <v>6.7366254520982497E-7</v>
      </c>
      <c r="AC121" s="22">
        <f t="shared" si="57"/>
        <v>125.68237405257004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-7.0940586738288402E-14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252.44760109054914</v>
      </c>
      <c r="AO121" s="59">
        <f t="shared" si="90"/>
        <v>121.75506329394773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133.1874806287602</v>
      </c>
      <c r="AV121" s="21">
        <f>EXP(-LN(2)/25)*AV120+(1-EXP(-LN(2)/25))/(LN(2)/25)*Calculateur!AQ121*Calculateur!AS121*VLOOKUP('Données projet'!$B$10,Paramètres!$A$1:$I$89,3,0)*0.475*44/12</f>
        <v>27.193612095646575</v>
      </c>
      <c r="AW121" s="21">
        <f>EXP(-LN(2)/2)*AW120+(1-EXP(-LN(2)/2))/(LN(2)/2)*AQ121*AT121*VLOOKUP('Données projet'!$B$10,Paramètres!$A$1:$I$89,3,0)*0.475*44/12</f>
        <v>8.4295392685015166E-2</v>
      </c>
      <c r="AX121" s="21">
        <f t="shared" si="60"/>
        <v>160.46538811709181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-1.3596945791505279E-13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260.97162394079265</v>
      </c>
      <c r="BJ121" s="59">
        <f t="shared" si="92"/>
        <v>279.1836614199691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69.943245560265652</v>
      </c>
      <c r="BQ121" s="21">
        <f>EXP(-LN(2)/25)*BQ120+(1-EXP(-LN(2)/25))/(LN(2)/25)*Calculateur!BL121*Calculateur!BN121*VLOOKUP('Données projet'!$B$11,Paramètres!$A$1:$I$89,3,0)*0.475*44/12</f>
        <v>10.810999526100472</v>
      </c>
      <c r="BR121" s="21">
        <f>EXP(-LN(2)/2)*BR120+(1-EXP(-LN(2)/2))/(LN(2)/2)*BL121*BO121*VLOOKUP('Données projet'!$B$11,Paramètres!$A$1:$I$89,3,0)*0.475*44/12</f>
        <v>5.2166797131182542E-7</v>
      </c>
      <c r="BS121" s="22">
        <f t="shared" si="63"/>
        <v>80.754245608034097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264.70281355687837</v>
      </c>
      <c r="CE121" s="59">
        <f t="shared" si="94"/>
        <v>199.74194600786768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96.572483410459199</v>
      </c>
      <c r="CL121" s="21">
        <f>EXP(-LN(2)/25)*CL120+(1-EXP(-LN(2)/25))/(LN(2)/25)*Calculateur!CG121*Calculateur!CI121*VLOOKUP('Données projet'!$B$12,Paramètres!$A$1:$I$89,3,0)*0.475*44/12</f>
        <v>16.89805420235998</v>
      </c>
      <c r="CM121" s="21">
        <f>EXP(-LN(2)/2)*CM120+(1-EXP(-LN(2)/2))/(LN(2)/2)*CG121*CJ121*VLOOKUP('Données projet'!$B$12,Paramètres!$A$1:$I$89,3,0)*0.475*44/12</f>
        <v>1.9124925792825696E-4</v>
      </c>
      <c r="CN121" s="22">
        <f t="shared" si="66"/>
        <v>113.47072886207711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-6.5028871176764376E-14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149.8619613776458</v>
      </c>
      <c r="CZ121" s="59">
        <f t="shared" si="96"/>
        <v>108.55560257938146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63.031776003276882</v>
      </c>
      <c r="DG121" s="21">
        <f>EXP(-LN(2)/25)*DG120+(1-EXP(-LN(2)/25))/(LN(2)/25)*Calculateur!DB121*Calculateur!DD121*VLOOKUP('Données projet'!$B$13,Paramètres!$A$1:$I$89,3,0)*0.475*44/12</f>
        <v>10.902170093894833</v>
      </c>
      <c r="DH121" s="21">
        <f>EXP(-LN(2)/2)*DH120+(1-EXP(-LN(2)/2))/(LN(2)/2)*DB121*DE121*VLOOKUP('Données projet'!$B$13,Paramètres!$A$1:$I$89,3,0)*0.475*44/12</f>
        <v>6.5147029010322049E-5</v>
      </c>
      <c r="DI121" s="22">
        <f t="shared" si="69"/>
        <v>73.934011244200718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1">
        <f t="shared" si="86"/>
        <v>26.134296230894964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67">
        <f t="shared" si="56"/>
        <v>506.97852593547532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467.03705646400994</v>
      </c>
      <c r="T122" s="59">
        <f t="shared" si="88"/>
        <v>575.68119027684361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106.45177397884616</v>
      </c>
      <c r="AA122" s="21">
        <f>EXP(-LN(2)/25)*AA121+(1-EXP(-LN(2)/25))/(LN(2)/25)*Calculateur!V122*Calculateur!X122*VLOOKUP('Données projet'!$B$9,Paramètres!$A$1:$I$89,3,0)*0.475*44/12</f>
        <v>16.633754114916304</v>
      </c>
      <c r="AB122" s="21">
        <f>EXP(-LN(2)/2)*AB121+(1-EXP(-LN(2)/2))/(LN(2)/2)*V122*Y122*VLOOKUP('Données projet'!$B$9,Paramètres!$A$1:$I$89,3,0)*0.475*44/12</f>
        <v>4.7635135394925642E-7</v>
      </c>
      <c r="AC122" s="22">
        <f t="shared" si="57"/>
        <v>123.08552857011382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-7.0940586738288402E-14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252.44760109054914</v>
      </c>
      <c r="AO122" s="59">
        <f t="shared" si="90"/>
        <v>121.75506329394773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130.57575536997197</v>
      </c>
      <c r="AV122" s="21">
        <f>EXP(-LN(2)/25)*AV121+(1-EXP(-LN(2)/25))/(LN(2)/25)*Calculateur!AQ122*Calculateur!AS122*VLOOKUP('Données projet'!$B$10,Paramètres!$A$1:$I$89,3,0)*0.475*44/12</f>
        <v>26.450001342841212</v>
      </c>
      <c r="AW122" s="21">
        <f>EXP(-LN(2)/2)*AW121+(1-EXP(-LN(2)/2))/(LN(2)/2)*AQ122*AT122*VLOOKUP('Données projet'!$B$10,Paramètres!$A$1:$I$89,3,0)*0.475*44/12</f>
        <v>5.9605843790357119E-2</v>
      </c>
      <c r="AX122" s="21">
        <f t="shared" si="60"/>
        <v>157.08536255660354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-1.3596945791505279E-13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260.97162394079265</v>
      </c>
      <c r="BJ122" s="59">
        <f t="shared" si="92"/>
        <v>279.1836614199691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68.571701175996196</v>
      </c>
      <c r="BQ122" s="21">
        <f>EXP(-LN(2)/25)*BQ121+(1-EXP(-LN(2)/25))/(LN(2)/25)*Calculateur!BL122*Calculateur!BN122*VLOOKUP('Données projet'!$B$11,Paramètres!$A$1:$I$89,3,0)*0.475*44/12</f>
        <v>10.515372175533498</v>
      </c>
      <c r="BR122" s="21">
        <f>EXP(-LN(2)/2)*BR121+(1-EXP(-LN(2)/2))/(LN(2)/2)*BL122*BO122*VLOOKUP('Données projet'!$B$11,Paramètres!$A$1:$I$89,3,0)*0.475*44/12</f>
        <v>3.6887496004242109E-7</v>
      </c>
      <c r="BS122" s="22">
        <f t="shared" si="63"/>
        <v>79.087073720404661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264.70281355687837</v>
      </c>
      <c r="CE122" s="59">
        <f t="shared" si="94"/>
        <v>199.74194600786768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94.678755914178751</v>
      </c>
      <c r="CL122" s="21">
        <f>EXP(-LN(2)/25)*CL121+(1-EXP(-LN(2)/25))/(LN(2)/25)*Calculateur!CG122*Calculateur!CI122*VLOOKUP('Données projet'!$B$12,Paramètres!$A$1:$I$89,3,0)*0.475*44/12</f>
        <v>16.435976021566397</v>
      </c>
      <c r="CM122" s="21">
        <f>EXP(-LN(2)/2)*CM121+(1-EXP(-LN(2)/2))/(LN(2)/2)*CG122*CJ122*VLOOKUP('Données projet'!$B$12,Paramètres!$A$1:$I$89,3,0)*0.475*44/12</f>
        <v>1.3523364717796558E-4</v>
      </c>
      <c r="CN122" s="22">
        <f t="shared" si="66"/>
        <v>111.11486716939231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-6.5028871176764376E-14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149.8619613776458</v>
      </c>
      <c r="CZ122" s="59">
        <f t="shared" si="96"/>
        <v>108.55560257938146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61.795761321439798</v>
      </c>
      <c r="DG122" s="21">
        <f>EXP(-LN(2)/25)*DG121+(1-EXP(-LN(2)/25))/(LN(2)/25)*Calculateur!DB122*Calculateur!DD122*VLOOKUP('Données projet'!$B$13,Paramètres!$A$1:$I$89,3,0)*0.475*44/12</f>
        <v>10.604049679357072</v>
      </c>
      <c r="DH122" s="21">
        <f>EXP(-LN(2)/2)*DH121+(1-EXP(-LN(2)/2))/(LN(2)/2)*DB122*DE122*VLOOKUP('Données projet'!$B$13,Paramètres!$A$1:$I$89,3,0)*0.475*44/12</f>
        <v>4.6065905987355457E-5</v>
      </c>
      <c r="DI122" s="22">
        <f t="shared" si="69"/>
        <v>72.399857066702864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1">
        <f t="shared" si="86"/>
        <v>26.328254259866451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67">
        <f t="shared" si="56"/>
        <v>508.7291761692673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467.03705646400994</v>
      </c>
      <c r="T123" s="59">
        <f t="shared" si="88"/>
        <v>575.68119027684361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104.36431962029189</v>
      </c>
      <c r="AA123" s="21">
        <f>EXP(-LN(2)/25)*AA122+(1-EXP(-LN(2)/25))/(LN(2)/25)*Calculateur!V123*Calculateur!X123*VLOOKUP('Données projet'!$B$9,Paramètres!$A$1:$I$89,3,0)*0.475*44/12</f>
        <v>16.178903233912806</v>
      </c>
      <c r="AB123" s="21">
        <f>EXP(-LN(2)/2)*AB122+(1-EXP(-LN(2)/2))/(LN(2)/2)*V123*Y123*VLOOKUP('Données projet'!$B$9,Paramètres!$A$1:$I$89,3,0)*0.475*44/12</f>
        <v>3.3683127260491254E-7</v>
      </c>
      <c r="AC123" s="22">
        <f t="shared" si="57"/>
        <v>120.54322319103598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-7.0940586738288402E-14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252.44760109054914</v>
      </c>
      <c r="AO123" s="59">
        <f t="shared" si="90"/>
        <v>121.75506329394773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128.01524445051348</v>
      </c>
      <c r="AV123" s="21">
        <f>EXP(-LN(2)/25)*AV122+(1-EXP(-LN(2)/25))/(LN(2)/25)*Calculateur!AQ123*Calculateur!AS123*VLOOKUP('Données projet'!$B$10,Paramètres!$A$1:$I$89,3,0)*0.475*44/12</f>
        <v>25.7267246651761</v>
      </c>
      <c r="AW123" s="21">
        <f>EXP(-LN(2)/2)*AW122+(1-EXP(-LN(2)/2))/(LN(2)/2)*AQ123*AT123*VLOOKUP('Données projet'!$B$10,Paramètres!$A$1:$I$89,3,0)*0.475*44/12</f>
        <v>4.2147696342507583E-2</v>
      </c>
      <c r="AX123" s="21">
        <f t="shared" si="60"/>
        <v>153.7841168120321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-1.3596945791505279E-13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260.97162394079265</v>
      </c>
      <c r="BJ123" s="59">
        <f t="shared" si="92"/>
        <v>279.1836614199691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67.227051940542793</v>
      </c>
      <c r="BQ123" s="21">
        <f>EXP(-LN(2)/25)*BQ122+(1-EXP(-LN(2)/25))/(LN(2)/25)*Calculateur!BL123*Calculateur!BN123*VLOOKUP('Données projet'!$B$11,Paramètres!$A$1:$I$89,3,0)*0.475*44/12</f>
        <v>10.227828770414146</v>
      </c>
      <c r="BR123" s="21">
        <f>EXP(-LN(2)/2)*BR122+(1-EXP(-LN(2)/2))/(LN(2)/2)*BL123*BO123*VLOOKUP('Données projet'!$B$11,Paramètres!$A$1:$I$89,3,0)*0.475*44/12</f>
        <v>2.6083398565591271E-7</v>
      </c>
      <c r="BS123" s="22">
        <f t="shared" si="63"/>
        <v>77.454880971790928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264.70281355687837</v>
      </c>
      <c r="CE123" s="59">
        <f t="shared" si="94"/>
        <v>199.74194600786768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92.822163259040636</v>
      </c>
      <c r="CL123" s="21">
        <f>EXP(-LN(2)/25)*CL122+(1-EXP(-LN(2)/25))/(LN(2)/25)*Calculateur!CG123*Calculateur!CI123*VLOOKUP('Données projet'!$B$12,Paramètres!$A$1:$I$89,3,0)*0.475*44/12</f>
        <v>15.986533392926249</v>
      </c>
      <c r="CM123" s="21">
        <f>EXP(-LN(2)/2)*CM122+(1-EXP(-LN(2)/2))/(LN(2)/2)*CG123*CJ123*VLOOKUP('Données projet'!$B$12,Paramètres!$A$1:$I$89,3,0)*0.475*44/12</f>
        <v>9.5624628964128478E-5</v>
      </c>
      <c r="CN123" s="22">
        <f t="shared" si="66"/>
        <v>108.80879227659585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-6.5028871176764376E-14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149.8619613776458</v>
      </c>
      <c r="CZ123" s="59">
        <f t="shared" si="96"/>
        <v>108.55560257938146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60.583984133619026</v>
      </c>
      <c r="DG123" s="21">
        <f>EXP(-LN(2)/25)*DG122+(1-EXP(-LN(2)/25))/(LN(2)/25)*Calculateur!DB123*Calculateur!DD123*VLOOKUP('Données projet'!$B$13,Paramètres!$A$1:$I$89,3,0)*0.475*44/12</f>
        <v>10.314081383232315</v>
      </c>
      <c r="DH123" s="21">
        <f>EXP(-LN(2)/2)*DH122+(1-EXP(-LN(2)/2))/(LN(2)/2)*DB123*DE123*VLOOKUP('Données projet'!$B$13,Paramètres!$A$1:$I$89,3,0)*0.475*44/12</f>
        <v>3.2573514505161025E-5</v>
      </c>
      <c r="DI123" s="22">
        <f t="shared" si="69"/>
        <v>70.898098090365849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1">
        <f t="shared" si="86"/>
        <v>26.522024238465754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67">
        <f t="shared" si="56"/>
        <v>510.4794988819944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467.03705646400994</v>
      </c>
      <c r="T124" s="59">
        <f t="shared" si="88"/>
        <v>575.68119027684361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102.31779896848744</v>
      </c>
      <c r="AA124" s="21">
        <f>EXP(-LN(2)/25)*AA123+(1-EXP(-LN(2)/25))/(LN(2)/25)*Calculateur!V124*Calculateur!X124*VLOOKUP('Données projet'!$B$9,Paramètres!$A$1:$I$89,3,0)*0.475*44/12</f>
        <v>15.736490274169917</v>
      </c>
      <c r="AB124" s="21">
        <f>EXP(-LN(2)/2)*AB123+(1-EXP(-LN(2)/2))/(LN(2)/2)*V124*Y124*VLOOKUP('Données projet'!$B$9,Paramètres!$A$1:$I$89,3,0)*0.475*44/12</f>
        <v>2.3817567697462823E-7</v>
      </c>
      <c r="AC124" s="22">
        <f t="shared" si="57"/>
        <v>118.05428948083302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-7.0940586738288402E-14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252.44760109054914</v>
      </c>
      <c r="AO124" s="59">
        <f t="shared" si="90"/>
        <v>121.75506329394773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125.50494358842811</v>
      </c>
      <c r="AV124" s="21">
        <f>EXP(-LN(2)/25)*AV123+(1-EXP(-LN(2)/25))/(LN(2)/25)*Calculateur!AQ124*Calculateur!AS124*VLOOKUP('Données projet'!$B$10,Paramètres!$A$1:$I$89,3,0)*0.475*44/12</f>
        <v>25.023226026297209</v>
      </c>
      <c r="AW124" s="21">
        <f>EXP(-LN(2)/2)*AW123+(1-EXP(-LN(2)/2))/(LN(2)/2)*AQ124*AT124*VLOOKUP('Données projet'!$B$10,Paramètres!$A$1:$I$89,3,0)*0.475*44/12</f>
        <v>2.9802921895178559E-2</v>
      </c>
      <c r="AX124" s="21">
        <f t="shared" si="60"/>
        <v>150.55797253662047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-1.3596945791505279E-13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260.97162394079265</v>
      </c>
      <c r="BJ124" s="59">
        <f t="shared" si="92"/>
        <v>279.1836614199691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65.908770456441573</v>
      </c>
      <c r="BQ124" s="21">
        <f>EXP(-LN(2)/25)*BQ123+(1-EXP(-LN(2)/25))/(LN(2)/25)*Calculateur!BL124*Calculateur!BN124*VLOOKUP('Données projet'!$B$11,Paramètres!$A$1:$I$89,3,0)*0.475*44/12</f>
        <v>9.9481482548290323</v>
      </c>
      <c r="BR124" s="21">
        <f>EXP(-LN(2)/2)*BR123+(1-EXP(-LN(2)/2))/(LN(2)/2)*BL124*BO124*VLOOKUP('Données projet'!$B$11,Paramètres!$A$1:$I$89,3,0)*0.475*44/12</f>
        <v>1.8443748002121055E-7</v>
      </c>
      <c r="BS124" s="22">
        <f t="shared" si="63"/>
        <v>75.856918895708091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264.70281355687837</v>
      </c>
      <c r="CE124" s="59">
        <f t="shared" si="94"/>
        <v>199.74194600786768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91.001977253460083</v>
      </c>
      <c r="CL124" s="21">
        <f>EXP(-LN(2)/25)*CL123+(1-EXP(-LN(2)/25))/(LN(2)/25)*Calculateur!CG124*Calculateur!CI124*VLOOKUP('Données projet'!$B$12,Paramètres!$A$1:$I$89,3,0)*0.475*44/12</f>
        <v>15.549380796601428</v>
      </c>
      <c r="CM124" s="21">
        <f>EXP(-LN(2)/2)*CM123+(1-EXP(-LN(2)/2))/(LN(2)/2)*CG124*CJ124*VLOOKUP('Données projet'!$B$12,Paramètres!$A$1:$I$89,3,0)*0.475*44/12</f>
        <v>6.761682358898279E-5</v>
      </c>
      <c r="CN124" s="22">
        <f t="shared" si="66"/>
        <v>106.55142566688509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-6.5028871176764376E-14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149.8619613776458</v>
      </c>
      <c r="CZ124" s="59">
        <f t="shared" si="96"/>
        <v>108.55560257938146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59.395969157340318</v>
      </c>
      <c r="DG124" s="21">
        <f>EXP(-LN(2)/25)*DG123+(1-EXP(-LN(2)/25))/(LN(2)/25)*Calculateur!DB124*Calculateur!DD124*VLOOKUP('Données projet'!$B$13,Paramètres!$A$1:$I$89,3,0)*0.475*44/12</f>
        <v>10.03204228541386</v>
      </c>
      <c r="DH124" s="21">
        <f>EXP(-LN(2)/2)*DH123+(1-EXP(-LN(2)/2))/(LN(2)/2)*DB124*DE124*VLOOKUP('Données projet'!$B$13,Paramètres!$A$1:$I$89,3,0)*0.475*44/12</f>
        <v>2.3032952993677728E-5</v>
      </c>
      <c r="DI124" s="22">
        <f t="shared" si="69"/>
        <v>69.428034475707179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1">
        <f t="shared" si="86"/>
        <v>26.715607900934927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67">
        <f t="shared" si="56"/>
        <v>512.22949709412819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467.03705646400994</v>
      </c>
      <c r="T125" s="59">
        <f t="shared" si="88"/>
        <v>575.68119027684361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100.31140933841053</v>
      </c>
      <c r="AA125" s="21">
        <f>EXP(-LN(2)/25)*AA124+(1-EXP(-LN(2)/25))/(LN(2)/25)*Calculateur!V125*Calculateur!X125*VLOOKUP('Données projet'!$B$9,Paramètres!$A$1:$I$89,3,0)*0.475*44/12</f>
        <v>15.306175120076682</v>
      </c>
      <c r="AB125" s="21">
        <f>EXP(-LN(2)/2)*AB124+(1-EXP(-LN(2)/2))/(LN(2)/2)*V125*Y125*VLOOKUP('Données projet'!$B$9,Paramètres!$A$1:$I$89,3,0)*0.475*44/12</f>
        <v>1.684156363024563E-7</v>
      </c>
      <c r="AC125" s="22">
        <f t="shared" si="57"/>
        <v>115.61758462690285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-7.0940586738288402E-14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252.44760109054914</v>
      </c>
      <c r="AO125" s="59">
        <f t="shared" si="90"/>
        <v>121.75506329394773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123.04386819511589</v>
      </c>
      <c r="AV125" s="21">
        <f>EXP(-LN(2)/25)*AV124+(1-EXP(-LN(2)/25))/(LN(2)/25)*Calculateur!AQ125*Calculateur!AS125*VLOOKUP('Données projet'!$B$10,Paramètres!$A$1:$I$89,3,0)*0.475*44/12</f>
        <v>24.338964594693845</v>
      </c>
      <c r="AW125" s="21">
        <f>EXP(-LN(2)/2)*AW124+(1-EXP(-LN(2)/2))/(LN(2)/2)*AQ125*AT125*VLOOKUP('Données projet'!$B$10,Paramètres!$A$1:$I$89,3,0)*0.475*44/12</f>
        <v>2.1073848171253792E-2</v>
      </c>
      <c r="AX125" s="21">
        <f t="shared" si="60"/>
        <v>147.40390663798098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-1.3596945791505279E-13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260.97162394079265</v>
      </c>
      <c r="BJ125" s="59">
        <f t="shared" si="92"/>
        <v>279.1836614199691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64.616339668171278</v>
      </c>
      <c r="BQ125" s="21">
        <f>EXP(-LN(2)/25)*BQ124+(1-EXP(-LN(2)/25))/(LN(2)/25)*Calculateur!BL125*Calculateur!BN125*VLOOKUP('Données projet'!$B$11,Paramètres!$A$1:$I$89,3,0)*0.475*44/12</f>
        <v>9.6761156176503533</v>
      </c>
      <c r="BR125" s="21">
        <f>EXP(-LN(2)/2)*BR124+(1-EXP(-LN(2)/2))/(LN(2)/2)*BL125*BO125*VLOOKUP('Données projet'!$B$11,Paramètres!$A$1:$I$89,3,0)*0.475*44/12</f>
        <v>1.3041699282795636E-7</v>
      </c>
      <c r="BS125" s="22">
        <f t="shared" si="63"/>
        <v>74.292455416238624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264.70281355687837</v>
      </c>
      <c r="CE125" s="59">
        <f t="shared" si="94"/>
        <v>199.74194600786768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89.217483985245124</v>
      </c>
      <c r="CL125" s="21">
        <f>EXP(-LN(2)/25)*CL124+(1-EXP(-LN(2)/25))/(LN(2)/25)*Calculateur!CG125*Calculateur!CI125*VLOOKUP('Données projet'!$B$12,Paramètres!$A$1:$I$89,3,0)*0.475*44/12</f>
        <v>15.124182161011964</v>
      </c>
      <c r="CM125" s="21">
        <f>EXP(-LN(2)/2)*CM124+(1-EXP(-LN(2)/2))/(LN(2)/2)*CG125*CJ125*VLOOKUP('Données projet'!$B$12,Paramètres!$A$1:$I$89,3,0)*0.475*44/12</f>
        <v>4.7812314482064239E-5</v>
      </c>
      <c r="CN125" s="22">
        <f t="shared" si="66"/>
        <v>104.34171395857156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-6.5028871176764376E-14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149.8619613776458</v>
      </c>
      <c r="CZ125" s="59">
        <f t="shared" si="96"/>
        <v>108.55560257938146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58.231250430128846</v>
      </c>
      <c r="DG125" s="21">
        <f>EXP(-LN(2)/25)*DG124+(1-EXP(-LN(2)/25))/(LN(2)/25)*Calculateur!DB125*Calculateur!DD125*VLOOKUP('Données projet'!$B$13,Paramètres!$A$1:$I$89,3,0)*0.475*44/12</f>
        <v>9.7577155615570437</v>
      </c>
      <c r="DH125" s="21">
        <f>EXP(-LN(2)/2)*DH124+(1-EXP(-LN(2)/2))/(LN(2)/2)*DB125*DE125*VLOOKUP('Données projet'!$B$13,Paramètres!$A$1:$I$89,3,0)*0.475*44/12</f>
        <v>1.6286757252580512E-5</v>
      </c>
      <c r="DI125" s="22">
        <f t="shared" si="69"/>
        <v>67.988982278443146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1">
        <f t="shared" si="86"/>
        <v>26.909006951444532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67">
        <f t="shared" si="56"/>
        <v>513.97917377376575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467.03705646400994</v>
      </c>
      <c r="T126" s="59">
        <f t="shared" si="88"/>
        <v>575.68119027684361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98.344363785202589</v>
      </c>
      <c r="AA126" s="21">
        <f>EXP(-LN(2)/25)*AA125+(1-EXP(-LN(2)/25))/(LN(2)/25)*Calculateur!V126*Calculateur!X126*VLOOKUP('Données projet'!$B$9,Paramètres!$A$1:$I$89,3,0)*0.475*44/12</f>
        <v>14.887626956501419</v>
      </c>
      <c r="AB126" s="21">
        <f>EXP(-LN(2)/2)*AB125+(1-EXP(-LN(2)/2))/(LN(2)/2)*V126*Y126*VLOOKUP('Données projet'!$B$9,Paramètres!$A$1:$I$89,3,0)*0.475*44/12</f>
        <v>1.1908783848731414E-7</v>
      </c>
      <c r="AC126" s="22">
        <f t="shared" si="57"/>
        <v>113.23199086079185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-7.0940586738288402E-14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252.44760109054914</v>
      </c>
      <c r="AO126" s="59">
        <f t="shared" si="90"/>
        <v>121.75506329394773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120.63105298915876</v>
      </c>
      <c r="AV126" s="21">
        <f>EXP(-LN(2)/25)*AV125+(1-EXP(-LN(2)/25))/(LN(2)/25)*Calculateur!AQ126*Calculateur!AS126*VLOOKUP('Données projet'!$B$10,Paramètres!$A$1:$I$89,3,0)*0.475*44/12</f>
        <v>23.673414327921421</v>
      </c>
      <c r="AW126" s="21">
        <f>EXP(-LN(2)/2)*AW125+(1-EXP(-LN(2)/2))/(LN(2)/2)*AQ126*AT126*VLOOKUP('Données projet'!$B$10,Paramètres!$A$1:$I$89,3,0)*0.475*44/12</f>
        <v>1.490146094758928E-2</v>
      </c>
      <c r="AX126" s="21">
        <f t="shared" si="60"/>
        <v>144.31936877802778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-1.3596945791505279E-13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260.97162394079265</v>
      </c>
      <c r="BJ126" s="59">
        <f t="shared" si="92"/>
        <v>279.1836614199691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63.349252659354015</v>
      </c>
      <c r="BQ126" s="21">
        <f>EXP(-LN(2)/25)*BQ125+(1-EXP(-LN(2)/25))/(LN(2)/25)*Calculateur!BL126*Calculateur!BN126*VLOOKUP('Données projet'!$B$11,Paramètres!$A$1:$I$89,3,0)*0.475*44/12</f>
        <v>9.4115217272408991</v>
      </c>
      <c r="BR126" s="21">
        <f>EXP(-LN(2)/2)*BR125+(1-EXP(-LN(2)/2))/(LN(2)/2)*BL126*BO126*VLOOKUP('Données projet'!$B$11,Paramètres!$A$1:$I$89,3,0)*0.475*44/12</f>
        <v>9.2218740010605273E-8</v>
      </c>
      <c r="BS126" s="22">
        <f t="shared" si="63"/>
        <v>72.760774478813659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264.70281355687837</v>
      </c>
      <c r="CE126" s="59">
        <f t="shared" si="94"/>
        <v>199.74194600786768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87.467983541586435</v>
      </c>
      <c r="CL126" s="21">
        <f>EXP(-LN(2)/25)*CL125+(1-EXP(-LN(2)/25))/(LN(2)/25)*Calculateur!CG126*Calculateur!CI126*VLOOKUP('Données projet'!$B$12,Paramètres!$A$1:$I$89,3,0)*0.475*44/12</f>
        <v>14.710610604472919</v>
      </c>
      <c r="CM126" s="21">
        <f>EXP(-LN(2)/2)*CM125+(1-EXP(-LN(2)/2))/(LN(2)/2)*CG126*CJ126*VLOOKUP('Données projet'!$B$12,Paramètres!$A$1:$I$89,3,0)*0.475*44/12</f>
        <v>3.3808411794491395E-5</v>
      </c>
      <c r="CN126" s="22">
        <f t="shared" si="66"/>
        <v>102.17862795447115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-6.5028871176764376E-14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149.8619613776458</v>
      </c>
      <c r="CZ126" s="59">
        <f t="shared" si="96"/>
        <v>108.55560257938146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57.089371126749711</v>
      </c>
      <c r="DG126" s="21">
        <f>EXP(-LN(2)/25)*DG125+(1-EXP(-LN(2)/25))/(LN(2)/25)*Calculateur!DB126*Calculateur!DD126*VLOOKUP('Données projet'!$B$13,Paramètres!$A$1:$I$89,3,0)*0.475*44/12</f>
        <v>9.4908903163903062</v>
      </c>
      <c r="DH126" s="21">
        <f>EXP(-LN(2)/2)*DH125+(1-EXP(-LN(2)/2))/(LN(2)/2)*DB126*DE126*VLOOKUP('Données projet'!$B$13,Paramètres!$A$1:$I$89,3,0)*0.475*44/12</f>
        <v>1.1516476496838864E-5</v>
      </c>
      <c r="DI126" s="22">
        <f t="shared" si="69"/>
        <v>66.580272959616508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1">
        <f t="shared" si="86"/>
        <v>27.102223064855114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67">
        <f t="shared" si="56"/>
        <v>515.72853183795587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467.03705646400994</v>
      </c>
      <c r="T127" s="59">
        <f t="shared" si="88"/>
        <v>575.68119027684361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96.415890795513732</v>
      </c>
      <c r="AA127" s="21">
        <f>EXP(-LN(2)/25)*AA126+(1-EXP(-LN(2)/25))/(LN(2)/25)*Calculateur!V127*Calculateur!X127*VLOOKUP('Données projet'!$B$9,Paramètres!$A$1:$I$89,3,0)*0.475*44/12</f>
        <v>14.480524014469612</v>
      </c>
      <c r="AB127" s="21">
        <f>EXP(-LN(2)/2)*AB126+(1-EXP(-LN(2)/2))/(LN(2)/2)*V127*Y127*VLOOKUP('Données projet'!$B$9,Paramètres!$A$1:$I$89,3,0)*0.475*44/12</f>
        <v>8.4207818151228161E-8</v>
      </c>
      <c r="AC127" s="22">
        <f t="shared" si="57"/>
        <v>110.89641489419115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-7.0940586738288402E-14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252.44760109054914</v>
      </c>
      <c r="AO127" s="59">
        <f t="shared" si="90"/>
        <v>121.75506329394773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118.26555161771849</v>
      </c>
      <c r="AV127" s="21">
        <f>EXP(-LN(2)/25)*AV126+(1-EXP(-LN(2)/25))/(LN(2)/25)*Calculateur!AQ127*Calculateur!AS127*VLOOKUP('Données projet'!$B$10,Paramètres!$A$1:$I$89,3,0)*0.475*44/12</f>
        <v>23.026063568193656</v>
      </c>
      <c r="AW127" s="21">
        <f>EXP(-LN(2)/2)*AW126+(1-EXP(-LN(2)/2))/(LN(2)/2)*AQ127*AT127*VLOOKUP('Données projet'!$B$10,Paramètres!$A$1:$I$89,3,0)*0.475*44/12</f>
        <v>1.0536924085626896E-2</v>
      </c>
      <c r="AX127" s="21">
        <f t="shared" si="60"/>
        <v>141.30215210999776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-1.3596945791505279E-13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260.97162394079265</v>
      </c>
      <c r="BJ127" s="59">
        <f t="shared" si="92"/>
        <v>279.1836614199691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62.107012453932896</v>
      </c>
      <c r="BQ127" s="21">
        <f>EXP(-LN(2)/25)*BQ126+(1-EXP(-LN(2)/25))/(LN(2)/25)*Calculateur!BL127*Calculateur!BN127*VLOOKUP('Données projet'!$B$11,Paramètres!$A$1:$I$89,3,0)*0.475*44/12</f>
        <v>9.1541631706790803</v>
      </c>
      <c r="BR127" s="21">
        <f>EXP(-LN(2)/2)*BR126+(1-EXP(-LN(2)/2))/(LN(2)/2)*BL127*BO127*VLOOKUP('Données projet'!$B$11,Paramètres!$A$1:$I$89,3,0)*0.475*44/12</f>
        <v>6.5208496413978178E-8</v>
      </c>
      <c r="BS127" s="22">
        <f t="shared" si="63"/>
        <v>71.261175689820476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264.70281355687837</v>
      </c>
      <c r="CE127" s="59">
        <f t="shared" si="94"/>
        <v>199.74194600786768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85.752789734537984</v>
      </c>
      <c r="CL127" s="21">
        <f>EXP(-LN(2)/25)*CL126+(1-EXP(-LN(2)/25))/(LN(2)/25)*Calculateur!CG127*Calculateur!CI127*VLOOKUP('Données projet'!$B$12,Paramètres!$A$1:$I$89,3,0)*0.475*44/12</f>
        <v>14.308348183896216</v>
      </c>
      <c r="CM127" s="21">
        <f>EXP(-LN(2)/2)*CM126+(1-EXP(-LN(2)/2))/(LN(2)/2)*CG127*CJ127*VLOOKUP('Données projet'!$B$12,Paramètres!$A$1:$I$89,3,0)*0.475*44/12</f>
        <v>2.390615724103212E-5</v>
      </c>
      <c r="CN127" s="22">
        <f t="shared" si="66"/>
        <v>100.06116182459144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-6.5028871176764376E-14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149.8619613776458</v>
      </c>
      <c r="CZ127" s="59">
        <f t="shared" si="96"/>
        <v>108.55560257938146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55.969883380032243</v>
      </c>
      <c r="DG127" s="21">
        <f>EXP(-LN(2)/25)*DG126+(1-EXP(-LN(2)/25))/(LN(2)/25)*Calculateur!DB127*Calculateur!DD127*VLOOKUP('Données projet'!$B$13,Paramètres!$A$1:$I$89,3,0)*0.475*44/12</f>
        <v>9.2313614215843831</v>
      </c>
      <c r="DH127" s="21">
        <f>EXP(-LN(2)/2)*DH126+(1-EXP(-LN(2)/2))/(LN(2)/2)*DB127*DE127*VLOOKUP('Données projet'!$B$13,Paramètres!$A$1:$I$89,3,0)*0.475*44/12</f>
        <v>8.1433786262902562E-6</v>
      </c>
      <c r="DI127" s="22">
        <f t="shared" si="69"/>
        <v>65.201252944995247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1">
        <f t="shared" si="86"/>
        <v>27.295257887453797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67">
        <f t="shared" si="56"/>
        <v>517.47757415398189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467.03705646400994</v>
      </c>
      <c r="T128" s="59">
        <f t="shared" si="88"/>
        <v>575.68119027684361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94.525233984900296</v>
      </c>
      <c r="AA128" s="21">
        <f>EXP(-LN(2)/25)*AA127+(1-EXP(-LN(2)/25))/(LN(2)/25)*Calculateur!V128*Calculateur!X128*VLOOKUP('Données projet'!$B$9,Paramètres!$A$1:$I$89,3,0)*0.475*44/12</f>
        <v>14.084553323796278</v>
      </c>
      <c r="AB128" s="21">
        <f>EXP(-LN(2)/2)*AB127+(1-EXP(-LN(2)/2))/(LN(2)/2)*V128*Y128*VLOOKUP('Données projet'!$B$9,Paramètres!$A$1:$I$89,3,0)*0.475*44/12</f>
        <v>5.9543919243657078E-8</v>
      </c>
      <c r="AC128" s="22">
        <f t="shared" si="57"/>
        <v>108.6097873682405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-7.0940586738288402E-14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252.44760109054914</v>
      </c>
      <c r="AO128" s="59">
        <f t="shared" si="90"/>
        <v>121.75506329394773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115.94643628535879</v>
      </c>
      <c r="AV128" s="21">
        <f>EXP(-LN(2)/25)*AV127+(1-EXP(-LN(2)/25))/(LN(2)/25)*Calculateur!AQ128*Calculateur!AS128*VLOOKUP('Données projet'!$B$10,Paramètres!$A$1:$I$89,3,0)*0.475*44/12</f>
        <v>22.396414649033346</v>
      </c>
      <c r="AW128" s="21">
        <f>EXP(-LN(2)/2)*AW127+(1-EXP(-LN(2)/2))/(LN(2)/2)*AQ128*AT128*VLOOKUP('Données projet'!$B$10,Paramètres!$A$1:$I$89,3,0)*0.475*44/12</f>
        <v>7.4507304737946398E-3</v>
      </c>
      <c r="AX128" s="21">
        <f t="shared" si="60"/>
        <v>138.35030166486592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-1.3596945791505279E-13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260.97162394079265</v>
      </c>
      <c r="BJ128" s="59">
        <f t="shared" si="92"/>
        <v>279.1836614199691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60.889131821248377</v>
      </c>
      <c r="BQ128" s="21">
        <f>EXP(-LN(2)/25)*BQ127+(1-EXP(-LN(2)/25))/(LN(2)/25)*Calculateur!BL128*Calculateur!BN128*VLOOKUP('Données projet'!$B$11,Paramètres!$A$1:$I$89,3,0)*0.475*44/12</f>
        <v>8.9038420973803412</v>
      </c>
      <c r="BR128" s="21">
        <f>EXP(-LN(2)/2)*BR127+(1-EXP(-LN(2)/2))/(LN(2)/2)*BL128*BO128*VLOOKUP('Données projet'!$B$11,Paramètres!$A$1:$I$89,3,0)*0.475*44/12</f>
        <v>4.6109370005302636E-8</v>
      </c>
      <c r="BS128" s="22">
        <f t="shared" si="63"/>
        <v>69.792973964738081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264.70281355687837</v>
      </c>
      <c r="CE128" s="59">
        <f t="shared" si="94"/>
        <v>199.74194600786768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84.071229831880842</v>
      </c>
      <c r="CL128" s="21">
        <f>EXP(-LN(2)/25)*CL127+(1-EXP(-LN(2)/25))/(LN(2)/25)*Calculateur!CG128*Calculateur!CI128*VLOOKUP('Données projet'!$B$12,Paramètres!$A$1:$I$89,3,0)*0.475*44/12</f>
        <v>13.917085650364244</v>
      </c>
      <c r="CM128" s="21">
        <f>EXP(-LN(2)/2)*CM127+(1-EXP(-LN(2)/2))/(LN(2)/2)*CG128*CJ128*VLOOKUP('Données projet'!$B$12,Paramètres!$A$1:$I$89,3,0)*0.475*44/12</f>
        <v>1.6904205897245698E-5</v>
      </c>
      <c r="CN128" s="22">
        <f t="shared" si="66"/>
        <v>97.988332386450978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-6.5028871176764376E-14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149.8619613776458</v>
      </c>
      <c r="CZ128" s="59">
        <f t="shared" si="96"/>
        <v>108.55560257938146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54.872348105207799</v>
      </c>
      <c r="DG128" s="21">
        <f>EXP(-LN(2)/25)*DG127+(1-EXP(-LN(2)/25))/(LN(2)/25)*Calculateur!DB128*Calculateur!DD128*VLOOKUP('Données projet'!$B$13,Paramètres!$A$1:$I$89,3,0)*0.475*44/12</f>
        <v>8.978929358054959</v>
      </c>
      <c r="DH128" s="21">
        <f>EXP(-LN(2)/2)*DH127+(1-EXP(-LN(2)/2))/(LN(2)/2)*DB128*DE128*VLOOKUP('Données projet'!$B$13,Paramètres!$A$1:$I$89,3,0)*0.475*44/12</f>
        <v>5.7582382484194321E-6</v>
      </c>
      <c r="DI128" s="22">
        <f t="shared" si="69"/>
        <v>63.851283221501006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1">
        <f t="shared" si="86"/>
        <v>27.488113037666018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67">
        <f t="shared" si="56"/>
        <v>519.22630354060152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467.03705646400994</v>
      </c>
      <c r="T129" s="59">
        <f t="shared" si="88"/>
        <v>575.68119027684361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92.671651801156202</v>
      </c>
      <c r="AA129" s="21">
        <f>EXP(-LN(2)/25)*AA128+(1-EXP(-LN(2)/25))/(LN(2)/25)*Calculateur!V129*Calculateur!X129*VLOOKUP('Données projet'!$B$9,Paramètres!$A$1:$I$89,3,0)*0.475*44/12</f>
        <v>13.699410472482601</v>
      </c>
      <c r="AB129" s="21">
        <f>EXP(-LN(2)/2)*AB128+(1-EXP(-LN(2)/2))/(LN(2)/2)*V129*Y129*VLOOKUP('Données projet'!$B$9,Paramètres!$A$1:$I$89,3,0)*0.475*44/12</f>
        <v>4.2103909075614087E-8</v>
      </c>
      <c r="AC129" s="22">
        <f t="shared" si="57"/>
        <v>106.37106231574271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-7.0940586738288402E-14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252.44760109054914</v>
      </c>
      <c r="AO129" s="59">
        <f t="shared" si="90"/>
        <v>121.75506329394773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113.67279739014597</v>
      </c>
      <c r="AV129" s="21">
        <f>EXP(-LN(2)/25)*AV128+(1-EXP(-LN(2)/25))/(LN(2)/25)*Calculateur!AQ129*Calculateur!AS129*VLOOKUP('Données projet'!$B$10,Paramètres!$A$1:$I$89,3,0)*0.475*44/12</f>
        <v>21.783983512679271</v>
      </c>
      <c r="AW129" s="21">
        <f>EXP(-LN(2)/2)*AW128+(1-EXP(-LN(2)/2))/(LN(2)/2)*AQ129*AT129*VLOOKUP('Données projet'!$B$10,Paramètres!$A$1:$I$89,3,0)*0.475*44/12</f>
        <v>5.2684620428134479E-3</v>
      </c>
      <c r="AX129" s="21">
        <f t="shared" si="60"/>
        <v>135.46204936486805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-1.3596945791505279E-13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260.97162394079265</v>
      </c>
      <c r="BJ129" s="59">
        <f t="shared" si="92"/>
        <v>279.1836614199691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59.695133084936963</v>
      </c>
      <c r="BQ129" s="21">
        <f>EXP(-LN(2)/25)*BQ128+(1-EXP(-LN(2)/25))/(LN(2)/25)*Calculateur!BL129*Calculateur!BN129*VLOOKUP('Données projet'!$B$11,Paramètres!$A$1:$I$89,3,0)*0.475*44/12</f>
        <v>8.6603660669947704</v>
      </c>
      <c r="BR129" s="21">
        <f>EXP(-LN(2)/2)*BR128+(1-EXP(-LN(2)/2))/(LN(2)/2)*BL129*BO129*VLOOKUP('Données projet'!$B$11,Paramètres!$A$1:$I$89,3,0)*0.475*44/12</f>
        <v>3.2604248206989089E-8</v>
      </c>
      <c r="BS129" s="22">
        <f t="shared" si="63"/>
        <v>68.355499184535987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264.70281355687837</v>
      </c>
      <c r="CE129" s="59">
        <f t="shared" si="94"/>
        <v>199.74194600786768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82.42264429326454</v>
      </c>
      <c r="CL129" s="21">
        <f>EXP(-LN(2)/25)*CL128+(1-EXP(-LN(2)/25))/(LN(2)/25)*Calculateur!CG129*Calculateur!CI129*VLOOKUP('Données projet'!$B$12,Paramètres!$A$1:$I$89,3,0)*0.475*44/12</f>
        <v>13.536522211387307</v>
      </c>
      <c r="CM129" s="21">
        <f>EXP(-LN(2)/2)*CM128+(1-EXP(-LN(2)/2))/(LN(2)/2)*CG129*CJ129*VLOOKUP('Données projet'!$B$12,Paramètres!$A$1:$I$89,3,0)*0.475*44/12</f>
        <v>1.195307862051606E-5</v>
      </c>
      <c r="CN129" s="22">
        <f t="shared" si="66"/>
        <v>95.959178457730474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-6.5028871176764376E-14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149.8619613776458</v>
      </c>
      <c r="CZ129" s="59">
        <f t="shared" si="96"/>
        <v>108.55560257938146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53.796334827692249</v>
      </c>
      <c r="DG129" s="21">
        <f>EXP(-LN(2)/25)*DG128+(1-EXP(-LN(2)/25))/(LN(2)/25)*Calculateur!DB129*Calculateur!DD129*VLOOKUP('Données projet'!$B$13,Paramètres!$A$1:$I$89,3,0)*0.475*44/12</f>
        <v>8.733400062577573</v>
      </c>
      <c r="DH129" s="21">
        <f>EXP(-LN(2)/2)*DH128+(1-EXP(-LN(2)/2))/(LN(2)/2)*DB129*DE129*VLOOKUP('Données projet'!$B$13,Paramètres!$A$1:$I$89,3,0)*0.475*44/12</f>
        <v>4.0716893131451281E-6</v>
      </c>
      <c r="DI129" s="22">
        <f t="shared" si="69"/>
        <v>62.529738961959133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1">
        <f t="shared" si="86"/>
        <v>27.680790106744631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67">
        <f t="shared" si="56"/>
        <v>520.9747227692468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467.03705646400994</v>
      </c>
      <c r="T130" s="59">
        <f t="shared" si="88"/>
        <v>575.68119027684361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90.854417233461831</v>
      </c>
      <c r="AA130" s="21">
        <f>EXP(-LN(2)/25)*AA129+(1-EXP(-LN(2)/25))/(LN(2)/25)*Calculateur!V130*Calculateur!X130*VLOOKUP('Données projet'!$B$9,Paramètres!$A$1:$I$89,3,0)*0.475*44/12</f>
        <v>13.324799372691878</v>
      </c>
      <c r="AB130" s="21">
        <f>EXP(-LN(2)/2)*AB129+(1-EXP(-LN(2)/2))/(LN(2)/2)*V130*Y130*VLOOKUP('Données projet'!$B$9,Paramètres!$A$1:$I$89,3,0)*0.475*44/12</f>
        <v>2.9771959621828546E-8</v>
      </c>
      <c r="AC130" s="22">
        <f t="shared" si="57"/>
        <v>104.17921663592567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-7.0940586738288402E-14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252.44760109054914</v>
      </c>
      <c r="AO130" s="59">
        <f t="shared" si="90"/>
        <v>121.75506329394773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111.4437431668855</v>
      </c>
      <c r="AV130" s="21">
        <f>EXP(-LN(2)/25)*AV129+(1-EXP(-LN(2)/25))/(LN(2)/25)*Calculateur!AQ130*Calculateur!AS130*VLOOKUP('Données projet'!$B$10,Paramètres!$A$1:$I$89,3,0)*0.475*44/12</f>
        <v>21.188299337955151</v>
      </c>
      <c r="AW130" s="21">
        <f>EXP(-LN(2)/2)*AW129+(1-EXP(-LN(2)/2))/(LN(2)/2)*AQ130*AT130*VLOOKUP('Données projet'!$B$10,Paramètres!$A$1:$I$89,3,0)*0.475*44/12</f>
        <v>3.7253652368973199E-3</v>
      </c>
      <c r="AX130" s="21">
        <f t="shared" si="60"/>
        <v>132.63576787007756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-1.3596945791505279E-13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260.97162394079265</v>
      </c>
      <c r="BJ130" s="59">
        <f t="shared" si="92"/>
        <v>279.1836614199691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58.524547935577296</v>
      </c>
      <c r="BQ130" s="21">
        <f>EXP(-LN(2)/25)*BQ129+(1-EXP(-LN(2)/25))/(LN(2)/25)*Calculateur!BL130*Calculateur!BN130*VLOOKUP('Données projet'!$B$11,Paramètres!$A$1:$I$89,3,0)*0.475*44/12</f>
        <v>8.4235479014639409</v>
      </c>
      <c r="BR130" s="21">
        <f>EXP(-LN(2)/2)*BR129+(1-EXP(-LN(2)/2))/(LN(2)/2)*BL130*BO130*VLOOKUP('Données projet'!$B$11,Paramètres!$A$1:$I$89,3,0)*0.475*44/12</f>
        <v>2.3054685002651318E-8</v>
      </c>
      <c r="BS130" s="22">
        <f t="shared" si="63"/>
        <v>66.948095860095918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264.70281355687837</v>
      </c>
      <c r="CE130" s="59">
        <f t="shared" si="94"/>
        <v>199.74194600786768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80.806386511522604</v>
      </c>
      <c r="CL130" s="21">
        <f>EXP(-LN(2)/25)*CL129+(1-EXP(-LN(2)/25))/(LN(2)/25)*Calculateur!CG130*Calculateur!CI130*VLOOKUP('Données projet'!$B$12,Paramètres!$A$1:$I$89,3,0)*0.475*44/12</f>
        <v>13.166365299662157</v>
      </c>
      <c r="CM130" s="21">
        <f>EXP(-LN(2)/2)*CM129+(1-EXP(-LN(2)/2))/(LN(2)/2)*CG130*CJ130*VLOOKUP('Données projet'!$B$12,Paramètres!$A$1:$I$89,3,0)*0.475*44/12</f>
        <v>8.4521029486228488E-6</v>
      </c>
      <c r="CN130" s="22">
        <f t="shared" si="66"/>
        <v>93.972760263287711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-6.5028871176764376E-14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149.8619613776458</v>
      </c>
      <c r="CZ130" s="59">
        <f t="shared" si="96"/>
        <v>108.55560257938146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52.741421514245481</v>
      </c>
      <c r="DG130" s="21">
        <f>EXP(-LN(2)/25)*DG129+(1-EXP(-LN(2)/25))/(LN(2)/25)*Calculateur!DB130*Calculateur!DD130*VLOOKUP('Données projet'!$B$13,Paramètres!$A$1:$I$89,3,0)*0.475*44/12</f>
        <v>8.49458477859684</v>
      </c>
      <c r="DH130" s="21">
        <f>EXP(-LN(2)/2)*DH129+(1-EXP(-LN(2)/2))/(LN(2)/2)*DB130*DE130*VLOOKUP('Données projet'!$B$13,Paramètres!$A$1:$I$89,3,0)*0.475*44/12</f>
        <v>2.8791191242097161E-6</v>
      </c>
      <c r="DI130" s="22">
        <f t="shared" si="69"/>
        <v>61.236009171961442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1">
        <f t="shared" si="86"/>
        <v>27.873290659436186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67">
        <f t="shared" si="56"/>
        <v>522.7228345651846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467.03705646400994</v>
      </c>
      <c r="T131" s="59">
        <f t="shared" si="88"/>
        <v>575.68119027684361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89.07281752723631</v>
      </c>
      <c r="AA131" s="21">
        <f>EXP(-LN(2)/25)*AA130+(1-EXP(-LN(2)/25))/(LN(2)/25)*Calculateur!V131*Calculateur!X131*VLOOKUP('Données projet'!$B$9,Paramètres!$A$1:$I$89,3,0)*0.475*44/12</f>
        <v>12.960432033124874</v>
      </c>
      <c r="AB131" s="21">
        <f>EXP(-LN(2)/2)*AB130+(1-EXP(-LN(2)/2))/(LN(2)/2)*V131*Y131*VLOOKUP('Données projet'!$B$9,Paramètres!$A$1:$I$89,3,0)*0.475*44/12</f>
        <v>2.1051954537807047E-8</v>
      </c>
      <c r="AC131" s="22">
        <f t="shared" si="57"/>
        <v>102.03324958141314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-7.0940586738288402E-14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252.44760109054914</v>
      </c>
      <c r="AO131" s="59">
        <f t="shared" si="90"/>
        <v>121.75506329394773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109.25839933735433</v>
      </c>
      <c r="AV131" s="21">
        <f>EXP(-LN(2)/25)*AV130+(1-EXP(-LN(2)/25))/(LN(2)/25)*Calculateur!AQ131*Calculateur!AS131*VLOOKUP('Données projet'!$B$10,Paramètres!$A$1:$I$89,3,0)*0.475*44/12</f>
        <v>20.608904178314532</v>
      </c>
      <c r="AW131" s="21">
        <f>EXP(-LN(2)/2)*AW130+(1-EXP(-LN(2)/2))/(LN(2)/2)*AQ131*AT131*VLOOKUP('Données projet'!$B$10,Paramètres!$A$1:$I$89,3,0)*0.475*44/12</f>
        <v>2.6342310214067239E-3</v>
      </c>
      <c r="AX131" s="21">
        <f t="shared" si="60"/>
        <v>129.86993774669028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-1.3596945791505279E-13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260.97162394079265</v>
      </c>
      <c r="BJ131" s="59">
        <f t="shared" si="92"/>
        <v>279.1836614199691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57.376917247010134</v>
      </c>
      <c r="BQ131" s="21">
        <f>EXP(-LN(2)/25)*BQ130+(1-EXP(-LN(2)/25))/(LN(2)/25)*Calculateur!BL131*Calculateur!BN131*VLOOKUP('Données projet'!$B$11,Paramètres!$A$1:$I$89,3,0)*0.475*44/12</f>
        <v>8.1932055411232785</v>
      </c>
      <c r="BR131" s="21">
        <f>EXP(-LN(2)/2)*BR130+(1-EXP(-LN(2)/2))/(LN(2)/2)*BL131*BO131*VLOOKUP('Données projet'!$B$11,Paramètres!$A$1:$I$89,3,0)*0.475*44/12</f>
        <v>1.6302124103494544E-8</v>
      </c>
      <c r="BS131" s="22">
        <f t="shared" si="63"/>
        <v>65.570122804435542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264.70281355687837</v>
      </c>
      <c r="CE131" s="59">
        <f t="shared" si="94"/>
        <v>199.74194600786768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79.221822559060726</v>
      </c>
      <c r="CL131" s="21">
        <f>EXP(-LN(2)/25)*CL130+(1-EXP(-LN(2)/25))/(LN(2)/25)*Calculateur!CG131*Calculateur!CI131*VLOOKUP('Données projet'!$B$12,Paramètres!$A$1:$I$89,3,0)*0.475*44/12</f>
        <v>12.806330348153837</v>
      </c>
      <c r="CM131" s="21">
        <f>EXP(-LN(2)/2)*CM130+(1-EXP(-LN(2)/2))/(LN(2)/2)*CG131*CJ131*VLOOKUP('Données projet'!$B$12,Paramètres!$A$1:$I$89,3,0)*0.475*44/12</f>
        <v>5.9765393102580299E-6</v>
      </c>
      <c r="CN131" s="22">
        <f t="shared" si="66"/>
        <v>92.028158883753875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-6.5028871176764376E-14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149.8619613776458</v>
      </c>
      <c r="CZ131" s="59">
        <f t="shared" si="96"/>
        <v>108.55560257938146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51.707194407441818</v>
      </c>
      <c r="DG131" s="21">
        <f>EXP(-LN(2)/25)*DG130+(1-EXP(-LN(2)/25))/(LN(2)/25)*Calculateur!DB131*Calculateur!DD131*VLOOKUP('Données projet'!$B$13,Paramètres!$A$1:$I$89,3,0)*0.475*44/12</f>
        <v>8.2622999111153099</v>
      </c>
      <c r="DH131" s="21">
        <f>EXP(-LN(2)/2)*DH130+(1-EXP(-LN(2)/2))/(LN(2)/2)*DB131*DE131*VLOOKUP('Données projet'!$B$13,Paramètres!$A$1:$I$89,3,0)*0.475*44/12</f>
        <v>2.035844656572564E-6</v>
      </c>
      <c r="DI131" s="22">
        <f t="shared" si="69"/>
        <v>59.969496354401784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1">
        <f t="shared" si="86"/>
        <v>28.065616234626216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67">
        <f t="shared" ref="H132:H195" si="110">(B132+E132+F132)*44/12+(C132+D132)*0.475*44/12</f>
        <v>524.47064160864056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467.03705646400994</v>
      </c>
      <c r="T132" s="59">
        <f t="shared" si="88"/>
        <v>575.68119027684361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87.326153904581346</v>
      </c>
      <c r="AA132" s="21">
        <f>EXP(-LN(2)/25)*AA131+(1-EXP(-LN(2)/25))/(LN(2)/25)*Calculateur!V132*Calculateur!X132*VLOOKUP('Données projet'!$B$9,Paramètres!$A$1:$I$89,3,0)*0.475*44/12</f>
        <v>12.606028337619575</v>
      </c>
      <c r="AB132" s="21">
        <f>EXP(-LN(2)/2)*AB131+(1-EXP(-LN(2)/2))/(LN(2)/2)*V132*Y132*VLOOKUP('Données projet'!$B$9,Paramètres!$A$1:$I$89,3,0)*0.475*44/12</f>
        <v>1.4885979810914275E-8</v>
      </c>
      <c r="AC132" s="22">
        <f t="shared" ref="AC132:AC153" si="111">SUM(Z132:AB132)</f>
        <v>99.932182257086907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-7.0940586738288402E-14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252.44760109054914</v>
      </c>
      <c r="AO132" s="59">
        <f t="shared" si="90"/>
        <v>121.75506329394773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107.11590876739216</v>
      </c>
      <c r="AV132" s="21">
        <f>EXP(-LN(2)/25)*AV131+(1-EXP(-LN(2)/25))/(LN(2)/25)*Calculateur!AQ132*Calculateur!AS132*VLOOKUP('Données projet'!$B$10,Paramètres!$A$1:$I$89,3,0)*0.475*44/12</f>
        <v>20.045352609783354</v>
      </c>
      <c r="AW132" s="21">
        <f>EXP(-LN(2)/2)*AW131+(1-EXP(-LN(2)/2))/(LN(2)/2)*AQ132*AT132*VLOOKUP('Données projet'!$B$10,Paramètres!$A$1:$I$89,3,0)*0.475*44/12</f>
        <v>1.86268261844866E-3</v>
      </c>
      <c r="AX132" s="21">
        <f t="shared" ref="AX132:AX153" si="114">SUM(AU132:AW132)</f>
        <v>127.16312405979396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-1.3596945791505279E-13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260.97162394079265</v>
      </c>
      <c r="BJ132" s="59">
        <f t="shared" si="92"/>
        <v>279.1836614199691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56.251790896260175</v>
      </c>
      <c r="BQ132" s="21">
        <f>EXP(-LN(2)/25)*BQ131+(1-EXP(-LN(2)/25))/(LN(2)/25)*Calculateur!BL132*Calculateur!BN132*VLOOKUP('Données projet'!$B$11,Paramètres!$A$1:$I$89,3,0)*0.475*44/12</f>
        <v>7.969161904739309</v>
      </c>
      <c r="BR132" s="21">
        <f>EXP(-LN(2)/2)*BR131+(1-EXP(-LN(2)/2))/(LN(2)/2)*BL132*BO132*VLOOKUP('Données projet'!$B$11,Paramètres!$A$1:$I$89,3,0)*0.475*44/12</f>
        <v>1.1527342501325659E-8</v>
      </c>
      <c r="BS132" s="22">
        <f t="shared" ref="BS132:BS153" si="117">SUM(BP132:BR132)</f>
        <v>64.220952812526832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264.70281355687837</v>
      </c>
      <c r="CE132" s="59">
        <f t="shared" si="94"/>
        <v>199.74194600786768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77.668330939218052</v>
      </c>
      <c r="CL132" s="21">
        <f>EXP(-LN(2)/25)*CL131+(1-EXP(-LN(2)/25))/(LN(2)/25)*Calculateur!CG132*Calculateur!CI132*VLOOKUP('Données projet'!$B$12,Paramètres!$A$1:$I$89,3,0)*0.475*44/12</f>
        <v>12.456140571327927</v>
      </c>
      <c r="CM132" s="21">
        <f>EXP(-LN(2)/2)*CM131+(1-EXP(-LN(2)/2))/(LN(2)/2)*CG132*CJ132*VLOOKUP('Données projet'!$B$12,Paramètres!$A$1:$I$89,3,0)*0.475*44/12</f>
        <v>4.2260514743114244E-6</v>
      </c>
      <c r="CN132" s="22">
        <f t="shared" ref="CN132:CN153" si="120">SUM(CK132:CM132)</f>
        <v>90.124475736597446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-6.5028871176764376E-14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149.8619613776458</v>
      </c>
      <c r="CZ132" s="59">
        <f t="shared" si="96"/>
        <v>108.55560257938146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50.693247863386325</v>
      </c>
      <c r="DG132" s="21">
        <f>EXP(-LN(2)/25)*DG131+(1-EXP(-LN(2)/25))/(LN(2)/25)*Calculateur!DB132*Calculateur!DD132*VLOOKUP('Données projet'!$B$13,Paramètres!$A$1:$I$89,3,0)*0.475*44/12</f>
        <v>8.0363668855503931</v>
      </c>
      <c r="DH132" s="21">
        <f>EXP(-LN(2)/2)*DH131+(1-EXP(-LN(2)/2))/(LN(2)/2)*DB132*DE132*VLOOKUP('Données projet'!$B$13,Paramètres!$A$1:$I$89,3,0)*0.475*44/12</f>
        <v>1.439559562104858E-6</v>
      </c>
      <c r="DI132" s="22">
        <f t="shared" ref="DI132:DI153" si="123">SUM(DF132:DH132)</f>
        <v>58.72961618849628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1">
        <f t="shared" ref="D133:D196" si="140">IFERROR(EXP(-1.0587+0.8836*LN(C133)+0.284),0)</f>
        <v>28.257768345963548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67">
        <f t="shared" si="110"/>
        <v>526.21814653588638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467.03705646400994</v>
      </c>
      <c r="T133" s="59">
        <f t="shared" ref="T133:T196" si="142">$T$3</f>
        <v>575.68119027684361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85.613741290207031</v>
      </c>
      <c r="AA133" s="21">
        <f>EXP(-LN(2)/25)*AA132+(1-EXP(-LN(2)/25))/(LN(2)/25)*Calculateur!V133*Calculateur!X133*VLOOKUP('Données projet'!$B$9,Paramètres!$A$1:$I$89,3,0)*0.475*44/12</f>
        <v>12.261315829805149</v>
      </c>
      <c r="AB133" s="21">
        <f>EXP(-LN(2)/2)*AB132+(1-EXP(-LN(2)/2))/(LN(2)/2)*V133*Y133*VLOOKUP('Données projet'!$B$9,Paramètres!$A$1:$I$89,3,0)*0.475*44/12</f>
        <v>1.0525977268903525E-8</v>
      </c>
      <c r="AC133" s="22">
        <f t="shared" si="111"/>
        <v>97.875057130538153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-7.0940586738288402E-14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252.44760109054914</v>
      </c>
      <c r="AO133" s="59">
        <f t="shared" ref="AO133:AO196" si="144">$AO$3</f>
        <v>121.75506329394773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105.01543113071672</v>
      </c>
      <c r="AV133" s="21">
        <f>EXP(-LN(2)/25)*AV132+(1-EXP(-LN(2)/25))/(LN(2)/25)*Calculateur!AQ133*Calculateur!AS133*VLOOKUP('Données projet'!$B$10,Paramètres!$A$1:$I$89,3,0)*0.475*44/12</f>
        <v>19.49721138852955</v>
      </c>
      <c r="AW133" s="21">
        <f>EXP(-LN(2)/2)*AW132+(1-EXP(-LN(2)/2))/(LN(2)/2)*AQ133*AT133*VLOOKUP('Données projet'!$B$10,Paramètres!$A$1:$I$89,3,0)*0.475*44/12</f>
        <v>1.317115510703362E-3</v>
      </c>
      <c r="AX133" s="21">
        <f t="shared" si="114"/>
        <v>124.51395963475697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-1.3596945791505279E-13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260.97162394079265</v>
      </c>
      <c r="BJ133" s="59">
        <f t="shared" ref="BJ133:BJ196" si="146">$BJ$3</f>
        <v>279.1836614199691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55.148727586989111</v>
      </c>
      <c r="BQ133" s="21">
        <f>EXP(-LN(2)/25)*BQ132+(1-EXP(-LN(2)/25))/(LN(2)/25)*Calculateur!BL133*Calculateur!BN133*VLOOKUP('Données projet'!$B$11,Paramètres!$A$1:$I$89,3,0)*0.475*44/12</f>
        <v>7.7512447533742019</v>
      </c>
      <c r="BR133" s="21">
        <f>EXP(-LN(2)/2)*BR132+(1-EXP(-LN(2)/2))/(LN(2)/2)*BL133*BO133*VLOOKUP('Données projet'!$B$11,Paramètres!$A$1:$I$89,3,0)*0.475*44/12</f>
        <v>8.1510620517472722E-9</v>
      </c>
      <c r="BS133" s="22">
        <f t="shared" si="117"/>
        <v>62.899972348514375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264.70281355687837</v>
      </c>
      <c r="CE133" s="59">
        <f t="shared" ref="CE133:CE196" si="148">$CE$3</f>
        <v>199.74194600786768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76.145302342504166</v>
      </c>
      <c r="CL133" s="21">
        <f>EXP(-LN(2)/25)*CL132+(1-EXP(-LN(2)/25))/(LN(2)/25)*Calculateur!CG133*Calculateur!CI133*VLOOKUP('Données projet'!$B$12,Paramètres!$A$1:$I$89,3,0)*0.475*44/12</f>
        <v>12.115526752365001</v>
      </c>
      <c r="CM133" s="21">
        <f>EXP(-LN(2)/2)*CM132+(1-EXP(-LN(2)/2))/(LN(2)/2)*CG133*CJ133*VLOOKUP('Données projet'!$B$12,Paramètres!$A$1:$I$89,3,0)*0.475*44/12</f>
        <v>2.988269655129015E-6</v>
      </c>
      <c r="CN133" s="22">
        <f t="shared" si="120"/>
        <v>88.260832083138823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-6.5028871176764376E-14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149.8619613776458</v>
      </c>
      <c r="CZ133" s="59">
        <f t="shared" ref="CZ133:CZ196" si="150">$CZ$3</f>
        <v>108.55560257938146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49.699184192613437</v>
      </c>
      <c r="DG133" s="21">
        <f>EXP(-LN(2)/25)*DG132+(1-EXP(-LN(2)/25))/(LN(2)/25)*Calculateur!DB133*Calculateur!DD133*VLOOKUP('Données projet'!$B$13,Paramètres!$A$1:$I$89,3,0)*0.475*44/12</f>
        <v>7.8166120104508501</v>
      </c>
      <c r="DH133" s="21">
        <f>EXP(-LN(2)/2)*DH132+(1-EXP(-LN(2)/2))/(LN(2)/2)*DB133*DE133*VLOOKUP('Données projet'!$B$13,Paramètres!$A$1:$I$89,3,0)*0.475*44/12</f>
        <v>1.017922328286282E-6</v>
      </c>
      <c r="DI133" s="22">
        <f t="shared" si="123"/>
        <v>57.515797220986613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1">
        <f t="shared" si="140"/>
        <v>28.449748482465122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67">
        <f t="shared" si="110"/>
        <v>527.9653519402932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467.03705646400994</v>
      </c>
      <c r="T134" s="59">
        <f t="shared" si="142"/>
        <v>575.68119027684361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83.934908042732033</v>
      </c>
      <c r="AA134" s="21">
        <f>EXP(-LN(2)/25)*AA133+(1-EXP(-LN(2)/25))/(LN(2)/25)*Calculateur!V134*Calculateur!X134*VLOOKUP('Données projet'!$B$9,Paramètres!$A$1:$I$89,3,0)*0.475*44/12</f>
        <v>11.926029503644552</v>
      </c>
      <c r="AB134" s="21">
        <f>EXP(-LN(2)/2)*AB133+(1-EXP(-LN(2)/2))/(LN(2)/2)*V134*Y134*VLOOKUP('Données projet'!$B$9,Paramètres!$A$1:$I$89,3,0)*0.475*44/12</f>
        <v>7.4429899054571389E-9</v>
      </c>
      <c r="AC134" s="22">
        <f t="shared" si="111"/>
        <v>95.860937553819582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-7.0940586738288402E-14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252.44760109054914</v>
      </c>
      <c r="AO134" s="59">
        <f t="shared" si="144"/>
        <v>121.75506329394773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102.95614257933164</v>
      </c>
      <c r="AV134" s="21">
        <f>EXP(-LN(2)/25)*AV133+(1-EXP(-LN(2)/25))/(LN(2)/25)*Calculateur!AQ134*Calculateur!AS134*VLOOKUP('Données projet'!$B$10,Paramètres!$A$1:$I$89,3,0)*0.475*44/12</f>
        <v>18.964059117796424</v>
      </c>
      <c r="AW134" s="21">
        <f>EXP(-LN(2)/2)*AW133+(1-EXP(-LN(2)/2))/(LN(2)/2)*AQ134*AT134*VLOOKUP('Données projet'!$B$10,Paramètres!$A$1:$I$89,3,0)*0.475*44/12</f>
        <v>9.3134130922432998E-4</v>
      </c>
      <c r="AX134" s="21">
        <f t="shared" si="114"/>
        <v>121.92113303843729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-1.3596945791505279E-13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260.97162394079265</v>
      </c>
      <c r="BJ134" s="59">
        <f t="shared" si="146"/>
        <v>279.1836614199691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54.067294676410661</v>
      </c>
      <c r="BQ134" s="21">
        <f>EXP(-LN(2)/25)*BQ133+(1-EXP(-LN(2)/25))/(LN(2)/25)*Calculateur!BL134*Calculateur!BN134*VLOOKUP('Données projet'!$B$11,Paramètres!$A$1:$I$89,3,0)*0.475*44/12</f>
        <v>7.5392865579729387</v>
      </c>
      <c r="BR134" s="21">
        <f>EXP(-LN(2)/2)*BR133+(1-EXP(-LN(2)/2))/(LN(2)/2)*BL134*BO134*VLOOKUP('Données projet'!$B$11,Paramètres!$A$1:$I$89,3,0)*0.475*44/12</f>
        <v>5.7636712506628295E-9</v>
      </c>
      <c r="BS134" s="22">
        <f t="shared" si="117"/>
        <v>61.606581240147271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264.70281355687837</v>
      </c>
      <c r="CE134" s="59">
        <f t="shared" si="148"/>
        <v>199.74194600786768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74.652139407616119</v>
      </c>
      <c r="CL134" s="21">
        <f>EXP(-LN(2)/25)*CL133+(1-EXP(-LN(2)/25))/(LN(2)/25)*Calculateur!CG134*Calculateur!CI134*VLOOKUP('Données projet'!$B$12,Paramètres!$A$1:$I$89,3,0)*0.475*44/12</f>
        <v>11.78422703619372</v>
      </c>
      <c r="CM134" s="21">
        <f>EXP(-LN(2)/2)*CM133+(1-EXP(-LN(2)/2))/(LN(2)/2)*CG134*CJ134*VLOOKUP('Données projet'!$B$12,Paramètres!$A$1:$I$89,3,0)*0.475*44/12</f>
        <v>2.1130257371557122E-6</v>
      </c>
      <c r="CN134" s="22">
        <f t="shared" si="120"/>
        <v>86.436368556835589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-6.5028871176764376E-14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149.8619613776458</v>
      </c>
      <c r="CZ134" s="59">
        <f t="shared" si="150"/>
        <v>108.55560257938146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48.724613504105434</v>
      </c>
      <c r="DG134" s="21">
        <f>EXP(-LN(2)/25)*DG133+(1-EXP(-LN(2)/25))/(LN(2)/25)*Calculateur!DB134*Calculateur!DD134*VLOOKUP('Données projet'!$B$13,Paramètres!$A$1:$I$89,3,0)*0.475*44/12</f>
        <v>7.6028663439673112</v>
      </c>
      <c r="DH134" s="21">
        <f>EXP(-LN(2)/2)*DH133+(1-EXP(-LN(2)/2))/(LN(2)/2)*DB134*DE134*VLOOKUP('Données projet'!$B$13,Paramètres!$A$1:$I$89,3,0)*0.475*44/12</f>
        <v>7.1977978105242901E-7</v>
      </c>
      <c r="DI134" s="22">
        <f t="shared" si="123"/>
        <v>56.327480567852533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1">
        <f t="shared" si="140"/>
        <v>28.64155810910178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67">
        <f t="shared" si="110"/>
        <v>529.71226037335214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467.03705646400994</v>
      </c>
      <c r="T135" s="59">
        <f t="shared" si="142"/>
        <v>575.68119027684361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82.28899569125285</v>
      </c>
      <c r="AA135" s="21">
        <f>EXP(-LN(2)/25)*AA134+(1-EXP(-LN(2)/25))/(LN(2)/25)*Calculateur!V135*Calculateur!X135*VLOOKUP('Données projet'!$B$9,Paramètres!$A$1:$I$89,3,0)*0.475*44/12</f>
        <v>11.599911599704757</v>
      </c>
      <c r="AB135" s="21">
        <f>EXP(-LN(2)/2)*AB134+(1-EXP(-LN(2)/2))/(LN(2)/2)*V135*Y135*VLOOKUP('Données projet'!$B$9,Paramètres!$A$1:$I$89,3,0)*0.475*44/12</f>
        <v>5.2629886344517634E-9</v>
      </c>
      <c r="AC135" s="22">
        <f t="shared" si="111"/>
        <v>93.888907296220594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-7.0940586738288402E-14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252.44760109054914</v>
      </c>
      <c r="AO135" s="59">
        <f t="shared" si="144"/>
        <v>121.75506329394773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100.93723542039723</v>
      </c>
      <c r="AV135" s="21">
        <f>EXP(-LN(2)/25)*AV134+(1-EXP(-LN(2)/25))/(LN(2)/25)*Calculateur!AQ135*Calculateur!AS135*VLOOKUP('Données projet'!$B$10,Paramètres!$A$1:$I$89,3,0)*0.475*44/12</f>
        <v>18.445485923943753</v>
      </c>
      <c r="AW135" s="21">
        <f>EXP(-LN(2)/2)*AW134+(1-EXP(-LN(2)/2))/(LN(2)/2)*AQ135*AT135*VLOOKUP('Données projet'!$B$10,Paramètres!$A$1:$I$89,3,0)*0.475*44/12</f>
        <v>6.5855775535168099E-4</v>
      </c>
      <c r="AX135" s="21">
        <f t="shared" si="114"/>
        <v>119.38337990209634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-1.3596945791505279E-13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260.97162394079265</v>
      </c>
      <c r="BJ135" s="59">
        <f t="shared" si="146"/>
        <v>279.1836614199691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53.007068005599713</v>
      </c>
      <c r="BQ135" s="21">
        <f>EXP(-LN(2)/25)*BQ134+(1-EXP(-LN(2)/25))/(LN(2)/25)*Calculateur!BL135*Calculateur!BN135*VLOOKUP('Données projet'!$B$11,Paramètres!$A$1:$I$89,3,0)*0.475*44/12</f>
        <v>7.33312437057132</v>
      </c>
      <c r="BR135" s="21">
        <f>EXP(-LN(2)/2)*BR134+(1-EXP(-LN(2)/2))/(LN(2)/2)*BL135*BO135*VLOOKUP('Données projet'!$B$11,Paramètres!$A$1:$I$89,3,0)*0.475*44/12</f>
        <v>4.0755310258736361E-9</v>
      </c>
      <c r="BS135" s="22">
        <f t="shared" si="117"/>
        <v>60.340192380246563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264.70281355687837</v>
      </c>
      <c r="CE135" s="59">
        <f t="shared" si="148"/>
        <v>199.74194600786768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73.188256487141771</v>
      </c>
      <c r="CL135" s="21">
        <f>EXP(-LN(2)/25)*CL134+(1-EXP(-LN(2)/25))/(LN(2)/25)*Calculateur!CG135*Calculateur!CI135*VLOOKUP('Données projet'!$B$12,Paramètres!$A$1:$I$89,3,0)*0.475*44/12</f>
        <v>11.461986728183435</v>
      </c>
      <c r="CM135" s="21">
        <f>EXP(-LN(2)/2)*CM134+(1-EXP(-LN(2)/2))/(LN(2)/2)*CG135*CJ135*VLOOKUP('Données projet'!$B$12,Paramètres!$A$1:$I$89,3,0)*0.475*44/12</f>
        <v>1.4941348275645075E-6</v>
      </c>
      <c r="CN135" s="22">
        <f t="shared" si="120"/>
        <v>84.650244709460026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-6.5028871176764376E-14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149.8619613776458</v>
      </c>
      <c r="CZ135" s="59">
        <f t="shared" si="150"/>
        <v>108.55560257938146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47.769153552369652</v>
      </c>
      <c r="DG135" s="21">
        <f>EXP(-LN(2)/25)*DG134+(1-EXP(-LN(2)/25))/(LN(2)/25)*Calculateur!DB135*Calculateur!DD135*VLOOKUP('Données projet'!$B$13,Paramètres!$A$1:$I$89,3,0)*0.475*44/12</f>
        <v>7.3949655639741607</v>
      </c>
      <c r="DH135" s="21">
        <f>EXP(-LN(2)/2)*DH134+(1-EXP(-LN(2)/2))/(LN(2)/2)*DB135*DE135*VLOOKUP('Données projet'!$B$13,Paramètres!$A$1:$I$89,3,0)*0.475*44/12</f>
        <v>5.0896116414314101E-7</v>
      </c>
      <c r="DI135" s="22">
        <f t="shared" si="123"/>
        <v>55.164119625304977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1">
        <f t="shared" si="140"/>
        <v>28.833198667365593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67">
        <f t="shared" si="110"/>
        <v>531.45887434566157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467.03705646400994</v>
      </c>
      <c r="T136" s="59">
        <f t="shared" si="142"/>
        <v>575.68119027684361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80.675358677078776</v>
      </c>
      <c r="AA136" s="21">
        <f>EXP(-LN(2)/25)*AA135+(1-EXP(-LN(2)/25))/(LN(2)/25)*Calculateur!V136*Calculateur!X136*VLOOKUP('Données projet'!$B$9,Paramètres!$A$1:$I$89,3,0)*0.475*44/12</f>
        <v>11.282711406997992</v>
      </c>
      <c r="AB136" s="21">
        <f>EXP(-LN(2)/2)*AB135+(1-EXP(-LN(2)/2))/(LN(2)/2)*V136*Y136*VLOOKUP('Données projet'!$B$9,Paramètres!$A$1:$I$89,3,0)*0.475*44/12</f>
        <v>3.7214949527285699E-9</v>
      </c>
      <c r="AC136" s="22">
        <f t="shared" si="111"/>
        <v>91.958070087798262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-7.0940586738288402E-14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252.44760109054914</v>
      </c>
      <c r="AO136" s="59">
        <f t="shared" si="144"/>
        <v>121.75506329394773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98.957917799437752</v>
      </c>
      <c r="AV136" s="21">
        <f>EXP(-LN(2)/25)*AV135+(1-EXP(-LN(2)/25))/(LN(2)/25)*Calculateur!AQ136*Calculateur!AS136*VLOOKUP('Données projet'!$B$10,Paramètres!$A$1:$I$89,3,0)*0.475*44/12</f>
        <v>17.941093141347565</v>
      </c>
      <c r="AW136" s="21">
        <f>EXP(-LN(2)/2)*AW135+(1-EXP(-LN(2)/2))/(LN(2)/2)*AQ136*AT136*VLOOKUP('Données projet'!$B$10,Paramètres!$A$1:$I$89,3,0)*0.475*44/12</f>
        <v>4.6567065461216499E-4</v>
      </c>
      <c r="AX136" s="21">
        <f t="shared" si="114"/>
        <v>116.89947661143992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-1.3596945791505279E-13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260.97162394079265</v>
      </c>
      <c r="BJ136" s="59">
        <f t="shared" si="146"/>
        <v>279.1836614199691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51.967631733128954</v>
      </c>
      <c r="BQ136" s="21">
        <f>EXP(-LN(2)/25)*BQ135+(1-EXP(-LN(2)/25))/(LN(2)/25)*Calculateur!BL136*Calculateur!BN136*VLOOKUP('Données projet'!$B$11,Paramètres!$A$1:$I$89,3,0)*0.475*44/12</f>
        <v>7.1325996990257972</v>
      </c>
      <c r="BR136" s="21">
        <f>EXP(-LN(2)/2)*BR135+(1-EXP(-LN(2)/2))/(LN(2)/2)*BL136*BO136*VLOOKUP('Données projet'!$B$11,Paramètres!$A$1:$I$89,3,0)*0.475*44/12</f>
        <v>2.8818356253314148E-9</v>
      </c>
      <c r="BS136" s="22">
        <f t="shared" si="117"/>
        <v>59.100231435036584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264.70281355687837</v>
      </c>
      <c r="CE136" s="59">
        <f t="shared" si="148"/>
        <v>199.74194600786768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71.753079417857506</v>
      </c>
      <c r="CL136" s="21">
        <f>EXP(-LN(2)/25)*CL135+(1-EXP(-LN(2)/25))/(LN(2)/25)*Calculateur!CG136*Calculateur!CI136*VLOOKUP('Données projet'!$B$12,Paramètres!$A$1:$I$89,3,0)*0.475*44/12</f>
        <v>11.148558098341574</v>
      </c>
      <c r="CM136" s="21">
        <f>EXP(-LN(2)/2)*CM135+(1-EXP(-LN(2)/2))/(LN(2)/2)*CG136*CJ136*VLOOKUP('Données projet'!$B$12,Paramètres!$A$1:$I$89,3,0)*0.475*44/12</f>
        <v>1.0565128685778561E-6</v>
      </c>
      <c r="CN136" s="22">
        <f t="shared" si="120"/>
        <v>82.90163857271196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-6.5028871176764376E-14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149.8619613776458</v>
      </c>
      <c r="CZ136" s="59">
        <f t="shared" si="150"/>
        <v>108.55560257938146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46.832429587514376</v>
      </c>
      <c r="DG136" s="21">
        <f>EXP(-LN(2)/25)*DG135+(1-EXP(-LN(2)/25))/(LN(2)/25)*Calculateur!DB136*Calculateur!DD136*VLOOKUP('Données projet'!$B$13,Paramètres!$A$1:$I$89,3,0)*0.475*44/12</f>
        <v>7.1927498417429501</v>
      </c>
      <c r="DH136" s="21">
        <f>EXP(-LN(2)/2)*DH135+(1-EXP(-LN(2)/2))/(LN(2)/2)*DB136*DE136*VLOOKUP('Données projet'!$B$13,Paramètres!$A$1:$I$89,3,0)*0.475*44/12</f>
        <v>3.5988989052621451E-7</v>
      </c>
      <c r="DI136" s="22">
        <f t="shared" si="123"/>
        <v>54.025179789147217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1">
        <f t="shared" si="140"/>
        <v>29.024671575819966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67">
        <f t="shared" si="110"/>
        <v>533.20519632788637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467.03705646400994</v>
      </c>
      <c r="T137" s="59">
        <f t="shared" si="142"/>
        <v>575.68119027684361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79.093364100531261</v>
      </c>
      <c r="AA137" s="21">
        <f>EXP(-LN(2)/25)*AA136+(1-EXP(-LN(2)/25))/(LN(2)/25)*Calculateur!V137*Calculateur!X137*VLOOKUP('Données projet'!$B$9,Paramètres!$A$1:$I$89,3,0)*0.475*44/12</f>
        <v>10.974185070241626</v>
      </c>
      <c r="AB137" s="21">
        <f>EXP(-LN(2)/2)*AB136+(1-EXP(-LN(2)/2))/(LN(2)/2)*V137*Y137*VLOOKUP('Données projet'!$B$9,Paramètres!$A$1:$I$89,3,0)*0.475*44/12</f>
        <v>2.6314943172258821E-9</v>
      </c>
      <c r="AC137" s="22">
        <f t="shared" si="111"/>
        <v>90.067549173404387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-7.0940586738288402E-14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252.44760109054914</v>
      </c>
      <c r="AO137" s="59">
        <f t="shared" si="144"/>
        <v>121.75506329394773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97.017413389760748</v>
      </c>
      <c r="AV137" s="21">
        <f>EXP(-LN(2)/25)*AV136+(1-EXP(-LN(2)/25))/(LN(2)/25)*Calculateur!AQ137*Calculateur!AS137*VLOOKUP('Données projet'!$B$10,Paramètres!$A$1:$I$89,3,0)*0.475*44/12</f>
        <v>17.450493005916332</v>
      </c>
      <c r="AW137" s="21">
        <f>EXP(-LN(2)/2)*AW136+(1-EXP(-LN(2)/2))/(LN(2)/2)*AQ137*AT137*VLOOKUP('Données projet'!$B$10,Paramètres!$A$1:$I$89,3,0)*0.475*44/12</f>
        <v>3.2927887767584049E-4</v>
      </c>
      <c r="AX137" s="21">
        <f t="shared" si="114"/>
        <v>114.46823567455475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-1.3596945791505279E-13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260.97162394079265</v>
      </c>
      <c r="BJ137" s="59">
        <f t="shared" si="146"/>
        <v>279.1836614199691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50.948578171967824</v>
      </c>
      <c r="BQ137" s="21">
        <f>EXP(-LN(2)/25)*BQ136+(1-EXP(-LN(2)/25))/(LN(2)/25)*Calculateur!BL137*Calculateur!BN137*VLOOKUP('Données projet'!$B$11,Paramètres!$A$1:$I$89,3,0)*0.475*44/12</f>
        <v>6.9375583851688205</v>
      </c>
      <c r="BR137" s="21">
        <f>EXP(-LN(2)/2)*BR136+(1-EXP(-LN(2)/2))/(LN(2)/2)*BL137*BO137*VLOOKUP('Données projet'!$B$11,Paramètres!$A$1:$I$89,3,0)*0.475*44/12</f>
        <v>2.0377655129368181E-9</v>
      </c>
      <c r="BS137" s="22">
        <f t="shared" si="117"/>
        <v>57.88613655917441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264.70281355687837</v>
      </c>
      <c r="CE137" s="59">
        <f t="shared" si="148"/>
        <v>199.74194600786768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70.346045295530331</v>
      </c>
      <c r="CL137" s="21">
        <f>EXP(-LN(2)/25)*CL136+(1-EXP(-LN(2)/25))/(LN(2)/25)*Calculateur!CG137*Calculateur!CI137*VLOOKUP('Données projet'!$B$12,Paramètres!$A$1:$I$89,3,0)*0.475*44/12</f>
        <v>10.843700190865235</v>
      </c>
      <c r="CM137" s="21">
        <f>EXP(-LN(2)/2)*CM136+(1-EXP(-LN(2)/2))/(LN(2)/2)*CG137*CJ137*VLOOKUP('Données projet'!$B$12,Paramètres!$A$1:$I$89,3,0)*0.475*44/12</f>
        <v>7.4706741378225374E-7</v>
      </c>
      <c r="CN137" s="22">
        <f t="shared" si="120"/>
        <v>81.189746233462984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-6.5028871176764376E-14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149.8619613776458</v>
      </c>
      <c r="CZ137" s="59">
        <f t="shared" si="150"/>
        <v>108.55560257938146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45.914074208264715</v>
      </c>
      <c r="DG137" s="21">
        <f>EXP(-LN(2)/25)*DG136+(1-EXP(-LN(2)/25))/(LN(2)/25)*Calculateur!DB137*Calculateur!DD137*VLOOKUP('Données projet'!$B$13,Paramètres!$A$1:$I$89,3,0)*0.475*44/12</f>
        <v>6.9960637190702144</v>
      </c>
      <c r="DH137" s="21">
        <f>EXP(-LN(2)/2)*DH136+(1-EXP(-LN(2)/2))/(LN(2)/2)*DB137*DE137*VLOOKUP('Données projet'!$B$13,Paramètres!$A$1:$I$89,3,0)*0.475*44/12</f>
        <v>2.5448058207157051E-7</v>
      </c>
      <c r="DI137" s="22">
        <f t="shared" si="123"/>
        <v>52.910138181815512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1">
        <f t="shared" si="140"/>
        <v>29.21597823063253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67">
        <f t="shared" si="110"/>
        <v>534.95122875168477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467.03705646400994</v>
      </c>
      <c r="T138" s="59">
        <f t="shared" si="142"/>
        <v>575.68119027684361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77.542391472708417</v>
      </c>
      <c r="AA138" s="21">
        <f>EXP(-LN(2)/25)*AA137+(1-EXP(-LN(2)/25))/(LN(2)/25)*Calculateur!V138*Calculateur!X138*VLOOKUP('Données projet'!$B$9,Paramètres!$A$1:$I$89,3,0)*0.475*44/12</f>
        <v>10.674095402388557</v>
      </c>
      <c r="AB138" s="21">
        <f>EXP(-LN(2)/2)*AB137+(1-EXP(-LN(2)/2))/(LN(2)/2)*V138*Y138*VLOOKUP('Données projet'!$B$9,Paramètres!$A$1:$I$89,3,0)*0.475*44/12</f>
        <v>1.8607474763642851E-9</v>
      </c>
      <c r="AC138" s="22">
        <f t="shared" si="111"/>
        <v>88.216486876957717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-7.0940586738288402E-14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252.44760109054914</v>
      </c>
      <c r="AO138" s="59">
        <f t="shared" si="144"/>
        <v>121.75506329394773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95.114961087966677</v>
      </c>
      <c r="AV138" s="21">
        <f>EXP(-LN(2)/25)*AV137+(1-EXP(-LN(2)/25))/(LN(2)/25)*Calculateur!AQ138*Calculateur!AS138*VLOOKUP('Données projet'!$B$10,Paramètres!$A$1:$I$89,3,0)*0.475*44/12</f>
        <v>16.973308356988007</v>
      </c>
      <c r="AW138" s="21">
        <f>EXP(-LN(2)/2)*AW137+(1-EXP(-LN(2)/2))/(LN(2)/2)*AQ138*AT138*VLOOKUP('Données projet'!$B$10,Paramètres!$A$1:$I$89,3,0)*0.475*44/12</f>
        <v>2.3283532730608249E-4</v>
      </c>
      <c r="AX138" s="21">
        <f t="shared" si="114"/>
        <v>112.08850228028199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-1.3596945791505279E-13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260.97162394079265</v>
      </c>
      <c r="BJ138" s="59">
        <f t="shared" si="146"/>
        <v>279.1836614199691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49.949507629579763</v>
      </c>
      <c r="BQ138" s="21">
        <f>EXP(-LN(2)/25)*BQ137+(1-EXP(-LN(2)/25))/(LN(2)/25)*Calculateur!BL138*Calculateur!BN138*VLOOKUP('Données projet'!$B$11,Paramètres!$A$1:$I$89,3,0)*0.475*44/12</f>
        <v>6.7478504862960396</v>
      </c>
      <c r="BR138" s="21">
        <f>EXP(-LN(2)/2)*BR137+(1-EXP(-LN(2)/2))/(LN(2)/2)*BL138*BO138*VLOOKUP('Données projet'!$B$11,Paramètres!$A$1:$I$89,3,0)*0.475*44/12</f>
        <v>1.4409178126657074E-9</v>
      </c>
      <c r="BS138" s="22">
        <f t="shared" si="117"/>
        <v>56.697358117316718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264.70281355687837</v>
      </c>
      <c r="CE138" s="59">
        <f t="shared" si="148"/>
        <v>199.74194600786768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68.966602254135907</v>
      </c>
      <c r="CL138" s="21">
        <f>EXP(-LN(2)/25)*CL137+(1-EXP(-LN(2)/25))/(LN(2)/25)*Calculateur!CG138*Calculateur!CI138*VLOOKUP('Données projet'!$B$12,Paramètres!$A$1:$I$89,3,0)*0.475*44/12</f>
        <v>10.547178638900615</v>
      </c>
      <c r="CM138" s="21">
        <f>EXP(-LN(2)/2)*CM137+(1-EXP(-LN(2)/2))/(LN(2)/2)*CG138*CJ138*VLOOKUP('Données projet'!$B$12,Paramètres!$A$1:$I$89,3,0)*0.475*44/12</f>
        <v>5.2825643428892805E-7</v>
      </c>
      <c r="CN138" s="22">
        <f t="shared" si="120"/>
        <v>79.513781421292961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-6.5028871176764376E-14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149.8619613776458</v>
      </c>
      <c r="CZ138" s="59">
        <f t="shared" si="150"/>
        <v>108.55560257938146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45.013727217860662</v>
      </c>
      <c r="DG138" s="21">
        <f>EXP(-LN(2)/25)*DG137+(1-EXP(-LN(2)/25))/(LN(2)/25)*Calculateur!DB138*Calculateur!DD138*VLOOKUP('Données projet'!$B$13,Paramètres!$A$1:$I$89,3,0)*0.475*44/12</f>
        <v>6.8047559887652378</v>
      </c>
      <c r="DH138" s="21">
        <f>EXP(-LN(2)/2)*DH137+(1-EXP(-LN(2)/2))/(LN(2)/2)*DB138*DE138*VLOOKUP('Données projet'!$B$13,Paramètres!$A$1:$I$89,3,0)*0.475*44/12</f>
        <v>1.7994494526310725E-7</v>
      </c>
      <c r="DI138" s="22">
        <f t="shared" si="123"/>
        <v>51.818483386570847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1">
        <f t="shared" si="140"/>
        <v>29.407120006092001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67">
        <f t="shared" si="110"/>
        <v>536.69697401061012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467.03705646400994</v>
      </c>
      <c r="T139" s="59">
        <f t="shared" si="142"/>
        <v>575.68119027684361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76.021832472117296</v>
      </c>
      <c r="AA139" s="21">
        <f>EXP(-LN(2)/25)*AA138+(1-EXP(-LN(2)/25))/(LN(2)/25)*Calculateur!V139*Calculateur!X139*VLOOKUP('Données projet'!$B$9,Paramètres!$A$1:$I$89,3,0)*0.475*44/12</f>
        <v>10.382211702283961</v>
      </c>
      <c r="AB139" s="21">
        <f>EXP(-LN(2)/2)*AB138+(1-EXP(-LN(2)/2))/(LN(2)/2)*V139*Y139*VLOOKUP('Données projet'!$B$9,Paramètres!$A$1:$I$89,3,0)*0.475*44/12</f>
        <v>1.3157471586129413E-9</v>
      </c>
      <c r="AC139" s="22">
        <f t="shared" si="111"/>
        <v>86.404044175717004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-7.0940586738288402E-14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252.44760109054914</v>
      </c>
      <c r="AO139" s="59">
        <f t="shared" si="144"/>
        <v>121.75506329394773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93.249814715429466</v>
      </c>
      <c r="AV139" s="21">
        <f>EXP(-LN(2)/25)*AV138+(1-EXP(-LN(2)/25))/(LN(2)/25)*Calculateur!AQ139*Calculateur!AS139*VLOOKUP('Données projet'!$B$10,Paramètres!$A$1:$I$89,3,0)*0.475*44/12</f>
        <v>16.509172347378676</v>
      </c>
      <c r="AW139" s="21">
        <f>EXP(-LN(2)/2)*AW138+(1-EXP(-LN(2)/2))/(LN(2)/2)*AQ139*AT139*VLOOKUP('Données projet'!$B$10,Paramètres!$A$1:$I$89,3,0)*0.475*44/12</f>
        <v>1.6463943883792025E-4</v>
      </c>
      <c r="AX139" s="21">
        <f t="shared" si="114"/>
        <v>109.75915170224698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-1.3596945791505279E-13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260.97162394079265</v>
      </c>
      <c r="BJ139" s="59">
        <f t="shared" si="146"/>
        <v>279.1836614199691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48.970028251155071</v>
      </c>
      <c r="BQ139" s="21">
        <f>EXP(-LN(2)/25)*BQ138+(1-EXP(-LN(2)/25))/(LN(2)/25)*Calculateur!BL139*Calculateur!BN139*VLOOKUP('Données projet'!$B$11,Paramètres!$A$1:$I$89,3,0)*0.475*44/12</f>
        <v>6.5633301598942397</v>
      </c>
      <c r="BR139" s="21">
        <f>EXP(-LN(2)/2)*BR138+(1-EXP(-LN(2)/2))/(LN(2)/2)*BL139*BO139*VLOOKUP('Données projet'!$B$11,Paramètres!$A$1:$I$89,3,0)*0.475*44/12</f>
        <v>1.018882756468409E-9</v>
      </c>
      <c r="BS139" s="22">
        <f t="shared" si="117"/>
        <v>55.533358412068196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264.70281355687837</v>
      </c>
      <c r="CE139" s="59">
        <f t="shared" si="148"/>
        <v>199.74194600786768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67.614209249406059</v>
      </c>
      <c r="CL139" s="21">
        <f>EXP(-LN(2)/25)*CL138+(1-EXP(-LN(2)/25))/(LN(2)/25)*Calculateur!CG139*Calculateur!CI139*VLOOKUP('Données projet'!$B$12,Paramètres!$A$1:$I$89,3,0)*0.475*44/12</f>
        <v>10.258765484367858</v>
      </c>
      <c r="CM139" s="21">
        <f>EXP(-LN(2)/2)*CM138+(1-EXP(-LN(2)/2))/(LN(2)/2)*CG139*CJ139*VLOOKUP('Données projet'!$B$12,Paramètres!$A$1:$I$89,3,0)*0.475*44/12</f>
        <v>3.7353370689112687E-7</v>
      </c>
      <c r="CN139" s="22">
        <f t="shared" si="120"/>
        <v>77.872975107307624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-6.5028871176764376E-14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149.8619613776458</v>
      </c>
      <c r="CZ139" s="59">
        <f t="shared" si="150"/>
        <v>108.55560257938146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44.131035482780995</v>
      </c>
      <c r="DG139" s="21">
        <f>EXP(-LN(2)/25)*DG138+(1-EXP(-LN(2)/25))/(LN(2)/25)*Calculateur!DB139*Calculateur!DD139*VLOOKUP('Données projet'!$B$13,Paramètres!$A$1:$I$89,3,0)*0.475*44/12</f>
        <v>6.6186795784058878</v>
      </c>
      <c r="DH139" s="21">
        <f>EXP(-LN(2)/2)*DH138+(1-EXP(-LN(2)/2))/(LN(2)/2)*DB139*DE139*VLOOKUP('Données projet'!$B$13,Paramètres!$A$1:$I$89,3,0)*0.475*44/12</f>
        <v>1.2724029103578525E-7</v>
      </c>
      <c r="DI139" s="22">
        <f t="shared" si="123"/>
        <v>50.749715188427174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1">
        <f t="shared" si="140"/>
        <v>29.59809825510931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67">
        <f t="shared" si="110"/>
        <v>538.44243446098199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467.03705646400994</v>
      </c>
      <c r="T140" s="59">
        <f t="shared" si="142"/>
        <v>575.68119027684361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74.531090706078345</v>
      </c>
      <c r="AA140" s="21">
        <f>EXP(-LN(2)/25)*AA139+(1-EXP(-LN(2)/25))/(LN(2)/25)*Calculateur!V140*Calculateur!X140*VLOOKUP('Données projet'!$B$9,Paramètres!$A$1:$I$89,3,0)*0.475*44/12</f>
        <v>10.098309577308221</v>
      </c>
      <c r="AB140" s="21">
        <f>EXP(-LN(2)/2)*AB139+(1-EXP(-LN(2)/2))/(LN(2)/2)*V140*Y140*VLOOKUP('Données projet'!$B$9,Paramètres!$A$1:$I$89,3,0)*0.475*44/12</f>
        <v>9.3037373818214278E-10</v>
      </c>
      <c r="AC140" s="22">
        <f t="shared" si="111"/>
        <v>84.62940028431693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-7.0940586738288402E-14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252.44760109054914</v>
      </c>
      <c r="AO140" s="59">
        <f t="shared" si="144"/>
        <v>121.75506329394773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91.421242725630762</v>
      </c>
      <c r="AV140" s="21">
        <f>EXP(-LN(2)/25)*AV139+(1-EXP(-LN(2)/25))/(LN(2)/25)*Calculateur!AQ140*Calculateur!AS140*VLOOKUP('Données projet'!$B$10,Paramètres!$A$1:$I$89,3,0)*0.475*44/12</f>
        <v>16.057728161359965</v>
      </c>
      <c r="AW140" s="21">
        <f>EXP(-LN(2)/2)*AW139+(1-EXP(-LN(2)/2))/(LN(2)/2)*AQ140*AT140*VLOOKUP('Données projet'!$B$10,Paramètres!$A$1:$I$89,3,0)*0.475*44/12</f>
        <v>1.1641766365304125E-4</v>
      </c>
      <c r="AX140" s="21">
        <f t="shared" si="114"/>
        <v>107.47908730465437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-1.3596945791505279E-13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260.97162394079265</v>
      </c>
      <c r="BJ140" s="59">
        <f t="shared" si="146"/>
        <v>279.1836614199691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48.00975586591786</v>
      </c>
      <c r="BQ140" s="21">
        <f>EXP(-LN(2)/25)*BQ139+(1-EXP(-LN(2)/25))/(LN(2)/25)*Calculateur!BL140*Calculateur!BN140*VLOOKUP('Données projet'!$B$11,Paramètres!$A$1:$I$89,3,0)*0.475*44/12</f>
        <v>6.3838555515213997</v>
      </c>
      <c r="BR140" s="21">
        <f>EXP(-LN(2)/2)*BR139+(1-EXP(-LN(2)/2))/(LN(2)/2)*BL140*BO140*VLOOKUP('Données projet'!$B$11,Paramètres!$A$1:$I$89,3,0)*0.475*44/12</f>
        <v>7.2045890633285369E-10</v>
      </c>
      <c r="BS140" s="22">
        <f t="shared" si="117"/>
        <v>54.393611418159722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264.70281355687837</v>
      </c>
      <c r="CE140" s="59">
        <f t="shared" si="148"/>
        <v>199.74194600786768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66.288335846620683</v>
      </c>
      <c r="CL140" s="21">
        <f>EXP(-LN(2)/25)*CL139+(1-EXP(-LN(2)/25))/(LN(2)/25)*Calculateur!CG140*Calculateur!CI140*VLOOKUP('Données projet'!$B$12,Paramètres!$A$1:$I$89,3,0)*0.475*44/12</f>
        <v>9.9782390027127885</v>
      </c>
      <c r="CM140" s="21">
        <f>EXP(-LN(2)/2)*CM139+(1-EXP(-LN(2)/2))/(LN(2)/2)*CG140*CJ140*VLOOKUP('Données projet'!$B$12,Paramètres!$A$1:$I$89,3,0)*0.475*44/12</f>
        <v>2.6412821714446402E-7</v>
      </c>
      <c r="CN140" s="22">
        <f t="shared" si="120"/>
        <v>76.266575113461684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-6.5028871176764376E-14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149.8619613776458</v>
      </c>
      <c r="CZ140" s="59">
        <f t="shared" si="150"/>
        <v>108.55560257938146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43.265652794237447</v>
      </c>
      <c r="DG140" s="21">
        <f>EXP(-LN(2)/25)*DG139+(1-EXP(-LN(2)/25))/(LN(2)/25)*Calculateur!DB140*Calculateur!DD140*VLOOKUP('Données projet'!$B$13,Paramètres!$A$1:$I$89,3,0)*0.475*44/12</f>
        <v>6.4376914372731466</v>
      </c>
      <c r="DH140" s="21">
        <f>EXP(-LN(2)/2)*DH139+(1-EXP(-LN(2)/2))/(LN(2)/2)*DB140*DE140*VLOOKUP('Données projet'!$B$13,Paramètres!$A$1:$I$89,3,0)*0.475*44/12</f>
        <v>8.9972472631553627E-8</v>
      </c>
      <c r="DI140" s="22">
        <f t="shared" si="123"/>
        <v>49.703344321483065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1">
        <f t="shared" si="140"/>
        <v>29.788914309703735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67">
        <f t="shared" si="110"/>
        <v>540.18761242273388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467.03705646400994</v>
      </c>
      <c r="T141" s="59">
        <f t="shared" si="142"/>
        <v>575.68119027684361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73.069581476808736</v>
      </c>
      <c r="AA141" s="21">
        <f>EXP(-LN(2)/25)*AA140+(1-EXP(-LN(2)/25))/(LN(2)/25)*Calculateur!V141*Calculateur!X141*VLOOKUP('Données projet'!$B$9,Paramètres!$A$1:$I$89,3,0)*0.475*44/12</f>
        <v>9.8221707708697075</v>
      </c>
      <c r="AB141" s="21">
        <f>EXP(-LN(2)/2)*AB140+(1-EXP(-LN(2)/2))/(LN(2)/2)*V141*Y141*VLOOKUP('Données projet'!$B$9,Paramètres!$A$1:$I$89,3,0)*0.475*44/12</f>
        <v>6.5787357930647073E-10</v>
      </c>
      <c r="AC141" s="22">
        <f t="shared" si="111"/>
        <v>82.891752248336317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-7.0940586738288402E-14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252.44760109054914</v>
      </c>
      <c r="AO141" s="59">
        <f t="shared" si="144"/>
        <v>121.75506329394773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89.628527917233214</v>
      </c>
      <c r="AV141" s="21">
        <f>EXP(-LN(2)/25)*AV140+(1-EXP(-LN(2)/25))/(LN(2)/25)*Calculateur!AQ141*Calculateur!AS141*VLOOKUP('Données projet'!$B$10,Paramètres!$A$1:$I$89,3,0)*0.475*44/12</f>
        <v>15.618628740348353</v>
      </c>
      <c r="AW141" s="21">
        <f>EXP(-LN(2)/2)*AW140+(1-EXP(-LN(2)/2))/(LN(2)/2)*AQ141*AT141*VLOOKUP('Données projet'!$B$10,Paramètres!$A$1:$I$89,3,0)*0.475*44/12</f>
        <v>8.2319719418960123E-5</v>
      </c>
      <c r="AX141" s="21">
        <f t="shared" si="114"/>
        <v>105.247238977301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-1.3596945791505279E-13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260.97162394079265</v>
      </c>
      <c r="BJ141" s="59">
        <f t="shared" si="146"/>
        <v>279.1836614199691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47.068313836446826</v>
      </c>
      <c r="BQ141" s="21">
        <f>EXP(-LN(2)/25)*BQ140+(1-EXP(-LN(2)/25))/(LN(2)/25)*Calculateur!BL141*Calculateur!BN141*VLOOKUP('Données projet'!$B$11,Paramètres!$A$1:$I$89,3,0)*0.475*44/12</f>
        <v>6.2092886857526741</v>
      </c>
      <c r="BR141" s="21">
        <f>EXP(-LN(2)/2)*BR140+(1-EXP(-LN(2)/2))/(LN(2)/2)*BL141*BO141*VLOOKUP('Données projet'!$B$11,Paramètres!$A$1:$I$89,3,0)*0.475*44/12</f>
        <v>5.0944137823420451E-10</v>
      </c>
      <c r="BS141" s="22">
        <f t="shared" si="117"/>
        <v>53.277602522708946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264.70281355687837</v>
      </c>
      <c r="CE141" s="59">
        <f t="shared" si="148"/>
        <v>199.74194600786768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64.988462012561001</v>
      </c>
      <c r="CL141" s="21">
        <f>EXP(-LN(2)/25)*CL140+(1-EXP(-LN(2)/25))/(LN(2)/25)*Calculateur!CG141*Calculateur!CI141*VLOOKUP('Données projet'!$B$12,Paramètres!$A$1:$I$89,3,0)*0.475*44/12</f>
        <v>9.7053835324508242</v>
      </c>
      <c r="CM141" s="21">
        <f>EXP(-LN(2)/2)*CM140+(1-EXP(-LN(2)/2))/(LN(2)/2)*CG141*CJ141*VLOOKUP('Données projet'!$B$12,Paramètres!$A$1:$I$89,3,0)*0.475*44/12</f>
        <v>1.8676685344556343E-7</v>
      </c>
      <c r="CN141" s="22">
        <f t="shared" si="120"/>
        <v>74.69384573177868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-6.5028871176764376E-14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149.8619613776458</v>
      </c>
      <c r="CZ141" s="59">
        <f t="shared" si="150"/>
        <v>108.55560257938146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42.417239732384914</v>
      </c>
      <c r="DG141" s="21">
        <f>EXP(-LN(2)/25)*DG140+(1-EXP(-LN(2)/25))/(LN(2)/25)*Calculateur!DB141*Calculateur!DD141*VLOOKUP('Données projet'!$B$13,Paramètres!$A$1:$I$89,3,0)*0.475*44/12</f>
        <v>6.2616524263774336</v>
      </c>
      <c r="DH141" s="21">
        <f>EXP(-LN(2)/2)*DH140+(1-EXP(-LN(2)/2))/(LN(2)/2)*DB141*DE141*VLOOKUP('Données projet'!$B$13,Paramètres!$A$1:$I$89,3,0)*0.475*44/12</f>
        <v>6.3620145517892626E-8</v>
      </c>
      <c r="DI141" s="22">
        <f t="shared" si="123"/>
        <v>48.678892222382487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1">
        <f t="shared" si="140"/>
        <v>29.979569481474449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67">
        <f t="shared" si="110"/>
        <v>541.93251018023454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467.03705646400994</v>
      </c>
      <c r="T142" s="59">
        <f t="shared" si="142"/>
        <v>575.68119027684361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71.636731552092485</v>
      </c>
      <c r="AA142" s="21">
        <f>EXP(-LN(2)/25)*AA141+(1-EXP(-LN(2)/25))/(LN(2)/25)*Calculateur!V142*Calculateur!X142*VLOOKUP('Données projet'!$B$9,Paramètres!$A$1:$I$89,3,0)*0.475*44/12</f>
        <v>9.5535829946147626</v>
      </c>
      <c r="AB142" s="21">
        <f>EXP(-LN(2)/2)*AB141+(1-EXP(-LN(2)/2))/(LN(2)/2)*V142*Y142*VLOOKUP('Données projet'!$B$9,Paramètres!$A$1:$I$89,3,0)*0.475*44/12</f>
        <v>4.6518686909107144E-10</v>
      </c>
      <c r="AC142" s="22">
        <f t="shared" si="111"/>
        <v>81.190314547172434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-7.0940586738288402E-14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252.44760109054914</v>
      </c>
      <c r="AO142" s="59">
        <f t="shared" si="144"/>
        <v>121.75506329394773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87.870967152780281</v>
      </c>
      <c r="AV142" s="21">
        <f>EXP(-LN(2)/25)*AV141+(1-EXP(-LN(2)/25))/(LN(2)/25)*Calculateur!AQ142*Calculateur!AS142*VLOOKUP('Données projet'!$B$10,Paramètres!$A$1:$I$89,3,0)*0.475*44/12</f>
        <v>15.191536516095539</v>
      </c>
      <c r="AW142" s="21">
        <f>EXP(-LN(2)/2)*AW141+(1-EXP(-LN(2)/2))/(LN(2)/2)*AQ142*AT142*VLOOKUP('Données projet'!$B$10,Paramètres!$A$1:$I$89,3,0)*0.475*44/12</f>
        <v>5.8208831826520624E-5</v>
      </c>
      <c r="AX142" s="21">
        <f t="shared" si="114"/>
        <v>103.06256187770765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-1.3596945791505279E-13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260.97162394079265</v>
      </c>
      <c r="BJ142" s="59">
        <f t="shared" si="146"/>
        <v>279.1836614199691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46.145332910950785</v>
      </c>
      <c r="BQ142" s="21">
        <f>EXP(-LN(2)/25)*BQ141+(1-EXP(-LN(2)/25))/(LN(2)/25)*Calculateur!BL142*Calculateur!BN142*VLOOKUP('Données projet'!$B$11,Paramètres!$A$1:$I$89,3,0)*0.475*44/12</f>
        <v>6.0394953601084671</v>
      </c>
      <c r="BR142" s="21">
        <f>EXP(-LN(2)/2)*BR141+(1-EXP(-LN(2)/2))/(LN(2)/2)*BL142*BO142*VLOOKUP('Données projet'!$B$11,Paramètres!$A$1:$I$89,3,0)*0.475*44/12</f>
        <v>3.6022945316642685E-10</v>
      </c>
      <c r="BS142" s="22">
        <f t="shared" si="117"/>
        <v>52.184828271419484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264.70281355687837</v>
      </c>
      <c r="CE142" s="59">
        <f t="shared" si="148"/>
        <v>199.74194600786768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63.714077911542475</v>
      </c>
      <c r="CL142" s="21">
        <f>EXP(-LN(2)/25)*CL141+(1-EXP(-LN(2)/25))/(LN(2)/25)*Calculateur!CG142*Calculateur!CI142*VLOOKUP('Données projet'!$B$12,Paramètres!$A$1:$I$89,3,0)*0.475*44/12</f>
        <v>9.4399893093720184</v>
      </c>
      <c r="CM142" s="21">
        <f>EXP(-LN(2)/2)*CM141+(1-EXP(-LN(2)/2))/(LN(2)/2)*CG142*CJ142*VLOOKUP('Données projet'!$B$12,Paramètres!$A$1:$I$89,3,0)*0.475*44/12</f>
        <v>1.3206410857223201E-7</v>
      </c>
      <c r="CN142" s="22">
        <f t="shared" si="120"/>
        <v>73.154067352978601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-6.5028871176764376E-14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149.8619613776458</v>
      </c>
      <c r="CZ142" s="59">
        <f t="shared" si="150"/>
        <v>108.55560257938146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41.585463533194435</v>
      </c>
      <c r="DG142" s="21">
        <f>EXP(-LN(2)/25)*DG141+(1-EXP(-LN(2)/25))/(LN(2)/25)*Calculateur!DB142*Calculateur!DD142*VLOOKUP('Données projet'!$B$13,Paramètres!$A$1:$I$89,3,0)*0.475*44/12</f>
        <v>6.0904272114921527</v>
      </c>
      <c r="DH142" s="21">
        <f>EXP(-LN(2)/2)*DH141+(1-EXP(-LN(2)/2))/(LN(2)/2)*DB142*DE142*VLOOKUP('Données projet'!$B$13,Paramètres!$A$1:$I$89,3,0)*0.475*44/12</f>
        <v>4.4986236315776813E-8</v>
      </c>
      <c r="DI142" s="22">
        <f t="shared" si="123"/>
        <v>47.675890789672827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1">
        <f t="shared" si="140"/>
        <v>30.170065062058185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67">
        <f t="shared" si="110"/>
        <v>543.67712998308457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467.03705646400994</v>
      </c>
      <c r="T143" s="59">
        <f t="shared" si="142"/>
        <v>575.68119027684361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70.23197894044776</v>
      </c>
      <c r="AA143" s="21">
        <f>EXP(-LN(2)/25)*AA142+(1-EXP(-LN(2)/25))/(LN(2)/25)*Calculateur!V143*Calculateur!X143*VLOOKUP('Données projet'!$B$9,Paramètres!$A$1:$I$89,3,0)*0.475*44/12</f>
        <v>9.2923397652259272</v>
      </c>
      <c r="AB143" s="21">
        <f>EXP(-LN(2)/2)*AB142+(1-EXP(-LN(2)/2))/(LN(2)/2)*V143*Y143*VLOOKUP('Données projet'!$B$9,Paramètres!$A$1:$I$89,3,0)*0.475*44/12</f>
        <v>3.2893678965323542E-10</v>
      </c>
      <c r="AC143" s="22">
        <f t="shared" si="111"/>
        <v>79.524318706002632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-7.0940586738288402E-14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252.44760109054914</v>
      </c>
      <c r="AO143" s="59">
        <f t="shared" si="144"/>
        <v>121.75506329394773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86.147871082912062</v>
      </c>
      <c r="AV143" s="21">
        <f>EXP(-LN(2)/25)*AV142+(1-EXP(-LN(2)/25))/(LN(2)/25)*Calculateur!AQ143*Calculateur!AS143*VLOOKUP('Données projet'!$B$10,Paramètres!$A$1:$I$89,3,0)*0.475*44/12</f>
        <v>14.776123151174721</v>
      </c>
      <c r="AW143" s="21">
        <f>EXP(-LN(2)/2)*AW142+(1-EXP(-LN(2)/2))/(LN(2)/2)*AQ143*AT143*VLOOKUP('Données projet'!$B$10,Paramètres!$A$1:$I$89,3,0)*0.475*44/12</f>
        <v>4.1159859709480062E-5</v>
      </c>
      <c r="AX143" s="21">
        <f t="shared" si="114"/>
        <v>100.92403539394648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-1.3596945791505279E-13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260.97162394079265</v>
      </c>
      <c r="BJ143" s="59">
        <f t="shared" si="146"/>
        <v>279.1836614199691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45.240451078440941</v>
      </c>
      <c r="BQ143" s="21">
        <f>EXP(-LN(2)/25)*BQ142+(1-EXP(-LN(2)/25))/(LN(2)/25)*Calculateur!BL143*Calculateur!BN143*VLOOKUP('Données projet'!$B$11,Paramètres!$A$1:$I$89,3,0)*0.475*44/12</f>
        <v>5.8743450418830436</v>
      </c>
      <c r="BR143" s="21">
        <f>EXP(-LN(2)/2)*BR142+(1-EXP(-LN(2)/2))/(LN(2)/2)*BL143*BO143*VLOOKUP('Données projet'!$B$11,Paramètres!$A$1:$I$89,3,0)*0.475*44/12</f>
        <v>2.5472068911710226E-10</v>
      </c>
      <c r="BS143" s="22">
        <f t="shared" si="117"/>
        <v>51.11479612057871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264.70281355687837</v>
      </c>
      <c r="CE143" s="59">
        <f t="shared" si="148"/>
        <v>199.74194600786768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62.464683705447371</v>
      </c>
      <c r="CL143" s="21">
        <f>EXP(-LN(2)/25)*CL142+(1-EXP(-LN(2)/25))/(LN(2)/25)*Calculateur!CG143*Calculateur!CI143*VLOOKUP('Données projet'!$B$12,Paramètres!$A$1:$I$89,3,0)*0.475*44/12</f>
        <v>9.1818523052797776</v>
      </c>
      <c r="CM143" s="21">
        <f>EXP(-LN(2)/2)*CM142+(1-EXP(-LN(2)/2))/(LN(2)/2)*CG143*CJ143*VLOOKUP('Données projet'!$B$12,Paramètres!$A$1:$I$89,3,0)*0.475*44/12</f>
        <v>9.3383426722781717E-8</v>
      </c>
      <c r="CN143" s="22">
        <f t="shared" si="120"/>
        <v>71.646536104110567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-6.5028871176764376E-14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149.8619613776458</v>
      </c>
      <c r="CZ143" s="59">
        <f t="shared" si="150"/>
        <v>108.55560257938146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40.769997957936695</v>
      </c>
      <c r="DG143" s="21">
        <f>EXP(-LN(2)/25)*DG142+(1-EXP(-LN(2)/25))/(LN(2)/25)*Calculateur!DB143*Calculateur!DD143*VLOOKUP('Données projet'!$B$13,Paramètres!$A$1:$I$89,3,0)*0.475*44/12</f>
        <v>5.9238841591122524</v>
      </c>
      <c r="DH143" s="21">
        <f>EXP(-LN(2)/2)*DH142+(1-EXP(-LN(2)/2))/(LN(2)/2)*DB143*DE143*VLOOKUP('Données projet'!$B$13,Paramètres!$A$1:$I$89,3,0)*0.475*44/12</f>
        <v>3.1810072758946313E-8</v>
      </c>
      <c r="DI143" s="22">
        <f t="shared" si="123"/>
        <v>46.693882148859025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1">
        <f t="shared" si="140"/>
        <v>30.360402323573524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67">
        <f t="shared" si="110"/>
        <v>545.42147404689047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467.03705646400994</v>
      </c>
      <c r="T144" s="59">
        <f t="shared" si="142"/>
        <v>575.68119027684361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68.8547726707029</v>
      </c>
      <c r="AA144" s="21">
        <f>EXP(-LN(2)/25)*AA143+(1-EXP(-LN(2)/25))/(LN(2)/25)*Calculateur!V144*Calculateur!X144*VLOOKUP('Données projet'!$B$9,Paramètres!$A$1:$I$89,3,0)*0.475*44/12</f>
        <v>9.0382402456829141</v>
      </c>
      <c r="AB144" s="21">
        <f>EXP(-LN(2)/2)*AB143+(1-EXP(-LN(2)/2))/(LN(2)/2)*V144*Y144*VLOOKUP('Données projet'!$B$9,Paramètres!$A$1:$I$89,3,0)*0.475*44/12</f>
        <v>2.3259343454553577E-10</v>
      </c>
      <c r="AC144" s="22">
        <f t="shared" si="111"/>
        <v>77.893012916618403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-7.0940586738288402E-14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252.44760109054914</v>
      </c>
      <c r="AO144" s="59">
        <f t="shared" si="144"/>
        <v>121.75506329394773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84.458563875989128</v>
      </c>
      <c r="AV144" s="21">
        <f>EXP(-LN(2)/25)*AV143+(1-EXP(-LN(2)/25))/(LN(2)/25)*Calculateur!AQ144*Calculateur!AS144*VLOOKUP('Données projet'!$B$10,Paramètres!$A$1:$I$89,3,0)*0.475*44/12</f>
        <v>14.372069286563303</v>
      </c>
      <c r="AW144" s="21">
        <f>EXP(-LN(2)/2)*AW143+(1-EXP(-LN(2)/2))/(LN(2)/2)*AQ144*AT144*VLOOKUP('Données projet'!$B$10,Paramètres!$A$1:$I$89,3,0)*0.475*44/12</f>
        <v>2.9104415913260312E-5</v>
      </c>
      <c r="AX144" s="21">
        <f t="shared" si="114"/>
        <v>98.830662266968346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-1.3596945791505279E-13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260.97162394079265</v>
      </c>
      <c r="BJ144" s="59">
        <f t="shared" si="146"/>
        <v>279.1836614199691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44.353313426743199</v>
      </c>
      <c r="BQ144" s="21">
        <f>EXP(-LN(2)/25)*BQ143+(1-EXP(-LN(2)/25))/(LN(2)/25)*Calculateur!BL144*Calculateur!BN144*VLOOKUP('Données projet'!$B$11,Paramètres!$A$1:$I$89,3,0)*0.475*44/12</f>
        <v>5.7137107677943719</v>
      </c>
      <c r="BR144" s="21">
        <f>EXP(-LN(2)/2)*BR143+(1-EXP(-LN(2)/2))/(LN(2)/2)*BL144*BO144*VLOOKUP('Données projet'!$B$11,Paramètres!$A$1:$I$89,3,0)*0.475*44/12</f>
        <v>1.8011472658321342E-10</v>
      </c>
      <c r="BS144" s="22">
        <f t="shared" si="117"/>
        <v>50.067024194717689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264.70281355687837</v>
      </c>
      <c r="CE144" s="59">
        <f t="shared" si="148"/>
        <v>199.74194600786768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61.239789357678575</v>
      </c>
      <c r="CL144" s="21">
        <f>EXP(-LN(2)/25)*CL143+(1-EXP(-LN(2)/25))/(LN(2)/25)*Calculateur!CG144*Calculateur!CI144*VLOOKUP('Données projet'!$B$12,Paramètres!$A$1:$I$89,3,0)*0.475*44/12</f>
        <v>8.9307740711392753</v>
      </c>
      <c r="CM144" s="21">
        <f>EXP(-LN(2)/2)*CM143+(1-EXP(-LN(2)/2))/(LN(2)/2)*CG144*CJ144*VLOOKUP('Données projet'!$B$12,Paramètres!$A$1:$I$89,3,0)*0.475*44/12</f>
        <v>6.6032054286116006E-8</v>
      </c>
      <c r="CN144" s="22">
        <f t="shared" si="120"/>
        <v>70.170563494849901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-6.5028871176764376E-14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149.8619613776458</v>
      </c>
      <c r="CZ144" s="59">
        <f t="shared" si="150"/>
        <v>108.55560257938146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39.970523165224876</v>
      </c>
      <c r="DG144" s="21">
        <f>EXP(-LN(2)/25)*DG143+(1-EXP(-LN(2)/25))/(LN(2)/25)*Calculateur!DB144*Calculateur!DD144*VLOOKUP('Données projet'!$B$13,Paramètres!$A$1:$I$89,3,0)*0.475*44/12</f>
        <v>5.761895235257799</v>
      </c>
      <c r="DH144" s="21">
        <f>EXP(-LN(2)/2)*DH143+(1-EXP(-LN(2)/2))/(LN(2)/2)*DB144*DE144*VLOOKUP('Données projet'!$B$13,Paramètres!$A$1:$I$89,3,0)*0.475*44/12</f>
        <v>2.2493118157888407E-8</v>
      </c>
      <c r="DI144" s="22">
        <f t="shared" si="123"/>
        <v>45.73241842297579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1">
        <f t="shared" si="140"/>
        <v>30.550582519051918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67">
        <f t="shared" si="110"/>
        <v>547.16554455401536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467.03705646400994</v>
      </c>
      <c r="T145" s="59">
        <f t="shared" si="142"/>
        <v>575.68119027684361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67.504572575894855</v>
      </c>
      <c r="AA145" s="21">
        <f>EXP(-LN(2)/25)*AA144+(1-EXP(-LN(2)/25))/(LN(2)/25)*Calculateur!V145*Calculateur!X145*VLOOKUP('Données projet'!$B$9,Paramètres!$A$1:$I$89,3,0)*0.475*44/12</f>
        <v>8.7910890908643182</v>
      </c>
      <c r="AB145" s="21">
        <f>EXP(-LN(2)/2)*AB144+(1-EXP(-LN(2)/2))/(LN(2)/2)*V145*Y145*VLOOKUP('Données projet'!$B$9,Paramètres!$A$1:$I$89,3,0)*0.475*44/12</f>
        <v>1.6446839482661773E-10</v>
      </c>
      <c r="AC145" s="22">
        <f t="shared" si="111"/>
        <v>76.295661666923635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-7.0940586738288402E-14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252.44760109054914</v>
      </c>
      <c r="AO145" s="59">
        <f t="shared" si="144"/>
        <v>121.75506329394773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82.802382953018295</v>
      </c>
      <c r="AV145" s="21">
        <f>EXP(-LN(2)/25)*AV144+(1-EXP(-LN(2)/25))/(LN(2)/25)*Calculateur!AQ145*Calculateur!AS145*VLOOKUP('Données projet'!$B$10,Paramètres!$A$1:$I$89,3,0)*0.475*44/12</f>
        <v>13.979064296127953</v>
      </c>
      <c r="AW145" s="21">
        <f>EXP(-LN(2)/2)*AW144+(1-EXP(-LN(2)/2))/(LN(2)/2)*AQ145*AT145*VLOOKUP('Données projet'!$B$10,Paramètres!$A$1:$I$89,3,0)*0.475*44/12</f>
        <v>2.0579929854740031E-5</v>
      </c>
      <c r="AX145" s="21">
        <f t="shared" si="114"/>
        <v>96.781467829076107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-1.3596945791505279E-13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260.97162394079265</v>
      </c>
      <c r="BJ145" s="59">
        <f t="shared" si="146"/>
        <v>279.1836614199691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43.483572003294711</v>
      </c>
      <c r="BQ145" s="21">
        <f>EXP(-LN(2)/25)*BQ144+(1-EXP(-LN(2)/25))/(LN(2)/25)*Calculateur!BL145*Calculateur!BN145*VLOOKUP('Données projet'!$B$11,Paramètres!$A$1:$I$89,3,0)*0.475*44/12</f>
        <v>5.5574690463780447</v>
      </c>
      <c r="BR145" s="21">
        <f>EXP(-LN(2)/2)*BR144+(1-EXP(-LN(2)/2))/(LN(2)/2)*BL145*BO145*VLOOKUP('Données projet'!$B$11,Paramètres!$A$1:$I$89,3,0)*0.475*44/12</f>
        <v>1.2736034455855113E-10</v>
      </c>
      <c r="BS145" s="22">
        <f t="shared" si="117"/>
        <v>49.041041049800114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264.70281355687837</v>
      </c>
      <c r="CE145" s="59">
        <f t="shared" si="148"/>
        <v>199.74194600786768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60.038914440957747</v>
      </c>
      <c r="CL145" s="21">
        <f>EXP(-LN(2)/25)*CL144+(1-EXP(-LN(2)/25))/(LN(2)/25)*Calculateur!CG145*Calculateur!CI145*VLOOKUP('Données projet'!$B$12,Paramètres!$A$1:$I$89,3,0)*0.475*44/12</f>
        <v>8.6865615845149744</v>
      </c>
      <c r="CM145" s="21">
        <f>EXP(-LN(2)/2)*CM144+(1-EXP(-LN(2)/2))/(LN(2)/2)*CG145*CJ145*VLOOKUP('Données projet'!$B$12,Paramètres!$A$1:$I$89,3,0)*0.475*44/12</f>
        <v>4.6691713361390859E-8</v>
      </c>
      <c r="CN145" s="22">
        <f t="shared" si="120"/>
        <v>68.725476072164426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-6.5028871176764376E-14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149.8619613776458</v>
      </c>
      <c r="CZ145" s="59">
        <f t="shared" si="150"/>
        <v>108.55560257938146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39.186725585566663</v>
      </c>
      <c r="DG145" s="21">
        <f>EXP(-LN(2)/25)*DG144+(1-EXP(-LN(2)/25))/(LN(2)/25)*Calculateur!DB145*Calculateur!DD145*VLOOKUP('Données projet'!$B$13,Paramètres!$A$1:$I$89,3,0)*0.475*44/12</f>
        <v>5.6043359070447734</v>
      </c>
      <c r="DH145" s="21">
        <f>EXP(-LN(2)/2)*DH144+(1-EXP(-LN(2)/2))/(LN(2)/2)*DB145*DE145*VLOOKUP('Données projet'!$B$13,Paramètres!$A$1:$I$89,3,0)*0.475*44/12</f>
        <v>1.5905036379473157E-8</v>
      </c>
      <c r="DI145" s="22">
        <f t="shared" si="123"/>
        <v>44.791061508516471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1">
        <f t="shared" si="140"/>
        <v>30.740606882856699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67">
        <f t="shared" si="110"/>
        <v>548.9093436543086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467.03705646400994</v>
      </c>
      <c r="T146" s="59">
        <f t="shared" si="142"/>
        <v>575.68119027684361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66.180849081405256</v>
      </c>
      <c r="AA146" s="21">
        <f>EXP(-LN(2)/25)*AA145+(1-EXP(-LN(2)/25))/(LN(2)/25)*Calculateur!V146*Calculateur!X146*VLOOKUP('Données projet'!$B$9,Paramètres!$A$1:$I$89,3,0)*0.475*44/12</f>
        <v>8.550696297371351</v>
      </c>
      <c r="AB146" s="21">
        <f>EXP(-LN(2)/2)*AB145+(1-EXP(-LN(2)/2))/(LN(2)/2)*V146*Y146*VLOOKUP('Données projet'!$B$9,Paramètres!$A$1:$I$89,3,0)*0.475*44/12</f>
        <v>1.162967172727679E-10</v>
      </c>
      <c r="AC146" s="22">
        <f t="shared" si="111"/>
        <v>74.731545378892903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-7.0940586738288402E-14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252.44760109054914</v>
      </c>
      <c r="AO146" s="59">
        <f t="shared" si="144"/>
        <v>121.75506329394773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81.178678727776301</v>
      </c>
      <c r="AV146" s="21">
        <f>EXP(-LN(2)/25)*AV145+(1-EXP(-LN(2)/25))/(LN(2)/25)*Calculateur!AQ146*Calculateur!AS146*VLOOKUP('Données projet'!$B$10,Paramètres!$A$1:$I$89,3,0)*0.475*44/12</f>
        <v>13.596806047823293</v>
      </c>
      <c r="AW146" s="21">
        <f>EXP(-LN(2)/2)*AW145+(1-EXP(-LN(2)/2))/(LN(2)/2)*AQ146*AT146*VLOOKUP('Données projet'!$B$10,Paramètres!$A$1:$I$89,3,0)*0.475*44/12</f>
        <v>1.4552207956630156E-5</v>
      </c>
      <c r="AX146" s="21">
        <f t="shared" si="114"/>
        <v>94.775499327807552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-1.3596945791505279E-13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260.97162394079265</v>
      </c>
      <c r="BJ146" s="59">
        <f t="shared" si="146"/>
        <v>279.1836614199691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42.630885678670161</v>
      </c>
      <c r="BQ146" s="21">
        <f>EXP(-LN(2)/25)*BQ145+(1-EXP(-LN(2)/25))/(LN(2)/25)*Calculateur!BL146*Calculateur!BN146*VLOOKUP('Données projet'!$B$11,Paramètres!$A$1:$I$89,3,0)*0.475*44/12</f>
        <v>5.4054997630502415</v>
      </c>
      <c r="BR146" s="21">
        <f>EXP(-LN(2)/2)*BR145+(1-EXP(-LN(2)/2))/(LN(2)/2)*BL146*BO146*VLOOKUP('Données projet'!$B$11,Paramètres!$A$1:$I$89,3,0)*0.475*44/12</f>
        <v>9.0057363291606712E-11</v>
      </c>
      <c r="BS146" s="22">
        <f t="shared" si="117"/>
        <v>48.036385441810459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264.70281355687837</v>
      </c>
      <c r="CE146" s="59">
        <f t="shared" si="148"/>
        <v>199.74194600786768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58.861587948892435</v>
      </c>
      <c r="CL146" s="21">
        <f>EXP(-LN(2)/25)*CL145+(1-EXP(-LN(2)/25))/(LN(2)/25)*Calculateur!CG146*Calculateur!CI146*VLOOKUP('Données projet'!$B$12,Paramètres!$A$1:$I$89,3,0)*0.475*44/12</f>
        <v>8.4490271011799916</v>
      </c>
      <c r="CM146" s="21">
        <f>EXP(-LN(2)/2)*CM145+(1-EXP(-LN(2)/2))/(LN(2)/2)*CG146*CJ146*VLOOKUP('Données projet'!$B$12,Paramètres!$A$1:$I$89,3,0)*0.475*44/12</f>
        <v>3.3016027143058003E-8</v>
      </c>
      <c r="CN146" s="22">
        <f t="shared" si="120"/>
        <v>67.31061508308845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-6.5028871176764376E-14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149.8619613776458</v>
      </c>
      <c r="CZ146" s="59">
        <f t="shared" si="150"/>
        <v>108.55560257938146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38.41829779837623</v>
      </c>
      <c r="DG146" s="21">
        <f>EXP(-LN(2)/25)*DG145+(1-EXP(-LN(2)/25))/(LN(2)/25)*Calculateur!DB146*Calculateur!DD146*VLOOKUP('Données projet'!$B$13,Paramètres!$A$1:$I$89,3,0)*0.475*44/12</f>
        <v>5.4510850469474175</v>
      </c>
      <c r="DH146" s="21">
        <f>EXP(-LN(2)/2)*DH145+(1-EXP(-LN(2)/2))/(LN(2)/2)*DB146*DE146*VLOOKUP('Données projet'!$B$13,Paramètres!$A$1:$I$89,3,0)*0.475*44/12</f>
        <v>1.1246559078944203E-8</v>
      </c>
      <c r="DI146" s="22">
        <f t="shared" si="123"/>
        <v>43.869382856570205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1">
        <f t="shared" si="140"/>
        <v>30.930476631089483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67">
        <f t="shared" si="110"/>
        <v>550.65287346581408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467.03705646400994</v>
      </c>
      <c r="T147" s="59">
        <f t="shared" si="142"/>
        <v>575.68119027684361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64.883082997250995</v>
      </c>
      <c r="AA147" s="21">
        <f>EXP(-LN(2)/25)*AA146+(1-EXP(-LN(2)/25))/(LN(2)/25)*Calculateur!V147*Calculateur!X147*VLOOKUP('Données projet'!$B$9,Paramètres!$A$1:$I$89,3,0)*0.475*44/12</f>
        <v>8.3168770574581554</v>
      </c>
      <c r="AB147" s="21">
        <f>EXP(-LN(2)/2)*AB146+(1-EXP(-LN(2)/2))/(LN(2)/2)*V147*Y147*VLOOKUP('Données projet'!$B$9,Paramètres!$A$1:$I$89,3,0)*0.475*44/12</f>
        <v>8.223419741330888E-11</v>
      </c>
      <c r="AC147" s="22">
        <f t="shared" si="111"/>
        <v>73.19996005479139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-7.0940586738288402E-14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252.44760109054914</v>
      </c>
      <c r="AO147" s="59">
        <f t="shared" si="144"/>
        <v>121.75506329394773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79.586814352029521</v>
      </c>
      <c r="AV147" s="21">
        <f>EXP(-LN(2)/25)*AV146+(1-EXP(-LN(2)/25))/(LN(2)/25)*Calculateur!AQ147*Calculateur!AS147*VLOOKUP('Données projet'!$B$10,Paramètres!$A$1:$I$89,3,0)*0.475*44/12</f>
        <v>13.225000671420611</v>
      </c>
      <c r="AW147" s="21">
        <f>EXP(-LN(2)/2)*AW146+(1-EXP(-LN(2)/2))/(LN(2)/2)*AQ147*AT147*VLOOKUP('Données projet'!$B$10,Paramètres!$A$1:$I$89,3,0)*0.475*44/12</f>
        <v>1.0289964927370015E-5</v>
      </c>
      <c r="AX147" s="21">
        <f t="shared" si="114"/>
        <v>92.811825313415071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-1.3596945791505279E-13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260.97162394079265</v>
      </c>
      <c r="BJ147" s="59">
        <f t="shared" si="146"/>
        <v>279.1836614199691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41.794920012784189</v>
      </c>
      <c r="BQ147" s="21">
        <f>EXP(-LN(2)/25)*BQ146+(1-EXP(-LN(2)/25))/(LN(2)/25)*Calculateur!BL147*Calculateur!BN147*VLOOKUP('Données projet'!$B$11,Paramètres!$A$1:$I$89,3,0)*0.475*44/12</f>
        <v>5.2576860877667544</v>
      </c>
      <c r="BR147" s="21">
        <f>EXP(-LN(2)/2)*BR146+(1-EXP(-LN(2)/2))/(LN(2)/2)*BL147*BO147*VLOOKUP('Données projet'!$B$11,Paramètres!$A$1:$I$89,3,0)*0.475*44/12</f>
        <v>6.3680172279275564E-11</v>
      </c>
      <c r="BS147" s="22">
        <f t="shared" si="117"/>
        <v>47.052606100614625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264.70281355687837</v>
      </c>
      <c r="CE147" s="59">
        <f t="shared" si="148"/>
        <v>199.74194600786768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57.707348111238275</v>
      </c>
      <c r="CL147" s="21">
        <f>EXP(-LN(2)/25)*CL146+(1-EXP(-LN(2)/25))/(LN(2)/25)*Calculateur!CG147*Calculateur!CI147*VLOOKUP('Données projet'!$B$12,Paramètres!$A$1:$I$89,3,0)*0.475*44/12</f>
        <v>8.2179880107832002</v>
      </c>
      <c r="CM147" s="21">
        <f>EXP(-LN(2)/2)*CM146+(1-EXP(-LN(2)/2))/(LN(2)/2)*CG147*CJ147*VLOOKUP('Données projet'!$B$12,Paramètres!$A$1:$I$89,3,0)*0.475*44/12</f>
        <v>2.3345856680695429E-8</v>
      </c>
      <c r="CN147" s="22">
        <f t="shared" si="120"/>
        <v>65.925336145367339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-6.5028871176764376E-14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149.8619613776458</v>
      </c>
      <c r="CZ147" s="59">
        <f t="shared" si="150"/>
        <v>108.55560257938146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37.664938411397927</v>
      </c>
      <c r="DG147" s="21">
        <f>EXP(-LN(2)/25)*DG146+(1-EXP(-LN(2)/25))/(LN(2)/25)*Calculateur!DB147*Calculateur!DD147*VLOOKUP('Données projet'!$B$13,Paramètres!$A$1:$I$89,3,0)*0.475*44/12</f>
        <v>5.3020248396785368</v>
      </c>
      <c r="DH147" s="21">
        <f>EXP(-LN(2)/2)*DH146+(1-EXP(-LN(2)/2))/(LN(2)/2)*DB147*DE147*VLOOKUP('Données projet'!$B$13,Paramètres!$A$1:$I$89,3,0)*0.475*44/12</f>
        <v>7.9525181897365783E-9</v>
      </c>
      <c r="DI147" s="22">
        <f t="shared" si="123"/>
        <v>42.966963259028979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1">
        <f t="shared" si="140"/>
        <v>31.120192961985413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67">
        <f t="shared" si="110"/>
        <v>552.39613607545789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467.03705646400994</v>
      </c>
      <c r="T148" s="59">
        <f t="shared" si="142"/>
        <v>575.68119027684361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63.610765314447846</v>
      </c>
      <c r="AA148" s="21">
        <f>EXP(-LN(2)/25)*AA147+(1-EXP(-LN(2)/25))/(LN(2)/25)*Calculateur!V148*Calculateur!X148*VLOOKUP('Données projet'!$B$9,Paramètres!$A$1:$I$89,3,0)*0.475*44/12</f>
        <v>8.0894516169564064</v>
      </c>
      <c r="AB148" s="21">
        <f>EXP(-LN(2)/2)*AB147+(1-EXP(-LN(2)/2))/(LN(2)/2)*V148*Y148*VLOOKUP('Données projet'!$B$9,Paramètres!$A$1:$I$89,3,0)*0.475*44/12</f>
        <v>5.8148358636383956E-11</v>
      </c>
      <c r="AC148" s="22">
        <f t="shared" si="111"/>
        <v>71.700216931462407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-7.0940586738288402E-14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252.44760109054914</v>
      </c>
      <c r="AO148" s="59">
        <f t="shared" si="144"/>
        <v>121.75506329394773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78.026165465749742</v>
      </c>
      <c r="AV148" s="21">
        <f>EXP(-LN(2)/25)*AV147+(1-EXP(-LN(2)/25))/(LN(2)/25)*Calculateur!AQ148*Calculateur!AS148*VLOOKUP('Données projet'!$B$10,Paramètres!$A$1:$I$89,3,0)*0.475*44/12</f>
        <v>12.863362332588055</v>
      </c>
      <c r="AW148" s="21">
        <f>EXP(-LN(2)/2)*AW147+(1-EXP(-LN(2)/2))/(LN(2)/2)*AQ148*AT148*VLOOKUP('Données projet'!$B$10,Paramètres!$A$1:$I$89,3,0)*0.475*44/12</f>
        <v>7.276103978315078E-6</v>
      </c>
      <c r="AX148" s="21">
        <f t="shared" si="114"/>
        <v>90.889535074441767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-1.3596945791505279E-13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260.97162394079265</v>
      </c>
      <c r="BJ148" s="59">
        <f t="shared" si="146"/>
        <v>279.1836614199691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40.975347123717533</v>
      </c>
      <c r="BQ148" s="21">
        <f>EXP(-LN(2)/25)*BQ147+(1-EXP(-LN(2)/25))/(LN(2)/25)*Calculateur!BL148*Calculateur!BN148*VLOOKUP('Données projet'!$B$11,Paramètres!$A$1:$I$89,3,0)*0.475*44/12</f>
        <v>5.1139143852070781</v>
      </c>
      <c r="BR148" s="21">
        <f>EXP(-LN(2)/2)*BR147+(1-EXP(-LN(2)/2))/(LN(2)/2)*BL148*BO148*VLOOKUP('Données projet'!$B$11,Paramètres!$A$1:$I$89,3,0)*0.475*44/12</f>
        <v>4.5028681645803356E-11</v>
      </c>
      <c r="BS148" s="22">
        <f t="shared" si="117"/>
        <v>46.089261508969635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264.70281355687837</v>
      </c>
      <c r="CE148" s="59">
        <f t="shared" si="148"/>
        <v>199.74194600786768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56.575742212783723</v>
      </c>
      <c r="CL148" s="21">
        <f>EXP(-LN(2)/25)*CL147+(1-EXP(-LN(2)/25))/(LN(2)/25)*Calculateur!CG148*Calculateur!CI148*VLOOKUP('Données projet'!$B$12,Paramètres!$A$1:$I$89,3,0)*0.475*44/12</f>
        <v>7.9932666964631265</v>
      </c>
      <c r="CM148" s="21">
        <f>EXP(-LN(2)/2)*CM147+(1-EXP(-LN(2)/2))/(LN(2)/2)*CG148*CJ148*VLOOKUP('Données projet'!$B$12,Paramètres!$A$1:$I$89,3,0)*0.475*44/12</f>
        <v>1.6508013571529002E-8</v>
      </c>
      <c r="CN148" s="22">
        <f t="shared" si="120"/>
        <v>64.569008925754858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-6.5028871176764376E-14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149.8619613776458</v>
      </c>
      <c r="CZ148" s="59">
        <f t="shared" si="150"/>
        <v>108.55560257938146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36.926351942494414</v>
      </c>
      <c r="DG148" s="21">
        <f>EXP(-LN(2)/25)*DG147+(1-EXP(-LN(2)/25))/(LN(2)/25)*Calculateur!DB148*Calculateur!DD148*VLOOKUP('Données projet'!$B$13,Paramètres!$A$1:$I$89,3,0)*0.475*44/12</f>
        <v>5.1570406916161584</v>
      </c>
      <c r="DH148" s="21">
        <f>EXP(-LN(2)/2)*DH147+(1-EXP(-LN(2)/2))/(LN(2)/2)*DB148*DE148*VLOOKUP('Données projet'!$B$13,Paramètres!$A$1:$I$89,3,0)*0.475*44/12</f>
        <v>5.6232795394721017E-9</v>
      </c>
      <c r="DI148" s="22">
        <f t="shared" si="123"/>
        <v>42.083392639733852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1">
        <f t="shared" si="140"/>
        <v>31.309757056296963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67">
        <f t="shared" si="110"/>
        <v>554.13913353971702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467.03705646400994</v>
      </c>
      <c r="T149" s="59">
        <f t="shared" si="142"/>
        <v>575.68119027684361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62.363397005367311</v>
      </c>
      <c r="AA149" s="21">
        <f>EXP(-LN(2)/25)*AA148+(1-EXP(-LN(2)/25))/(LN(2)/25)*Calculateur!V149*Calculateur!X149*VLOOKUP('Données projet'!$B$9,Paramètres!$A$1:$I$89,3,0)*0.475*44/12</f>
        <v>7.868245137084962</v>
      </c>
      <c r="AB149" s="21">
        <f>EXP(-LN(2)/2)*AB148+(1-EXP(-LN(2)/2))/(LN(2)/2)*V149*Y149*VLOOKUP('Données projet'!$B$9,Paramètres!$A$1:$I$89,3,0)*0.475*44/12</f>
        <v>4.1117098706654447E-11</v>
      </c>
      <c r="AC149" s="22">
        <f t="shared" si="111"/>
        <v>70.231642142493385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-7.0940586738288402E-14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252.44760109054914</v>
      </c>
      <c r="AO149" s="59">
        <f t="shared" si="144"/>
        <v>121.75506329394773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76.496119952228071</v>
      </c>
      <c r="AV149" s="21">
        <f>EXP(-LN(2)/25)*AV148+(1-EXP(-LN(2)/25))/(LN(2)/25)*Calculateur!AQ149*Calculateur!AS149*VLOOKUP('Données projet'!$B$10,Paramètres!$A$1:$I$89,3,0)*0.475*44/12</f>
        <v>12.51161301314861</v>
      </c>
      <c r="AW149" s="21">
        <f>EXP(-LN(2)/2)*AW148+(1-EXP(-LN(2)/2))/(LN(2)/2)*AQ149*AT149*VLOOKUP('Données projet'!$B$10,Paramètres!$A$1:$I$89,3,0)*0.475*44/12</f>
        <v>5.1449824636850077E-6</v>
      </c>
      <c r="AX149" s="21">
        <f t="shared" si="114"/>
        <v>89.007738110359142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-1.3596945791505279E-13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260.97162394079265</v>
      </c>
      <c r="BJ149" s="59">
        <f t="shared" si="146"/>
        <v>279.1836614199691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40.171845559115376</v>
      </c>
      <c r="BQ149" s="21">
        <f>EXP(-LN(2)/25)*BQ148+(1-EXP(-LN(2)/25))/(LN(2)/25)*Calculateur!BL149*Calculateur!BN149*VLOOKUP('Données projet'!$B$11,Paramètres!$A$1:$I$89,3,0)*0.475*44/12</f>
        <v>4.9740741274145206</v>
      </c>
      <c r="BR149" s="21">
        <f>EXP(-LN(2)/2)*BR148+(1-EXP(-LN(2)/2))/(LN(2)/2)*BL149*BO149*VLOOKUP('Données projet'!$B$11,Paramètres!$A$1:$I$89,3,0)*0.475*44/12</f>
        <v>3.1840086139637782E-11</v>
      </c>
      <c r="BS149" s="22">
        <f t="shared" si="117"/>
        <v>45.145919686561733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264.70281355687837</v>
      </c>
      <c r="CE149" s="59">
        <f t="shared" si="148"/>
        <v>199.74194600786768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55.466326415786419</v>
      </c>
      <c r="CL149" s="21">
        <f>EXP(-LN(2)/25)*CL148+(1-EXP(-LN(2)/25))/(LN(2)/25)*Calculateur!CG149*Calculateur!CI149*VLOOKUP('Données projet'!$B$12,Paramètres!$A$1:$I$89,3,0)*0.475*44/12</f>
        <v>7.7746903983007156</v>
      </c>
      <c r="CM149" s="21">
        <f>EXP(-LN(2)/2)*CM148+(1-EXP(-LN(2)/2))/(LN(2)/2)*CG149*CJ149*VLOOKUP('Données projet'!$B$12,Paramètres!$A$1:$I$89,3,0)*0.475*44/12</f>
        <v>1.1672928340347715E-8</v>
      </c>
      <c r="CN149" s="22">
        <f t="shared" si="120"/>
        <v>63.241016825760063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-6.5028871176764376E-14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149.8619613776458</v>
      </c>
      <c r="CZ149" s="59">
        <f t="shared" si="150"/>
        <v>108.55560257938146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36.202248703752836</v>
      </c>
      <c r="DG149" s="21">
        <f>EXP(-LN(2)/25)*DG148+(1-EXP(-LN(2)/25))/(LN(2)/25)*Calculateur!DB149*Calculateur!DD149*VLOOKUP('Données projet'!$B$13,Paramètres!$A$1:$I$89,3,0)*0.475*44/12</f>
        <v>5.016021142706931</v>
      </c>
      <c r="DH149" s="21">
        <f>EXP(-LN(2)/2)*DH148+(1-EXP(-LN(2)/2))/(LN(2)/2)*DB149*DE149*VLOOKUP('Données projet'!$B$13,Paramètres!$A$1:$I$89,3,0)*0.475*44/12</f>
        <v>3.9762590948682891E-9</v>
      </c>
      <c r="DI149" s="22">
        <f t="shared" si="123"/>
        <v>41.21826985043603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1">
        <f t="shared" si="140"/>
        <v>31.499170077667014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67">
        <f t="shared" si="110"/>
        <v>555.88186788526991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467.03705646400994</v>
      </c>
      <c r="T150" s="59">
        <f t="shared" si="142"/>
        <v>575.68119027684361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61.140488828008301</v>
      </c>
      <c r="AA150" s="21">
        <f>EXP(-LN(2)/25)*AA149+(1-EXP(-LN(2)/25))/(LN(2)/25)*Calculateur!V150*Calculateur!X150*VLOOKUP('Données projet'!$B$9,Paramètres!$A$1:$I$89,3,0)*0.475*44/12</f>
        <v>7.6530875600383448</v>
      </c>
      <c r="AB150" s="21">
        <f>EXP(-LN(2)/2)*AB149+(1-EXP(-LN(2)/2))/(LN(2)/2)*V150*Y150*VLOOKUP('Données projet'!$B$9,Paramètres!$A$1:$I$89,3,0)*0.475*44/12</f>
        <v>2.9074179318191985E-11</v>
      </c>
      <c r="AC150" s="22">
        <f t="shared" si="111"/>
        <v>68.793576388075721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-7.0940586738288402E-14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252.44760109054914</v>
      </c>
      <c r="AO150" s="59">
        <f t="shared" si="144"/>
        <v>121.75506329394773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74.996077697990955</v>
      </c>
      <c r="AV150" s="21">
        <f>EXP(-LN(2)/25)*AV149+(1-EXP(-LN(2)/25))/(LN(2)/25)*Calculateur!AQ150*Calculateur!AS150*VLOOKUP('Données projet'!$B$10,Paramètres!$A$1:$I$89,3,0)*0.475*44/12</f>
        <v>12.169482297346928</v>
      </c>
      <c r="AW150" s="21">
        <f>EXP(-LN(2)/2)*AW149+(1-EXP(-LN(2)/2))/(LN(2)/2)*AQ150*AT150*VLOOKUP('Données projet'!$B$10,Paramètres!$A$1:$I$89,3,0)*0.475*44/12</f>
        <v>3.638051989157539E-6</v>
      </c>
      <c r="AX150" s="21">
        <f t="shared" si="114"/>
        <v>87.16556363338988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-1.3596945791505279E-13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260.97162394079265</v>
      </c>
      <c r="BJ150" s="59">
        <f t="shared" si="146"/>
        <v>279.1836614199691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39.384100170107502</v>
      </c>
      <c r="BQ150" s="21">
        <f>EXP(-LN(2)/25)*BQ149+(1-EXP(-LN(2)/25))/(LN(2)/25)*Calculateur!BL150*Calculateur!BN150*VLOOKUP('Données projet'!$B$11,Paramètres!$A$1:$I$89,3,0)*0.475*44/12</f>
        <v>4.8380578088251802</v>
      </c>
      <c r="BR150" s="21">
        <f>EXP(-LN(2)/2)*BR149+(1-EXP(-LN(2)/2))/(LN(2)/2)*BL150*BO150*VLOOKUP('Données projet'!$B$11,Paramètres!$A$1:$I$89,3,0)*0.475*44/12</f>
        <v>2.2514340822901678E-11</v>
      </c>
      <c r="BS150" s="22">
        <f t="shared" si="117"/>
        <v>44.222157978955202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264.70281355687837</v>
      </c>
      <c r="CE150" s="59">
        <f t="shared" si="148"/>
        <v>199.74194600786768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54.378665585891419</v>
      </c>
      <c r="CL150" s="21">
        <f>EXP(-LN(2)/25)*CL149+(1-EXP(-LN(2)/25))/(LN(2)/25)*Calculateur!CG150*Calculateur!CI150*VLOOKUP('Données projet'!$B$12,Paramètres!$A$1:$I$89,3,0)*0.475*44/12</f>
        <v>7.5620910805059838</v>
      </c>
      <c r="CM150" s="21">
        <f>EXP(-LN(2)/2)*CM149+(1-EXP(-LN(2)/2))/(LN(2)/2)*CG150*CJ150*VLOOKUP('Données projet'!$B$12,Paramètres!$A$1:$I$89,3,0)*0.475*44/12</f>
        <v>8.2540067857645008E-9</v>
      </c>
      <c r="CN150" s="22">
        <f t="shared" si="120"/>
        <v>61.940756674651411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-6.5028871176764376E-14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149.8619613776458</v>
      </c>
      <c r="CZ150" s="59">
        <f t="shared" si="150"/>
        <v>108.55560257938146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35.492344687863614</v>
      </c>
      <c r="DG150" s="21">
        <f>EXP(-LN(2)/25)*DG149+(1-EXP(-LN(2)/25))/(LN(2)/25)*Calculateur!DB150*Calculateur!DD150*VLOOKUP('Données projet'!$B$13,Paramètres!$A$1:$I$89,3,0)*0.475*44/12</f>
        <v>4.8788577807785227</v>
      </c>
      <c r="DH150" s="21">
        <f>EXP(-LN(2)/2)*DH149+(1-EXP(-LN(2)/2))/(LN(2)/2)*DB150*DE150*VLOOKUP('Données projet'!$B$13,Paramètres!$A$1:$I$89,3,0)*0.475*44/12</f>
        <v>2.8116397697360508E-9</v>
      </c>
      <c r="DI150" s="22">
        <f t="shared" si="123"/>
        <v>40.371202471453778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1">
        <f t="shared" si="140"/>
        <v>31.68843317299136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67">
        <f t="shared" si="110"/>
        <v>557.62434110962647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467.03705646400994</v>
      </c>
      <c r="T151" s="59">
        <f t="shared" si="142"/>
        <v>575.68119027684361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59.941561134106962</v>
      </c>
      <c r="AA151" s="21">
        <f>EXP(-LN(2)/25)*AA150+(1-EXP(-LN(2)/25))/(LN(2)/25)*Calculateur!V151*Calculateur!X151*VLOOKUP('Données projet'!$B$9,Paramètres!$A$1:$I$89,3,0)*0.475*44/12</f>
        <v>7.4438134782507133</v>
      </c>
      <c r="AB151" s="21">
        <f>EXP(-LN(2)/2)*AB150+(1-EXP(-LN(2)/2))/(LN(2)/2)*V151*Y151*VLOOKUP('Données projet'!$B$9,Paramètres!$A$1:$I$89,3,0)*0.475*44/12</f>
        <v>2.0558549353327226E-11</v>
      </c>
      <c r="AC151" s="22">
        <f t="shared" si="111"/>
        <v>67.385374612378243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-7.0940586738288402E-14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252.44760109054914</v>
      </c>
      <c r="AO151" s="59">
        <f t="shared" si="144"/>
        <v>121.75506329394773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73.525450357423992</v>
      </c>
      <c r="AV151" s="21">
        <f>EXP(-LN(2)/25)*AV150+(1-EXP(-LN(2)/25))/(LN(2)/25)*Calculateur!AQ151*Calculateur!AS151*VLOOKUP('Données projet'!$B$10,Paramètres!$A$1:$I$89,3,0)*0.475*44/12</f>
        <v>11.836707163960716</v>
      </c>
      <c r="AW151" s="21">
        <f>EXP(-LN(2)/2)*AW150+(1-EXP(-LN(2)/2))/(LN(2)/2)*AQ151*AT151*VLOOKUP('Données projet'!$B$10,Paramètres!$A$1:$I$89,3,0)*0.475*44/12</f>
        <v>2.5724912318425039E-6</v>
      </c>
      <c r="AX151" s="21">
        <f t="shared" si="114"/>
        <v>85.362160093875929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-1.3596945791505279E-13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260.97162394079265</v>
      </c>
      <c r="BJ151" s="59">
        <f t="shared" si="146"/>
        <v>279.1836614199691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38.611801987700829</v>
      </c>
      <c r="BQ151" s="21">
        <f>EXP(-LN(2)/25)*BQ150+(1-EXP(-LN(2)/25))/(LN(2)/25)*Calculateur!BL151*Calculateur!BN151*VLOOKUP('Données projet'!$B$11,Paramètres!$A$1:$I$89,3,0)*0.475*44/12</f>
        <v>4.7057608636204531</v>
      </c>
      <c r="BR151" s="21">
        <f>EXP(-LN(2)/2)*BR150+(1-EXP(-LN(2)/2))/(LN(2)/2)*BL151*BO151*VLOOKUP('Données projet'!$B$11,Paramètres!$A$1:$I$89,3,0)*0.475*44/12</f>
        <v>1.5920043069818891E-11</v>
      </c>
      <c r="BS151" s="22">
        <f t="shared" si="117"/>
        <v>43.317562851337208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264.70281355687837</v>
      </c>
      <c r="CE151" s="59">
        <f t="shared" si="148"/>
        <v>199.74194600786768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53.312333121463055</v>
      </c>
      <c r="CL151" s="21">
        <f>EXP(-LN(2)/25)*CL150+(1-EXP(-LN(2)/25))/(LN(2)/25)*Calculateur!CG151*Calculateur!CI151*VLOOKUP('Données projet'!$B$12,Paramètres!$A$1:$I$89,3,0)*0.475*44/12</f>
        <v>7.3553053022364612</v>
      </c>
      <c r="CM151" s="21">
        <f>EXP(-LN(2)/2)*CM150+(1-EXP(-LN(2)/2))/(LN(2)/2)*CG151*CJ151*VLOOKUP('Données projet'!$B$12,Paramètres!$A$1:$I$89,3,0)*0.475*44/12</f>
        <v>5.8364641701738573E-9</v>
      </c>
      <c r="CN151" s="22">
        <f t="shared" si="120"/>
        <v>60.667638429535977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-6.5028871176764376E-14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149.8619613776458</v>
      </c>
      <c r="CZ151" s="59">
        <f t="shared" si="150"/>
        <v>108.55560257938146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34.79636145672729</v>
      </c>
      <c r="DG151" s="21">
        <f>EXP(-LN(2)/25)*DG150+(1-EXP(-LN(2)/25))/(LN(2)/25)*Calculateur!DB151*Calculateur!DD151*VLOOKUP('Données projet'!$B$13,Paramètres!$A$1:$I$89,3,0)*0.475*44/12</f>
        <v>4.745445158195154</v>
      </c>
      <c r="DH151" s="21">
        <f>EXP(-LN(2)/2)*DH150+(1-EXP(-LN(2)/2))/(LN(2)/2)*DB151*DE151*VLOOKUP('Données projet'!$B$13,Paramètres!$A$1:$I$89,3,0)*0.475*44/12</f>
        <v>1.9881295474341446E-9</v>
      </c>
      <c r="DI151" s="22">
        <f t="shared" si="123"/>
        <v>39.54180661691057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1">
        <f t="shared" si="140"/>
        <v>31.877547472771269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67">
        <f t="shared" si="110"/>
        <v>559.36655518174314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467.03705646400994</v>
      </c>
      <c r="T152" s="59">
        <f t="shared" si="142"/>
        <v>575.68119027684361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58.766143681009346</v>
      </c>
      <c r="AA152" s="21">
        <f>EXP(-LN(2)/25)*AA151+(1-EXP(-LN(2)/25))/(LN(2)/25)*Calculateur!V152*Calculateur!X152*VLOOKUP('Données projet'!$B$9,Paramètres!$A$1:$I$89,3,0)*0.475*44/12</f>
        <v>7.2402620072348096</v>
      </c>
      <c r="AB152" s="21">
        <f>EXP(-LN(2)/2)*AB151+(1-EXP(-LN(2)/2))/(LN(2)/2)*V152*Y152*VLOOKUP('Données projet'!$B$9,Paramètres!$A$1:$I$89,3,0)*0.475*44/12</f>
        <v>1.4537089659095994E-11</v>
      </c>
      <c r="AC152" s="22">
        <f t="shared" si="111"/>
        <v>66.006405688258695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-7.0940586738288402E-14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252.44760109054914</v>
      </c>
      <c r="AO152" s="59">
        <f t="shared" si="144"/>
        <v>121.75506329394773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72.083661122011435</v>
      </c>
      <c r="AV152" s="21">
        <f>EXP(-LN(2)/25)*AV151+(1-EXP(-LN(2)/25))/(LN(2)/25)*Calculateur!AQ152*Calculateur!AS152*VLOOKUP('Données projet'!$B$10,Paramètres!$A$1:$I$89,3,0)*0.475*44/12</f>
        <v>11.513031784096833</v>
      </c>
      <c r="AW152" s="21">
        <f>EXP(-LN(2)/2)*AW151+(1-EXP(-LN(2)/2))/(LN(2)/2)*AQ152*AT152*VLOOKUP('Données projet'!$B$10,Paramètres!$A$1:$I$89,3,0)*0.475*44/12</f>
        <v>1.8190259945787695E-6</v>
      </c>
      <c r="AX152" s="21">
        <f t="shared" si="114"/>
        <v>83.59669472513427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-1.3596945791505279E-13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260.97162394079265</v>
      </c>
      <c r="BJ152" s="59">
        <f t="shared" si="146"/>
        <v>279.1836614199691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37.854648101595771</v>
      </c>
      <c r="BQ152" s="21">
        <f>EXP(-LN(2)/25)*BQ151+(1-EXP(-LN(2)/25))/(LN(2)/25)*Calculateur!BL152*Calculateur!BN152*VLOOKUP('Données projet'!$B$11,Paramètres!$A$1:$I$89,3,0)*0.475*44/12</f>
        <v>4.5770815853395428</v>
      </c>
      <c r="BR152" s="21">
        <f>EXP(-LN(2)/2)*BR151+(1-EXP(-LN(2)/2))/(LN(2)/2)*BL152*BO152*VLOOKUP('Données projet'!$B$11,Paramètres!$A$1:$I$89,3,0)*0.475*44/12</f>
        <v>1.1257170411450839E-11</v>
      </c>
      <c r="BS152" s="22">
        <f t="shared" si="117"/>
        <v>42.431729686946568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264.70281355687837</v>
      </c>
      <c r="CE152" s="59">
        <f t="shared" si="148"/>
        <v>199.74194600786768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52.266910786263551</v>
      </c>
      <c r="CL152" s="21">
        <f>EXP(-LN(2)/25)*CL151+(1-EXP(-LN(2)/25))/(LN(2)/25)*Calculateur!CG152*Calculateur!CI152*VLOOKUP('Données projet'!$B$12,Paramètres!$A$1:$I$89,3,0)*0.475*44/12</f>
        <v>7.1541740919481098</v>
      </c>
      <c r="CM152" s="21">
        <f>EXP(-LN(2)/2)*CM151+(1-EXP(-LN(2)/2))/(LN(2)/2)*CG152*CJ152*VLOOKUP('Données projet'!$B$12,Paramètres!$A$1:$I$89,3,0)*0.475*44/12</f>
        <v>4.1270033928822504E-9</v>
      </c>
      <c r="CN152" s="22">
        <f t="shared" si="120"/>
        <v>59.421084882338661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-6.5028871176764376E-14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149.8619613776458</v>
      </c>
      <c r="CZ152" s="59">
        <f t="shared" si="150"/>
        <v>108.55560257938146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34.11402603224569</v>
      </c>
      <c r="DG152" s="21">
        <f>EXP(-LN(2)/25)*DG151+(1-EXP(-LN(2)/25))/(LN(2)/25)*Calculateur!DB152*Calculateur!DD152*VLOOKUP('Données projet'!$B$13,Paramètres!$A$1:$I$89,3,0)*0.475*44/12</f>
        <v>4.6156807107921924</v>
      </c>
      <c r="DH152" s="21">
        <f>EXP(-LN(2)/2)*DH151+(1-EXP(-LN(2)/2))/(LN(2)/2)*DB152*DE152*VLOOKUP('Données projet'!$B$13,Paramètres!$A$1:$I$89,3,0)*0.475*44/12</f>
        <v>1.4058198848680254E-9</v>
      </c>
      <c r="DI152" s="22">
        <f t="shared" si="123"/>
        <v>38.729706744443703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1">
        <f t="shared" si="140"/>
        <v>32.066514091456256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67">
        <f t="shared" si="110"/>
        <v>561.10851204261951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467.03705646400994</v>
      </c>
      <c r="T153" s="59">
        <f t="shared" si="142"/>
        <v>575.68119027684361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57.613775447233117</v>
      </c>
      <c r="AA153" s="21">
        <f>EXP(-LN(2)/25)*AA152+(1-EXP(-LN(2)/25))/(LN(2)/25)*Calculateur!V153*Calculateur!X153*VLOOKUP('Données projet'!$B$9,Paramètres!$A$1:$I$89,3,0)*0.475*44/12</f>
        <v>7.0422766618981427</v>
      </c>
      <c r="AB153" s="21">
        <f>EXP(-LN(2)/2)*AB152+(1-EXP(-LN(2)/2))/(LN(2)/2)*V153*Y153*VLOOKUP('Données projet'!$B$9,Paramètres!$A$1:$I$89,3,0)*0.475*44/12</f>
        <v>1.0279274676663615E-11</v>
      </c>
      <c r="AC153" s="22">
        <f t="shared" si="111"/>
        <v>64.656052109141527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-7.0940586738288402E-14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252.44760109054914</v>
      </c>
      <c r="AO153" s="59">
        <f t="shared" si="144"/>
        <v>121.75506329394773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70.670144494100725</v>
      </c>
      <c r="AV153" s="21">
        <f>EXP(-LN(2)/25)*AV152+(1-EXP(-LN(2)/25))/(LN(2)/25)*Calculateur!AQ153*Calculateur!AS153*VLOOKUP('Données projet'!$B$10,Paramètres!$A$1:$I$89,3,0)*0.475*44/12</f>
        <v>11.198207324516677</v>
      </c>
      <c r="AW153" s="21">
        <f>EXP(-LN(2)/2)*AW152+(1-EXP(-LN(2)/2))/(LN(2)/2)*AQ153*AT153*VLOOKUP('Données projet'!$B$10,Paramètres!$A$1:$I$89,3,0)*0.475*44/12</f>
        <v>1.2862456159212519E-6</v>
      </c>
      <c r="AX153" s="21">
        <f t="shared" si="114"/>
        <v>81.868353104863019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-1.3596945791505279E-13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260.97162394079265</v>
      </c>
      <c r="BJ153" s="59">
        <f t="shared" si="146"/>
        <v>279.1836614199691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37.112341541378967</v>
      </c>
      <c r="BQ153" s="21">
        <f>EXP(-LN(2)/25)*BQ152+(1-EXP(-LN(2)/25))/(LN(2)/25)*Calculateur!BL153*Calculateur!BN153*VLOOKUP('Données projet'!$B$11,Paramètres!$A$1:$I$89,3,0)*0.475*44/12</f>
        <v>4.4519210486901732</v>
      </c>
      <c r="BR153" s="21">
        <f>EXP(-LN(2)/2)*BR152+(1-EXP(-LN(2)/2))/(LN(2)/2)*BL153*BO153*VLOOKUP('Données projet'!$B$11,Paramètres!$A$1:$I$89,3,0)*0.475*44/12</f>
        <v>7.9600215349094455E-12</v>
      </c>
      <c r="BS153" s="22">
        <f t="shared" si="117"/>
        <v>41.564262590077099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264.70281355687837</v>
      </c>
      <c r="CE153" s="59">
        <f t="shared" si="148"/>
        <v>199.74194600786768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51.241988545412646</v>
      </c>
      <c r="CL153" s="21">
        <f>EXP(-LN(2)/25)*CL152+(1-EXP(-LN(2)/25))/(LN(2)/25)*Calculateur!CG153*Calculateur!CI153*VLOOKUP('Données projet'!$B$12,Paramètres!$A$1:$I$89,3,0)*0.475*44/12</f>
        <v>6.958542825182124</v>
      </c>
      <c r="CM153" s="21">
        <f>EXP(-LN(2)/2)*CM152+(1-EXP(-LN(2)/2))/(LN(2)/2)*CG153*CJ153*VLOOKUP('Données projet'!$B$12,Paramètres!$A$1:$I$89,3,0)*0.475*44/12</f>
        <v>2.9182320850869287E-9</v>
      </c>
      <c r="CN153" s="22">
        <f t="shared" si="120"/>
        <v>58.200531373513002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-6.5028871176764376E-14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149.8619613776458</v>
      </c>
      <c r="CZ153" s="59">
        <f t="shared" si="150"/>
        <v>108.55560257938146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33.445070789254665</v>
      </c>
      <c r="DG153" s="21">
        <f>EXP(-LN(2)/25)*DG152+(1-EXP(-LN(2)/25))/(LN(2)/25)*Calculateur!DB153*Calculateur!DD153*VLOOKUP('Données projet'!$B$13,Paramètres!$A$1:$I$89,3,0)*0.475*44/12</f>
        <v>4.4894646790274804</v>
      </c>
      <c r="DH153" s="21">
        <f>EXP(-LN(2)/2)*DH152+(1-EXP(-LN(2)/2))/(LN(2)/2)*DB153*DE153*VLOOKUP('Données projet'!$B$13,Paramètres!$A$1:$I$89,3,0)*0.475*44/12</f>
        <v>9.9406477371707229E-10</v>
      </c>
      <c r="DI153" s="22">
        <f t="shared" si="123"/>
        <v>37.934535469276206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1">
        <f t="shared" si="140"/>
        <v>32.255334127777445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67">
        <f t="shared" si="110"/>
        <v>562.85021360587893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467.03705646400994</v>
      </c>
      <c r="T154" s="59">
        <f t="shared" si="142"/>
        <v>575.68119027684361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56.484004451646022</v>
      </c>
      <c r="AA154" s="21">
        <f>EXP(-LN(2)/25)*AA153+(1-EXP(-LN(2)/25))/(LN(2)/25)*Calculateur!V154*Calculateur!X154*VLOOKUP('Données projet'!$B$9,Paramètres!$A$1:$I$89,3,0)*0.475*44/12</f>
        <v>6.849705236241304</v>
      </c>
      <c r="AB154" s="21">
        <f>EXP(-LN(2)/2)*AB153+(1-EXP(-LN(2)/2))/(LN(2)/2)*V154*Y154*VLOOKUP('Données projet'!$B$9,Paramètres!$A$1:$I$89,3,0)*0.475*44/12</f>
        <v>7.2685448295479986E-12</v>
      </c>
      <c r="AC154" s="22">
        <f t="shared" ref="AC154:AC203" si="163">SUM(Z154:AB154)</f>
        <v>63.333709687894597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-7.0940586738288402E-14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252.44760109054914</v>
      </c>
      <c r="AO154" s="59">
        <f t="shared" si="144"/>
        <v>121.75506329394773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69.284346065103335</v>
      </c>
      <c r="AV154" s="21">
        <f>EXP(-LN(2)/25)*AV153+(1-EXP(-LN(2)/25))/(LN(2)/25)*Calculateur!AQ154*Calculateur!AS154*VLOOKUP('Données projet'!$B$10,Paramètres!$A$1:$I$89,3,0)*0.475*44/12</f>
        <v>10.891991756339639</v>
      </c>
      <c r="AW154" s="21">
        <f>EXP(-LN(2)/2)*AW153+(1-EXP(-LN(2)/2))/(LN(2)/2)*AQ154*AT154*VLOOKUP('Données projet'!$B$10,Paramètres!$A$1:$I$89,3,0)*0.475*44/12</f>
        <v>9.0951299728938475E-7</v>
      </c>
      <c r="AX154" s="21">
        <f t="shared" ref="AX154:AX203" si="166">SUM(AU154:AW154)</f>
        <v>80.176338730955962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-1.3596945791505279E-13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260.97162394079265</v>
      </c>
      <c r="BJ154" s="59">
        <f t="shared" si="146"/>
        <v>279.1836614199691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36.384591160045716</v>
      </c>
      <c r="BQ154" s="21">
        <f>EXP(-LN(2)/25)*BQ153+(1-EXP(-LN(2)/25))/(LN(2)/25)*Calculateur!BL154*Calculateur!BN154*VLOOKUP('Données projet'!$B$11,Paramètres!$A$1:$I$89,3,0)*0.475*44/12</f>
        <v>4.3301830334973879</v>
      </c>
      <c r="BR154" s="21">
        <f>EXP(-LN(2)/2)*BR153+(1-EXP(-LN(2)/2))/(LN(2)/2)*BL154*BO154*VLOOKUP('Données projet'!$B$11,Paramètres!$A$1:$I$89,3,0)*0.475*44/12</f>
        <v>5.6285852057254195E-12</v>
      </c>
      <c r="BS154" s="22">
        <f t="shared" ref="BS154:BS203" si="169">SUM(BP154:BR154)</f>
        <v>40.714774193548735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264.70281355687837</v>
      </c>
      <c r="CE154" s="59">
        <f t="shared" si="148"/>
        <v>199.74194600786768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50.237164404563991</v>
      </c>
      <c r="CL154" s="21">
        <f>EXP(-LN(2)/25)*CL153+(1-EXP(-LN(2)/25))/(LN(2)/25)*Calculateur!CG154*Calculateur!CI154*VLOOKUP('Données projet'!$B$12,Paramètres!$A$1:$I$89,3,0)*0.475*44/12</f>
        <v>6.7682611056936555</v>
      </c>
      <c r="CM154" s="21">
        <f>EXP(-LN(2)/2)*CM153+(1-EXP(-LN(2)/2))/(LN(2)/2)*CG154*CJ154*VLOOKUP('Données projet'!$B$12,Paramètres!$A$1:$I$89,3,0)*0.475*44/12</f>
        <v>2.0635016964411252E-9</v>
      </c>
      <c r="CN154" s="22">
        <f t="shared" ref="CN154:CN203" si="172">SUM(CK154:CM154)</f>
        <v>57.005425512321146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-6.5028871176764376E-14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149.8619613776458</v>
      </c>
      <c r="CZ154" s="59">
        <f t="shared" si="150"/>
        <v>108.55560257938146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32.78923335055628</v>
      </c>
      <c r="DG154" s="21">
        <f>EXP(-LN(2)/25)*DG153+(1-EXP(-LN(2)/25))/(LN(2)/25)*Calculateur!DB154*Calculateur!DD154*VLOOKUP('Données projet'!$B$13,Paramètres!$A$1:$I$89,3,0)*0.475*44/12</f>
        <v>4.3667000312887874</v>
      </c>
      <c r="DH154" s="21">
        <f>EXP(-LN(2)/2)*DH153+(1-EXP(-LN(2)/2))/(LN(2)/2)*DB154*DE154*VLOOKUP('Données projet'!$B$13,Paramètres!$A$1:$I$89,3,0)*0.475*44/12</f>
        <v>7.0290994243401271E-10</v>
      </c>
      <c r="DI154" s="22">
        <f t="shared" ref="DI154:DI203" si="175">SUM(DF154:DH154)</f>
        <v>37.155933382547978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1">
        <f t="shared" si="140"/>
        <v>32.444008665071891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67">
        <f t="shared" si="110"/>
        <v>564.59166175833343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467.03705646400994</v>
      </c>
      <c r="T155" s="59">
        <f t="shared" si="142"/>
        <v>575.68119027684361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55.376387576190126</v>
      </c>
      <c r="AA155" s="21">
        <f>EXP(-LN(2)/25)*AA154+(1-EXP(-LN(2)/25))/(LN(2)/25)*Calculateur!V155*Calculateur!X155*VLOOKUP('Données projet'!$B$9,Paramètres!$A$1:$I$89,3,0)*0.475*44/12</f>
        <v>6.6623996863459425</v>
      </c>
      <c r="AB155" s="21">
        <f>EXP(-LN(2)/2)*AB154+(1-EXP(-LN(2)/2))/(LN(2)/2)*V155*Y155*VLOOKUP('Données projet'!$B$9,Paramètres!$A$1:$I$89,3,0)*0.475*44/12</f>
        <v>5.1396373383318082E-12</v>
      </c>
      <c r="AC155" s="22">
        <f t="shared" si="163"/>
        <v>62.038787262541206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-7.0940586738288402E-14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252.44760109054914</v>
      </c>
      <c r="AO155" s="59">
        <f t="shared" si="144"/>
        <v>121.75506329394773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67.925722298045002</v>
      </c>
      <c r="AV155" s="21">
        <f>EXP(-LN(2)/25)*AV154+(1-EXP(-LN(2)/25))/(LN(2)/25)*Calculateur!AQ155*Calculateur!AS155*VLOOKUP('Données projet'!$B$10,Paramètres!$A$1:$I$89,3,0)*0.475*44/12</f>
        <v>10.594149668977579</v>
      </c>
      <c r="AW155" s="21">
        <f>EXP(-LN(2)/2)*AW154+(1-EXP(-LN(2)/2))/(LN(2)/2)*AQ155*AT155*VLOOKUP('Données projet'!$B$10,Paramètres!$A$1:$I$89,3,0)*0.475*44/12</f>
        <v>6.4312280796062596E-7</v>
      </c>
      <c r="AX155" s="21">
        <f t="shared" si="166"/>
        <v>78.519872610145384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-1.3596945791505279E-13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260.97162394079265</v>
      </c>
      <c r="BJ155" s="59">
        <f t="shared" si="146"/>
        <v>279.1836614199691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35.671111519806509</v>
      </c>
      <c r="BQ155" s="21">
        <f>EXP(-LN(2)/25)*BQ154+(1-EXP(-LN(2)/25))/(LN(2)/25)*Calculateur!BL155*Calculateur!BN155*VLOOKUP('Données projet'!$B$11,Paramètres!$A$1:$I$89,3,0)*0.475*44/12</f>
        <v>4.2117739507319731</v>
      </c>
      <c r="BR155" s="21">
        <f>EXP(-LN(2)/2)*BR154+(1-EXP(-LN(2)/2))/(LN(2)/2)*BL155*BO155*VLOOKUP('Données projet'!$B$11,Paramètres!$A$1:$I$89,3,0)*0.475*44/12</f>
        <v>3.9800107674547228E-12</v>
      </c>
      <c r="BS155" s="22">
        <f t="shared" si="169"/>
        <v>39.882885470542462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264.70281355687837</v>
      </c>
      <c r="CE155" s="59">
        <f t="shared" si="148"/>
        <v>199.74194600786768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49.252044252235166</v>
      </c>
      <c r="CL155" s="21">
        <f>EXP(-LN(2)/25)*CL154+(1-EXP(-LN(2)/25))/(LN(2)/25)*Calculateur!CG155*Calculateur!CI155*VLOOKUP('Données projet'!$B$12,Paramètres!$A$1:$I$89,3,0)*0.475*44/12</f>
        <v>6.5831826498310804</v>
      </c>
      <c r="CM155" s="21">
        <f>EXP(-LN(2)/2)*CM154+(1-EXP(-LN(2)/2))/(LN(2)/2)*CG155*CJ155*VLOOKUP('Données projet'!$B$12,Paramètres!$A$1:$I$89,3,0)*0.475*44/12</f>
        <v>1.4591160425434643E-9</v>
      </c>
      <c r="CN155" s="22">
        <f t="shared" si="172"/>
        <v>55.83522690352536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-6.5028871176764376E-14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149.8619613776458</v>
      </c>
      <c r="CZ155" s="59">
        <f t="shared" si="150"/>
        <v>108.55560257938146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32.146256484009434</v>
      </c>
      <c r="DG155" s="21">
        <f>EXP(-LN(2)/25)*DG154+(1-EXP(-LN(2)/25))/(LN(2)/25)*Calculateur!DB155*Calculateur!DD155*VLOOKUP('Données projet'!$B$13,Paramètres!$A$1:$I$89,3,0)*0.475*44/12</f>
        <v>4.2472923892984209</v>
      </c>
      <c r="DH155" s="21">
        <f>EXP(-LN(2)/2)*DH154+(1-EXP(-LN(2)/2))/(LN(2)/2)*DB155*DE155*VLOOKUP('Données projet'!$B$13,Paramètres!$A$1:$I$89,3,0)*0.475*44/12</f>
        <v>4.9703238685853614E-10</v>
      </c>
      <c r="DI155" s="22">
        <f t="shared" si="175"/>
        <v>36.393548873804889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1">
        <f t="shared" si="140"/>
        <v>32.632538771598028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67">
        <f t="shared" si="110"/>
        <v>566.33285836053312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467.03705646400994</v>
      </c>
      <c r="T156" s="59">
        <f t="shared" si="142"/>
        <v>575.68119027684361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54.290490392082333</v>
      </c>
      <c r="AA156" s="21">
        <f>EXP(-LN(2)/25)*AA155+(1-EXP(-LN(2)/25))/(LN(2)/25)*Calculateur!V156*Calculateur!X156*VLOOKUP('Données projet'!$B$9,Paramètres!$A$1:$I$89,3,0)*0.475*44/12</f>
        <v>6.4802160165624407</v>
      </c>
      <c r="AB156" s="21">
        <f>EXP(-LN(2)/2)*AB155+(1-EXP(-LN(2)/2))/(LN(2)/2)*V156*Y156*VLOOKUP('Données projet'!$B$9,Paramètres!$A$1:$I$89,3,0)*0.475*44/12</f>
        <v>3.6342724147739997E-12</v>
      </c>
      <c r="AC156" s="22">
        <f t="shared" si="163"/>
        <v>60.770706408648401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-7.0940586738288402E-14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252.44760109054914</v>
      </c>
      <c r="AO156" s="59">
        <f t="shared" si="144"/>
        <v>121.75506329394773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66.593740314380014</v>
      </c>
      <c r="AV156" s="21">
        <f>EXP(-LN(2)/25)*AV155+(1-EXP(-LN(2)/25))/(LN(2)/25)*Calculateur!AQ156*Calculateur!AS156*VLOOKUP('Données projet'!$B$10,Paramètres!$A$1:$I$89,3,0)*0.475*44/12</f>
        <v>10.30445208915727</v>
      </c>
      <c r="AW156" s="21">
        <f>EXP(-LN(2)/2)*AW155+(1-EXP(-LN(2)/2))/(LN(2)/2)*AQ156*AT156*VLOOKUP('Données projet'!$B$10,Paramètres!$A$1:$I$89,3,0)*0.475*44/12</f>
        <v>4.5475649864469237E-7</v>
      </c>
      <c r="AX156" s="21">
        <f t="shared" si="166"/>
        <v>76.898192858293783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-1.3596945791505279E-13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260.97162394079265</v>
      </c>
      <c r="BJ156" s="59">
        <f t="shared" si="146"/>
        <v>279.1836614199691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34.971622780132783</v>
      </c>
      <c r="BQ156" s="21">
        <f>EXP(-LN(2)/25)*BQ155+(1-EXP(-LN(2)/25))/(LN(2)/25)*Calculateur!BL156*Calculateur!BN156*VLOOKUP('Données projet'!$B$11,Paramètres!$A$1:$I$89,3,0)*0.475*44/12</f>
        <v>4.096602770561641</v>
      </c>
      <c r="BR156" s="21">
        <f>EXP(-LN(2)/2)*BR155+(1-EXP(-LN(2)/2))/(LN(2)/2)*BL156*BO156*VLOOKUP('Données projet'!$B$11,Paramètres!$A$1:$I$89,3,0)*0.475*44/12</f>
        <v>2.8142926028627097E-12</v>
      </c>
      <c r="BS156" s="22">
        <f t="shared" si="169"/>
        <v>39.068225550697235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264.70281355687837</v>
      </c>
      <c r="CE156" s="59">
        <f t="shared" si="148"/>
        <v>199.74194600786768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48.28624170522955</v>
      </c>
      <c r="CL156" s="21">
        <f>EXP(-LN(2)/25)*CL155+(1-EXP(-LN(2)/25))/(LN(2)/25)*Calculateur!CG156*Calculateur!CI156*VLOOKUP('Données projet'!$B$12,Paramètres!$A$1:$I$89,3,0)*0.475*44/12</f>
        <v>6.4031651740769204</v>
      </c>
      <c r="CM156" s="21">
        <f>EXP(-LN(2)/2)*CM155+(1-EXP(-LN(2)/2))/(LN(2)/2)*CG156*CJ156*VLOOKUP('Données projet'!$B$12,Paramètres!$A$1:$I$89,3,0)*0.475*44/12</f>
        <v>1.0317508482205626E-9</v>
      </c>
      <c r="CN156" s="22">
        <f t="shared" si="172"/>
        <v>54.689406880338218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-6.5028871176764376E-14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149.8619613776458</v>
      </c>
      <c r="CZ156" s="59">
        <f t="shared" si="150"/>
        <v>108.55560257938146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31.515888001638405</v>
      </c>
      <c r="DG156" s="21">
        <f>EXP(-LN(2)/25)*DG155+(1-EXP(-LN(2)/25))/(LN(2)/25)*Calculateur!DB156*Calculateur!DD156*VLOOKUP('Données projet'!$B$13,Paramètres!$A$1:$I$89,3,0)*0.475*44/12</f>
        <v>4.1311499555576559</v>
      </c>
      <c r="DH156" s="21">
        <f>EXP(-LN(2)/2)*DH155+(1-EXP(-LN(2)/2))/(LN(2)/2)*DB156*DE156*VLOOKUP('Données projet'!$B$13,Paramètres!$A$1:$I$89,3,0)*0.475*44/12</f>
        <v>3.5145497121700635E-10</v>
      </c>
      <c r="DI156" s="22">
        <f t="shared" si="175"/>
        <v>35.647037957547518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1">
        <f t="shared" si="140"/>
        <v>32.820925500842712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67">
        <f t="shared" si="110"/>
        <v>568.07380524730092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467.03705646400994</v>
      </c>
      <c r="T157" s="59">
        <f t="shared" si="142"/>
        <v>575.68119027684361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53.22588698942301</v>
      </c>
      <c r="AA157" s="21">
        <f>EXP(-LN(2)/25)*AA156+(1-EXP(-LN(2)/25))/(LN(2)/25)*Calculateur!V157*Calculateur!X157*VLOOKUP('Données projet'!$B$9,Paramètres!$A$1:$I$89,3,0)*0.475*44/12</f>
        <v>6.3030141688097912</v>
      </c>
      <c r="AB157" s="21">
        <f>EXP(-LN(2)/2)*AB156+(1-EXP(-LN(2)/2))/(LN(2)/2)*V157*Y157*VLOOKUP('Données projet'!$B$9,Paramètres!$A$1:$I$89,3,0)*0.475*44/12</f>
        <v>2.5698186691659045E-12</v>
      </c>
      <c r="AC157" s="22">
        <f t="shared" si="163"/>
        <v>59.528901158235371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-7.0940586738288402E-14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252.44760109054914</v>
      </c>
      <c r="AO157" s="59">
        <f t="shared" si="144"/>
        <v>121.75506329394773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65.287877684985901</v>
      </c>
      <c r="AV157" s="21">
        <f>EXP(-LN(2)/25)*AV156+(1-EXP(-LN(2)/25))/(LN(2)/25)*Calculateur!AQ157*Calculateur!AS157*VLOOKUP('Données projet'!$B$10,Paramètres!$A$1:$I$89,3,0)*0.475*44/12</f>
        <v>10.02267630489168</v>
      </c>
      <c r="AW157" s="21">
        <f>EXP(-LN(2)/2)*AW156+(1-EXP(-LN(2)/2))/(LN(2)/2)*AQ157*AT157*VLOOKUP('Données projet'!$B$10,Paramètres!$A$1:$I$89,3,0)*0.475*44/12</f>
        <v>3.2156140398031298E-7</v>
      </c>
      <c r="AX157" s="21">
        <f t="shared" si="166"/>
        <v>75.310554311438977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-1.3596945791505279E-13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260.97162394079265</v>
      </c>
      <c r="BJ157" s="59">
        <f t="shared" si="146"/>
        <v>279.1836614199691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34.285850587998056</v>
      </c>
      <c r="BQ157" s="21">
        <f>EXP(-LN(2)/25)*BQ156+(1-EXP(-LN(2)/25))/(LN(2)/25)*Calculateur!BL157*Calculateur!BN157*VLOOKUP('Données projet'!$B$11,Paramètres!$A$1:$I$89,3,0)*0.475*44/12</f>
        <v>3.9845809523696563</v>
      </c>
      <c r="BR157" s="21">
        <f>EXP(-LN(2)/2)*BR156+(1-EXP(-LN(2)/2))/(LN(2)/2)*BL157*BO157*VLOOKUP('Données projet'!$B$11,Paramètres!$A$1:$I$89,3,0)*0.475*44/12</f>
        <v>1.9900053837273614E-12</v>
      </c>
      <c r="BS157" s="22">
        <f t="shared" si="169"/>
        <v>38.2704315403697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264.70281355687837</v>
      </c>
      <c r="CE157" s="59">
        <f t="shared" si="148"/>
        <v>199.74194600786768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47.339377957089326</v>
      </c>
      <c r="CL157" s="21">
        <f>EXP(-LN(2)/25)*CL156+(1-EXP(-LN(2)/25))/(LN(2)/25)*Calculateur!CG157*Calculateur!CI157*VLOOKUP('Données projet'!$B$12,Paramètres!$A$1:$I$89,3,0)*0.475*44/12</f>
        <v>6.2280702856639651</v>
      </c>
      <c r="CM157" s="21">
        <f>EXP(-LN(2)/2)*CM156+(1-EXP(-LN(2)/2))/(LN(2)/2)*CG157*CJ157*VLOOKUP('Données projet'!$B$12,Paramètres!$A$1:$I$89,3,0)*0.475*44/12</f>
        <v>7.2955802127173217E-10</v>
      </c>
      <c r="CN157" s="22">
        <f t="shared" si="172"/>
        <v>53.567448243482851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-6.5028871176764376E-14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149.8619613776458</v>
      </c>
      <c r="CZ157" s="59">
        <f t="shared" si="150"/>
        <v>108.55560257938146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30.897880660719863</v>
      </c>
      <c r="DG157" s="21">
        <f>EXP(-LN(2)/25)*DG156+(1-EXP(-LN(2)/25))/(LN(2)/25)*Calculateur!DB157*Calculateur!DD157*VLOOKUP('Données projet'!$B$13,Paramètres!$A$1:$I$89,3,0)*0.475*44/12</f>
        <v>4.0181834427751975</v>
      </c>
      <c r="DH157" s="21">
        <f>EXP(-LN(2)/2)*DH156+(1-EXP(-LN(2)/2))/(LN(2)/2)*DB157*DE157*VLOOKUP('Données projet'!$B$13,Paramètres!$A$1:$I$89,3,0)*0.475*44/12</f>
        <v>2.4851619342926807E-10</v>
      </c>
      <c r="DI157" s="22">
        <f t="shared" si="175"/>
        <v>34.916064103743579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1">
        <f t="shared" si="140"/>
        <v>33.009169891820072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67">
        <f t="shared" si="110"/>
        <v>569.8145042282531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467.03705646400994</v>
      </c>
      <c r="T158" s="59">
        <f t="shared" si="142"/>
        <v>575.68119027684361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52.182159810145876</v>
      </c>
      <c r="AA158" s="21">
        <f>EXP(-LN(2)/25)*AA157+(1-EXP(-LN(2)/25))/(LN(2)/25)*Calculateur!V158*Calculateur!X158*VLOOKUP('Données projet'!$B$9,Paramètres!$A$1:$I$89,3,0)*0.475*44/12</f>
        <v>6.1306579149025779</v>
      </c>
      <c r="AB158" s="21">
        <f>EXP(-LN(2)/2)*AB157+(1-EXP(-LN(2)/2))/(LN(2)/2)*V158*Y158*VLOOKUP('Données projet'!$B$9,Paramètres!$A$1:$I$89,3,0)*0.475*44/12</f>
        <v>1.817136207387E-12</v>
      </c>
      <c r="AC158" s="22">
        <f t="shared" si="163"/>
        <v>58.312817725050273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-7.0940586738288402E-14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252.44760109054914</v>
      </c>
      <c r="AO158" s="59">
        <f t="shared" si="144"/>
        <v>121.75506329394773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64.007622225256654</v>
      </c>
      <c r="AV158" s="21">
        <f>EXP(-LN(2)/25)*AV157+(1-EXP(-LN(2)/25))/(LN(2)/25)*Calculateur!AQ158*Calculateur!AS158*VLOOKUP('Données projet'!$B$10,Paramètres!$A$1:$I$89,3,0)*0.475*44/12</f>
        <v>9.7486056942647785</v>
      </c>
      <c r="AW158" s="21">
        <f>EXP(-LN(2)/2)*AW157+(1-EXP(-LN(2)/2))/(LN(2)/2)*AQ158*AT158*VLOOKUP('Données projet'!$B$10,Paramètres!$A$1:$I$89,3,0)*0.475*44/12</f>
        <v>2.2737824932234619E-7</v>
      </c>
      <c r="AX158" s="21">
        <f t="shared" si="166"/>
        <v>73.756228146899687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-1.3596945791505279E-13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260.97162394079265</v>
      </c>
      <c r="BJ158" s="59">
        <f t="shared" si="146"/>
        <v>279.1836614199691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33.613525970271354</v>
      </c>
      <c r="BQ158" s="21">
        <f>EXP(-LN(2)/25)*BQ157+(1-EXP(-LN(2)/25))/(LN(2)/25)*Calculateur!BL158*Calculateur!BN158*VLOOKUP('Données projet'!$B$11,Paramètres!$A$1:$I$89,3,0)*0.475*44/12</f>
        <v>3.8756223766871027</v>
      </c>
      <c r="BR158" s="21">
        <f>EXP(-LN(2)/2)*BR157+(1-EXP(-LN(2)/2))/(LN(2)/2)*BL158*BO158*VLOOKUP('Données projet'!$B$11,Paramètres!$A$1:$I$89,3,0)*0.475*44/12</f>
        <v>1.4071463014313549E-12</v>
      </c>
      <c r="BS158" s="22">
        <f t="shared" si="169"/>
        <v>37.489148346959865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264.70281355687837</v>
      </c>
      <c r="CE158" s="59">
        <f t="shared" si="148"/>
        <v>199.74194600786768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46.411081629520268</v>
      </c>
      <c r="CL158" s="21">
        <f>EXP(-LN(2)/25)*CL157+(1-EXP(-LN(2)/25))/(LN(2)/25)*Calculateur!CG158*Calculateur!CI158*VLOOKUP('Données projet'!$B$12,Paramètres!$A$1:$I$89,3,0)*0.475*44/12</f>
        <v>6.0577633761825025</v>
      </c>
      <c r="CM158" s="21">
        <f>EXP(-LN(2)/2)*CM157+(1-EXP(-LN(2)/2))/(LN(2)/2)*CG158*CJ158*VLOOKUP('Données projet'!$B$12,Paramètres!$A$1:$I$89,3,0)*0.475*44/12</f>
        <v>5.158754241102813E-10</v>
      </c>
      <c r="CN158" s="22">
        <f t="shared" si="172"/>
        <v>52.468845006218643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-6.5028871176764376E-14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149.8619613776458</v>
      </c>
      <c r="CZ158" s="59">
        <f t="shared" si="150"/>
        <v>108.55560257938146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30.291992066809478</v>
      </c>
      <c r="DG158" s="21">
        <f>EXP(-LN(2)/25)*DG157+(1-EXP(-LN(2)/25))/(LN(2)/25)*Calculateur!DB158*Calculateur!DD158*VLOOKUP('Données projet'!$B$13,Paramètres!$A$1:$I$89,3,0)*0.475*44/12</f>
        <v>3.9083060052254259</v>
      </c>
      <c r="DH158" s="21">
        <f>EXP(-LN(2)/2)*DH157+(1-EXP(-LN(2)/2))/(LN(2)/2)*DB158*DE158*VLOOKUP('Données projet'!$B$13,Paramètres!$A$1:$I$89,3,0)*0.475*44/12</f>
        <v>1.7572748560850318E-10</v>
      </c>
      <c r="DI158" s="22">
        <f t="shared" si="175"/>
        <v>34.200298072210629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1">
        <f t="shared" si="140"/>
        <v>33.19727296936243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67">
        <f t="shared" si="110"/>
        <v>571.55495708830608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467.03705646400994</v>
      </c>
      <c r="T159" s="59">
        <f t="shared" si="142"/>
        <v>575.68119027684361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51.158899484243648</v>
      </c>
      <c r="AA159" s="21">
        <f>EXP(-LN(2)/25)*AA158+(1-EXP(-LN(2)/25))/(LN(2)/25)*Calculateur!V159*Calculateur!X159*VLOOKUP('Données projet'!$B$9,Paramètres!$A$1:$I$89,3,0)*0.475*44/12</f>
        <v>5.9630147518222794</v>
      </c>
      <c r="AB159" s="21">
        <f>EXP(-LN(2)/2)*AB158+(1-EXP(-LN(2)/2))/(LN(2)/2)*V159*Y159*VLOOKUP('Données projet'!$B$9,Paramètres!$A$1:$I$89,3,0)*0.475*44/12</f>
        <v>1.2849093345829525E-12</v>
      </c>
      <c r="AC159" s="22">
        <f t="shared" si="163"/>
        <v>57.121914236067212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-7.0940586738288402E-14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252.44760109054914</v>
      </c>
      <c r="AO159" s="59">
        <f t="shared" si="144"/>
        <v>121.75506329394773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62.752471794213967</v>
      </c>
      <c r="AV159" s="21">
        <f>EXP(-LN(2)/25)*AV158+(1-EXP(-LN(2)/25))/(LN(2)/25)*Calculateur!AQ159*Calculateur!AS159*VLOOKUP('Données projet'!$B$10,Paramètres!$A$1:$I$89,3,0)*0.475*44/12</f>
        <v>9.4820295588982155</v>
      </c>
      <c r="AW159" s="21">
        <f>EXP(-LN(2)/2)*AW158+(1-EXP(-LN(2)/2))/(LN(2)/2)*AQ159*AT159*VLOOKUP('Données projet'!$B$10,Paramètres!$A$1:$I$89,3,0)*0.475*44/12</f>
        <v>1.6078070199015649E-7</v>
      </c>
      <c r="AX159" s="21">
        <f t="shared" si="166"/>
        <v>72.23450151389288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-1.3596945791505279E-13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260.97162394079265</v>
      </c>
      <c r="BJ159" s="59">
        <f t="shared" si="146"/>
        <v>279.1836614199691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32.954385228220751</v>
      </c>
      <c r="BQ159" s="21">
        <f>EXP(-LN(2)/25)*BQ158+(1-EXP(-LN(2)/25))/(LN(2)/25)*Calculateur!BL159*Calculateur!BN159*VLOOKUP('Données projet'!$B$11,Paramètres!$A$1:$I$89,3,0)*0.475*44/12</f>
        <v>3.7696432789864711</v>
      </c>
      <c r="BR159" s="21">
        <f>EXP(-LN(2)/2)*BR158+(1-EXP(-LN(2)/2))/(LN(2)/2)*BL159*BO159*VLOOKUP('Données projet'!$B$11,Paramètres!$A$1:$I$89,3,0)*0.475*44/12</f>
        <v>9.9500269186368069E-13</v>
      </c>
      <c r="BS159" s="22">
        <f t="shared" si="169"/>
        <v>36.724028507208217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264.70281355687837</v>
      </c>
      <c r="CE159" s="59">
        <f t="shared" si="148"/>
        <v>199.74194600786768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45.500988626729992</v>
      </c>
      <c r="CL159" s="21">
        <f>EXP(-LN(2)/25)*CL158+(1-EXP(-LN(2)/25))/(LN(2)/25)*Calculateur!CG159*Calculateur!CI159*VLOOKUP('Données projet'!$B$12,Paramètres!$A$1:$I$89,3,0)*0.475*44/12</f>
        <v>5.8921135180968616</v>
      </c>
      <c r="CM159" s="21">
        <f>EXP(-LN(2)/2)*CM158+(1-EXP(-LN(2)/2))/(LN(2)/2)*CG159*CJ159*VLOOKUP('Données projet'!$B$12,Paramètres!$A$1:$I$89,3,0)*0.475*44/12</f>
        <v>3.6477901063586608E-10</v>
      </c>
      <c r="CN159" s="22">
        <f t="shared" si="172"/>
        <v>51.393102145191634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-6.5028871176764376E-14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149.8619613776458</v>
      </c>
      <c r="CZ159" s="59">
        <f t="shared" si="150"/>
        <v>108.55560257938146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29.697984578670123</v>
      </c>
      <c r="DG159" s="21">
        <f>EXP(-LN(2)/25)*DG158+(1-EXP(-LN(2)/25))/(LN(2)/25)*Calculateur!DB159*Calculateur!DD159*VLOOKUP('Données projet'!$B$13,Paramètres!$A$1:$I$89,3,0)*0.475*44/12</f>
        <v>3.8014331719836565</v>
      </c>
      <c r="DH159" s="21">
        <f>EXP(-LN(2)/2)*DH158+(1-EXP(-LN(2)/2))/(LN(2)/2)*DB159*DE159*VLOOKUP('Données projet'!$B$13,Paramètres!$A$1:$I$89,3,0)*0.475*44/12</f>
        <v>1.2425809671463404E-10</v>
      </c>
      <c r="DI159" s="22">
        <f t="shared" si="175"/>
        <v>33.499417750778036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1">
        <f t="shared" si="140"/>
        <v>33.385235744403289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67">
        <f t="shared" si="110"/>
        <v>573.29516558816886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467.03705646400994</v>
      </c>
      <c r="T160" s="59">
        <f t="shared" si="142"/>
        <v>575.68119027684361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50.155704669205193</v>
      </c>
      <c r="AA160" s="21">
        <f>EXP(-LN(2)/25)*AA159+(1-EXP(-LN(2)/25))/(LN(2)/25)*Calculateur!V160*Calculateur!X160*VLOOKUP('Données projet'!$B$9,Paramètres!$A$1:$I$89,3,0)*0.475*44/12</f>
        <v>5.7999557998523823</v>
      </c>
      <c r="AB160" s="21">
        <f>EXP(-LN(2)/2)*AB159+(1-EXP(-LN(2)/2))/(LN(2)/2)*V160*Y160*VLOOKUP('Données projet'!$B$9,Paramètres!$A$1:$I$89,3,0)*0.475*44/12</f>
        <v>9.0856810369350022E-13</v>
      </c>
      <c r="AC160" s="22">
        <f t="shared" si="163"/>
        <v>55.955660469058486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-7.0940586738288402E-14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252.44760109054914</v>
      </c>
      <c r="AO160" s="59">
        <f t="shared" si="144"/>
        <v>121.75506329394773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61.52193409755786</v>
      </c>
      <c r="AV160" s="21">
        <f>EXP(-LN(2)/25)*AV159+(1-EXP(-LN(2)/25))/(LN(2)/25)*Calculateur!AQ160*Calculateur!AS160*VLOOKUP('Données projet'!$B$10,Paramètres!$A$1:$I$89,3,0)*0.475*44/12</f>
        <v>9.2227429619718801</v>
      </c>
      <c r="AW160" s="21">
        <f>EXP(-LN(2)/2)*AW159+(1-EXP(-LN(2)/2))/(LN(2)/2)*AQ160*AT160*VLOOKUP('Données projet'!$B$10,Paramètres!$A$1:$I$89,3,0)*0.475*44/12</f>
        <v>1.1368912466117309E-7</v>
      </c>
      <c r="AX160" s="21">
        <f t="shared" si="166"/>
        <v>70.744677173218861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-1.3596945791505279E-13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260.97162394079265</v>
      </c>
      <c r="BJ160" s="59">
        <f t="shared" si="146"/>
        <v>279.1836614199691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32.308169834085604</v>
      </c>
      <c r="BQ160" s="21">
        <f>EXP(-LN(2)/25)*BQ159+(1-EXP(-LN(2)/25))/(LN(2)/25)*Calculateur!BL160*Calculateur!BN160*VLOOKUP('Données projet'!$B$11,Paramètres!$A$1:$I$89,3,0)*0.475*44/12</f>
        <v>3.6665621852856618</v>
      </c>
      <c r="BR160" s="21">
        <f>EXP(-LN(2)/2)*BR159+(1-EXP(-LN(2)/2))/(LN(2)/2)*BL160*BO160*VLOOKUP('Données projet'!$B$11,Paramètres!$A$1:$I$89,3,0)*0.475*44/12</f>
        <v>7.0357315071567743E-13</v>
      </c>
      <c r="BS160" s="22">
        <f t="shared" si="169"/>
        <v>35.97473201937197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264.70281355687837</v>
      </c>
      <c r="CE160" s="59">
        <f t="shared" si="148"/>
        <v>199.74194600786768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44.608741992622512</v>
      </c>
      <c r="CL160" s="21">
        <f>EXP(-LN(2)/25)*CL159+(1-EXP(-LN(2)/25))/(LN(2)/25)*Calculateur!CG160*Calculateur!CI160*VLOOKUP('Données projet'!$B$12,Paramètres!$A$1:$I$89,3,0)*0.475*44/12</f>
        <v>5.7309933640917192</v>
      </c>
      <c r="CM160" s="21">
        <f>EXP(-LN(2)/2)*CM159+(1-EXP(-LN(2)/2))/(LN(2)/2)*CG160*CJ160*VLOOKUP('Données projet'!$B$12,Paramètres!$A$1:$I$89,3,0)*0.475*44/12</f>
        <v>2.5793771205514065E-10</v>
      </c>
      <c r="CN160" s="22">
        <f t="shared" si="172"/>
        <v>50.33973535697217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-6.5028871176764376E-14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149.8619613776458</v>
      </c>
      <c r="CZ160" s="59">
        <f t="shared" si="150"/>
        <v>108.55560257938146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29.115625215064387</v>
      </c>
      <c r="DG160" s="21">
        <f>EXP(-LN(2)/25)*DG159+(1-EXP(-LN(2)/25))/(LN(2)/25)*Calculateur!DB160*Calculateur!DD160*VLOOKUP('Données projet'!$B$13,Paramètres!$A$1:$I$89,3,0)*0.475*44/12</f>
        <v>3.6974827819870812</v>
      </c>
      <c r="DH160" s="21">
        <f>EXP(-LN(2)/2)*DH159+(1-EXP(-LN(2)/2))/(LN(2)/2)*DB160*DE160*VLOOKUP('Données projet'!$B$13,Paramètres!$A$1:$I$89,3,0)*0.475*44/12</f>
        <v>8.7863742804251589E-11</v>
      </c>
      <c r="DI160" s="22">
        <f t="shared" si="175"/>
        <v>32.813107997139333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1">
        <f t="shared" si="140"/>
        <v>33.573059214253476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67">
        <f t="shared" si="110"/>
        <v>575.03513146482464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467.03705646400994</v>
      </c>
      <c r="T161" s="59">
        <f t="shared" si="142"/>
        <v>575.68119027684361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49.172181892601223</v>
      </c>
      <c r="AA161" s="21">
        <f>EXP(-LN(2)/25)*AA160+(1-EXP(-LN(2)/25))/(LN(2)/25)*Calculateur!V161*Calculateur!X161*VLOOKUP('Données projet'!$B$9,Paramètres!$A$1:$I$89,3,0)*0.475*44/12</f>
        <v>5.6413557034989994</v>
      </c>
      <c r="AB161" s="21">
        <f>EXP(-LN(2)/2)*AB160+(1-EXP(-LN(2)/2))/(LN(2)/2)*V161*Y161*VLOOKUP('Données projet'!$B$9,Paramètres!$A$1:$I$89,3,0)*0.475*44/12</f>
        <v>6.4245466729147633E-13</v>
      </c>
      <c r="AC161" s="22">
        <f t="shared" si="163"/>
        <v>54.813537596100865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-7.0940586738288402E-14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252.44760109054914</v>
      </c>
      <c r="AO161" s="59">
        <f t="shared" si="144"/>
        <v>121.75506329394773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60.315526494579295</v>
      </c>
      <c r="AV161" s="21">
        <f>EXP(-LN(2)/25)*AV160+(1-EXP(-LN(2)/25))/(LN(2)/25)*Calculateur!AQ161*Calculateur!AS161*VLOOKUP('Données projet'!$B$10,Paramètres!$A$1:$I$89,3,0)*0.475*44/12</f>
        <v>8.9705465706737861</v>
      </c>
      <c r="AW161" s="21">
        <f>EXP(-LN(2)/2)*AW160+(1-EXP(-LN(2)/2))/(LN(2)/2)*AQ161*AT161*VLOOKUP('Données projet'!$B$10,Paramètres!$A$1:$I$89,3,0)*0.475*44/12</f>
        <v>8.0390350995078246E-8</v>
      </c>
      <c r="AX161" s="21">
        <f t="shared" si="166"/>
        <v>69.286073145643428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-1.3596945791505279E-13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260.97162394079265</v>
      </c>
      <c r="BJ161" s="59">
        <f t="shared" si="146"/>
        <v>279.1836614199691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31.674626329676975</v>
      </c>
      <c r="BQ161" s="21">
        <f>EXP(-LN(2)/25)*BQ160+(1-EXP(-LN(2)/25))/(LN(2)/25)*Calculateur!BL161*Calculateur!BN161*VLOOKUP('Données projet'!$B$11,Paramètres!$A$1:$I$89,3,0)*0.475*44/12</f>
        <v>3.5662998495128999</v>
      </c>
      <c r="BR161" s="21">
        <f>EXP(-LN(2)/2)*BR160+(1-EXP(-LN(2)/2))/(LN(2)/2)*BL161*BO161*VLOOKUP('Données projet'!$B$11,Paramètres!$A$1:$I$89,3,0)*0.475*44/12</f>
        <v>4.9750134593184035E-13</v>
      </c>
      <c r="BS161" s="22">
        <f t="shared" si="169"/>
        <v>35.240926179190375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264.70281355687837</v>
      </c>
      <c r="CE161" s="59">
        <f t="shared" si="148"/>
        <v>199.74194600786768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43.733991770793168</v>
      </c>
      <c r="CL161" s="21">
        <f>EXP(-LN(2)/25)*CL160+(1-EXP(-LN(2)/25))/(LN(2)/25)*Calculateur!CG161*Calculateur!CI161*VLOOKUP('Données projet'!$B$12,Paramètres!$A$1:$I$89,3,0)*0.475*44/12</f>
        <v>5.5742790491707881</v>
      </c>
      <c r="CM161" s="21">
        <f>EXP(-LN(2)/2)*CM160+(1-EXP(-LN(2)/2))/(LN(2)/2)*CG161*CJ161*VLOOKUP('Données projet'!$B$12,Paramètres!$A$1:$I$89,3,0)*0.475*44/12</f>
        <v>1.8238950531793304E-10</v>
      </c>
      <c r="CN161" s="22">
        <f t="shared" si="172"/>
        <v>49.308270820146348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-6.5028871176764376E-14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149.8619613776458</v>
      </c>
      <c r="CZ161" s="59">
        <f t="shared" si="150"/>
        <v>108.55560257938146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28.544685563374824</v>
      </c>
      <c r="DG161" s="21">
        <f>EXP(-LN(2)/25)*DG160+(1-EXP(-LN(2)/25))/(LN(2)/25)*Calculateur!DB161*Calculateur!DD161*VLOOKUP('Données projet'!$B$13,Paramètres!$A$1:$I$89,3,0)*0.475*44/12</f>
        <v>3.5963749208714759</v>
      </c>
      <c r="DH161" s="21">
        <f>EXP(-LN(2)/2)*DH160+(1-EXP(-LN(2)/2))/(LN(2)/2)*DB161*DE161*VLOOKUP('Données projet'!$B$13,Paramètres!$A$1:$I$89,3,0)*0.475*44/12</f>
        <v>6.2129048357317018E-11</v>
      </c>
      <c r="DI161" s="22">
        <f t="shared" si="175"/>
        <v>32.141060484308426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1">
        <f t="shared" si="140"/>
        <v>33.76074436286941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67">
        <f t="shared" si="110"/>
        <v>576.77485643199748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467.03705646400994</v>
      </c>
      <c r="T162" s="59">
        <f t="shared" si="142"/>
        <v>575.68119027684361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48.207945397756795</v>
      </c>
      <c r="AA162" s="21">
        <f>EXP(-LN(2)/25)*AA161+(1-EXP(-LN(2)/25))/(LN(2)/25)*Calculateur!V162*Calculateur!X162*VLOOKUP('Données projet'!$B$9,Paramètres!$A$1:$I$89,3,0)*0.475*44/12</f>
        <v>5.4870925351208166</v>
      </c>
      <c r="AB162" s="21">
        <f>EXP(-LN(2)/2)*AB161+(1-EXP(-LN(2)/2))/(LN(2)/2)*V162*Y162*VLOOKUP('Données projet'!$B$9,Paramètres!$A$1:$I$89,3,0)*0.475*44/12</f>
        <v>4.5428405184675016E-13</v>
      </c>
      <c r="AC162" s="22">
        <f t="shared" si="163"/>
        <v>53.695037932878066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-7.0940586738288402E-14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252.44760109054914</v>
      </c>
      <c r="AO162" s="59">
        <f t="shared" si="144"/>
        <v>121.75506329394773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59.132775808859158</v>
      </c>
      <c r="AV162" s="21">
        <f>EXP(-LN(2)/25)*AV161+(1-EXP(-LN(2)/25))/(LN(2)/25)*Calculateur!AQ162*Calculateur!AS162*VLOOKUP('Données projet'!$B$10,Paramètres!$A$1:$I$89,3,0)*0.475*44/12</f>
        <v>8.7252465029581696</v>
      </c>
      <c r="AW162" s="21">
        <f>EXP(-LN(2)/2)*AW161+(1-EXP(-LN(2)/2))/(LN(2)/2)*AQ162*AT162*VLOOKUP('Données projet'!$B$10,Paramètres!$A$1:$I$89,3,0)*0.475*44/12</f>
        <v>5.6844562330586547E-8</v>
      </c>
      <c r="AX162" s="21">
        <f t="shared" si="166"/>
        <v>67.858022368661878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-1.3596945791505279E-13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260.97162394079265</v>
      </c>
      <c r="BJ162" s="59">
        <f t="shared" si="146"/>
        <v>279.1836614199691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31.053506226966416</v>
      </c>
      <c r="BQ162" s="21">
        <f>EXP(-LN(2)/25)*BQ161+(1-EXP(-LN(2)/25))/(LN(2)/25)*Calculateur!BL162*Calculateur!BN162*VLOOKUP('Données projet'!$B$11,Paramètres!$A$1:$I$89,3,0)*0.475*44/12</f>
        <v>3.4687791925844116</v>
      </c>
      <c r="BR162" s="21">
        <f>EXP(-LN(2)/2)*BR161+(1-EXP(-LN(2)/2))/(LN(2)/2)*BL162*BO162*VLOOKUP('Données projet'!$B$11,Paramètres!$A$1:$I$89,3,0)*0.475*44/12</f>
        <v>3.5178657535783872E-13</v>
      </c>
      <c r="BS162" s="22">
        <f t="shared" si="169"/>
        <v>34.522285419551181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264.70281355687837</v>
      </c>
      <c r="CE162" s="59">
        <f t="shared" si="148"/>
        <v>199.74194600786768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42.876394867268949</v>
      </c>
      <c r="CL162" s="21">
        <f>EXP(-LN(2)/25)*CL161+(1-EXP(-LN(2)/25))/(LN(2)/25)*Calculateur!CG162*Calculateur!CI162*VLOOKUP('Données projet'!$B$12,Paramètres!$A$1:$I$89,3,0)*0.475*44/12</f>
        <v>5.4218500954326183</v>
      </c>
      <c r="CM162" s="21">
        <f>EXP(-LN(2)/2)*CM161+(1-EXP(-LN(2)/2))/(LN(2)/2)*CG162*CJ162*VLOOKUP('Données projet'!$B$12,Paramètres!$A$1:$I$89,3,0)*0.475*44/12</f>
        <v>1.2896885602757032E-10</v>
      </c>
      <c r="CN162" s="22">
        <f t="shared" si="172"/>
        <v>48.298244962830537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-6.5028871176764376E-14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149.8619613776458</v>
      </c>
      <c r="CZ162" s="59">
        <f t="shared" si="150"/>
        <v>108.55560257938146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27.98494169001609</v>
      </c>
      <c r="DG162" s="21">
        <f>EXP(-LN(2)/25)*DG161+(1-EXP(-LN(2)/25))/(LN(2)/25)*Calculateur!DB162*Calculateur!DD162*VLOOKUP('Données projet'!$B$13,Paramètres!$A$1:$I$89,3,0)*0.475*44/12</f>
        <v>3.4980318595351081</v>
      </c>
      <c r="DH162" s="21">
        <f>EXP(-LN(2)/2)*DH161+(1-EXP(-LN(2)/2))/(LN(2)/2)*DB162*DE162*VLOOKUP('Données projet'!$B$13,Paramètres!$A$1:$I$89,3,0)*0.475*44/12</f>
        <v>4.3931871402125794E-11</v>
      </c>
      <c r="DI162" s="22">
        <f t="shared" si="175"/>
        <v>31.48297354959513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1">
        <f t="shared" si="140"/>
        <v>33.948292161114985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67">
        <f t="shared" si="110"/>
        <v>578.51434218060854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467.03705646400994</v>
      </c>
      <c r="T163" s="59">
        <f t="shared" si="142"/>
        <v>575.68119027684361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47.262616992450077</v>
      </c>
      <c r="AA163" s="21">
        <f>EXP(-LN(2)/25)*AA162+(1-EXP(-LN(2)/25))/(LN(2)/25)*Calculateur!V163*Calculateur!X163*VLOOKUP('Données projet'!$B$9,Paramètres!$A$1:$I$89,3,0)*0.475*44/12</f>
        <v>5.3370477011942823</v>
      </c>
      <c r="AB163" s="21">
        <f>EXP(-LN(2)/2)*AB162+(1-EXP(-LN(2)/2))/(LN(2)/2)*V163*Y163*VLOOKUP('Données projet'!$B$9,Paramètres!$A$1:$I$89,3,0)*0.475*44/12</f>
        <v>3.2122733364573822E-13</v>
      </c>
      <c r="AC163" s="22">
        <f t="shared" si="163"/>
        <v>52.599664693644677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-7.0940586738288402E-14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252.44760109054914</v>
      </c>
      <c r="AO163" s="59">
        <f t="shared" si="144"/>
        <v>121.75506329394773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57.973218142679308</v>
      </c>
      <c r="AV163" s="21">
        <f>EXP(-LN(2)/25)*AV162+(1-EXP(-LN(2)/25))/(LN(2)/25)*Calculateur!AQ163*Calculateur!AS163*VLOOKUP('Données projet'!$B$10,Paramètres!$A$1:$I$89,3,0)*0.475*44/12</f>
        <v>8.4866541784940068</v>
      </c>
      <c r="AW163" s="21">
        <f>EXP(-LN(2)/2)*AW162+(1-EXP(-LN(2)/2))/(LN(2)/2)*AQ163*AT163*VLOOKUP('Données projet'!$B$10,Paramètres!$A$1:$I$89,3,0)*0.475*44/12</f>
        <v>4.0195175497539123E-8</v>
      </c>
      <c r="AX163" s="21">
        <f t="shared" si="166"/>
        <v>66.459872361368497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-1.3596945791505279E-13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260.97162394079265</v>
      </c>
      <c r="BJ163" s="59">
        <f t="shared" si="146"/>
        <v>279.1836614199691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30.444565910624156</v>
      </c>
      <c r="BQ163" s="21">
        <f>EXP(-LN(2)/25)*BQ162+(1-EXP(-LN(2)/25))/(LN(2)/25)*Calculateur!BL163*Calculateur!BN163*VLOOKUP('Données projet'!$B$11,Paramètres!$A$1:$I$89,3,0)*0.475*44/12</f>
        <v>3.3739252431480211</v>
      </c>
      <c r="BR163" s="21">
        <f>EXP(-LN(2)/2)*BR162+(1-EXP(-LN(2)/2))/(LN(2)/2)*BL163*BO163*VLOOKUP('Données projet'!$B$11,Paramètres!$A$1:$I$89,3,0)*0.475*44/12</f>
        <v>2.4875067296592017E-13</v>
      </c>
      <c r="BS163" s="22">
        <f t="shared" si="169"/>
        <v>33.818491153772428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264.70281355687837</v>
      </c>
      <c r="CE163" s="59">
        <f t="shared" si="148"/>
        <v>199.74194600786768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42.035614915940378</v>
      </c>
      <c r="CL163" s="21">
        <f>EXP(-LN(2)/25)*CL162+(1-EXP(-LN(2)/25))/(LN(2)/25)*Calculateur!CG163*Calculateur!CI163*VLOOKUP('Données projet'!$B$12,Paramètres!$A$1:$I$89,3,0)*0.475*44/12</f>
        <v>5.2735893194503083</v>
      </c>
      <c r="CM163" s="21">
        <f>EXP(-LN(2)/2)*CM162+(1-EXP(-LN(2)/2))/(LN(2)/2)*CG163*CJ163*VLOOKUP('Données projet'!$B$12,Paramètres!$A$1:$I$89,3,0)*0.475*44/12</f>
        <v>9.1194752658966521E-11</v>
      </c>
      <c r="CN163" s="22">
        <f t="shared" si="172"/>
        <v>47.309204235481886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-6.5028871176764376E-14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149.8619613776458</v>
      </c>
      <c r="CZ163" s="59">
        <f t="shared" si="150"/>
        <v>108.55560257938146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27.436174052603867</v>
      </c>
      <c r="DG163" s="21">
        <f>EXP(-LN(2)/25)*DG162+(1-EXP(-LN(2)/25))/(LN(2)/25)*Calculateur!DB163*Calculateur!DD163*VLOOKUP('Données projet'!$B$13,Paramètres!$A$1:$I$89,3,0)*0.475*44/12</f>
        <v>3.4023779943826198</v>
      </c>
      <c r="DH163" s="21">
        <f>EXP(-LN(2)/2)*DH162+(1-EXP(-LN(2)/2))/(LN(2)/2)*DB163*DE163*VLOOKUP('Données projet'!$B$13,Paramètres!$A$1:$I$89,3,0)*0.475*44/12</f>
        <v>3.1064524178658509E-11</v>
      </c>
      <c r="DI163" s="22">
        <f t="shared" si="175"/>
        <v>30.838552047017551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1">
        <f t="shared" si="140"/>
        <v>34.135703567016428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67">
        <f t="shared" si="110"/>
        <v>580.25359037922021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467.03705646400994</v>
      </c>
      <c r="T164" s="59">
        <f t="shared" si="142"/>
        <v>575.68119027684361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46.33582590057803</v>
      </c>
      <c r="AA164" s="21">
        <f>EXP(-LN(2)/25)*AA163+(1-EXP(-LN(2)/25))/(LN(2)/25)*Calculateur!V164*Calculateur!X164*VLOOKUP('Données projet'!$B$9,Paramètres!$A$1:$I$89,3,0)*0.475*44/12</f>
        <v>5.1911058511419839</v>
      </c>
      <c r="AB164" s="21">
        <f>EXP(-LN(2)/2)*AB163+(1-EXP(-LN(2)/2))/(LN(2)/2)*V164*Y164*VLOOKUP('Données projet'!$B$9,Paramètres!$A$1:$I$89,3,0)*0.475*44/12</f>
        <v>2.2714202592337513E-13</v>
      </c>
      <c r="AC164" s="22">
        <f t="shared" si="163"/>
        <v>51.526931751720241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-7.0940586738288402E-14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252.44760109054914</v>
      </c>
      <c r="AO164" s="59">
        <f t="shared" si="144"/>
        <v>121.75506329394773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56.836398695072909</v>
      </c>
      <c r="AV164" s="21">
        <f>EXP(-LN(2)/25)*AV163+(1-EXP(-LN(2)/25))/(LN(2)/25)*Calculateur!AQ164*Calculateur!AS164*VLOOKUP('Données projet'!$B$10,Paramètres!$A$1:$I$89,3,0)*0.475*44/12</f>
        <v>8.2545861736893418</v>
      </c>
      <c r="AW164" s="21">
        <f>EXP(-LN(2)/2)*AW163+(1-EXP(-LN(2)/2))/(LN(2)/2)*AQ164*AT164*VLOOKUP('Données projet'!$B$10,Paramètres!$A$1:$I$89,3,0)*0.475*44/12</f>
        <v>2.8422281165293273E-8</v>
      </c>
      <c r="AX164" s="21">
        <f t="shared" si="166"/>
        <v>65.090984897184526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-1.3596945791505279E-13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260.97162394079265</v>
      </c>
      <c r="BJ164" s="59">
        <f t="shared" si="146"/>
        <v>279.1836614199691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29.847566542468449</v>
      </c>
      <c r="BQ164" s="21">
        <f>EXP(-LN(2)/25)*BQ163+(1-EXP(-LN(2)/25))/(LN(2)/25)*Calculateur!BL164*Calculateur!BN164*VLOOKUP('Données projet'!$B$11,Paramètres!$A$1:$I$89,3,0)*0.475*44/12</f>
        <v>3.2816650799471212</v>
      </c>
      <c r="BR164" s="21">
        <f>EXP(-LN(2)/2)*BR163+(1-EXP(-LN(2)/2))/(LN(2)/2)*BL164*BO164*VLOOKUP('Données projet'!$B$11,Paramètres!$A$1:$I$89,3,0)*0.475*44/12</f>
        <v>1.7589328767891936E-13</v>
      </c>
      <c r="BS164" s="22">
        <f t="shared" si="169"/>
        <v>33.129231622415752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264.70281355687837</v>
      </c>
      <c r="CE164" s="59">
        <f t="shared" si="148"/>
        <v>199.74194600786768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41.211322146632227</v>
      </c>
      <c r="CL164" s="21">
        <f>EXP(-LN(2)/25)*CL163+(1-EXP(-LN(2)/25))/(LN(2)/25)*Calculateur!CG164*Calculateur!CI164*VLOOKUP('Données projet'!$B$12,Paramètres!$A$1:$I$89,3,0)*0.475*44/12</f>
        <v>5.12938274218393</v>
      </c>
      <c r="CM164" s="21">
        <f>EXP(-LN(2)/2)*CM163+(1-EXP(-LN(2)/2))/(LN(2)/2)*CG164*CJ164*VLOOKUP('Données projet'!$B$12,Paramètres!$A$1:$I$89,3,0)*0.475*44/12</f>
        <v>6.4484428013785162E-11</v>
      </c>
      <c r="CN164" s="22">
        <f t="shared" si="172"/>
        <v>46.340704888880637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-6.5028871176764376E-14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149.8619613776458</v>
      </c>
      <c r="CZ164" s="59">
        <f t="shared" si="150"/>
        <v>108.55560257938146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26.898167413846092</v>
      </c>
      <c r="DG164" s="21">
        <f>EXP(-LN(2)/25)*DG163+(1-EXP(-LN(2)/25))/(LN(2)/25)*Calculateur!DB164*Calculateur!DD164*VLOOKUP('Données projet'!$B$13,Paramètres!$A$1:$I$89,3,0)*0.475*44/12</f>
        <v>3.3093397892029444</v>
      </c>
      <c r="DH164" s="21">
        <f>EXP(-LN(2)/2)*DH163+(1-EXP(-LN(2)/2))/(LN(2)/2)*DB164*DE164*VLOOKUP('Données projet'!$B$13,Paramètres!$A$1:$I$89,3,0)*0.475*44/12</f>
        <v>2.1965935701062897E-11</v>
      </c>
      <c r="DI164" s="22">
        <f t="shared" si="175"/>
        <v>30.207507203071003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1">
        <f t="shared" si="140"/>
        <v>34.32297952601067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67">
        <f t="shared" si="110"/>
        <v>581.99260267446857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467.03705646400994</v>
      </c>
      <c r="T165" s="59">
        <f t="shared" si="142"/>
        <v>575.68119027684361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45.427208616730844</v>
      </c>
      <c r="AA165" s="21">
        <f>EXP(-LN(2)/25)*AA164+(1-EXP(-LN(2)/25))/(LN(2)/25)*Calculateur!V165*Calculateur!X165*VLOOKUP('Données projet'!$B$9,Paramètres!$A$1:$I$89,3,0)*0.475*44/12</f>
        <v>5.0491547886541142</v>
      </c>
      <c r="AB165" s="21">
        <f>EXP(-LN(2)/2)*AB164+(1-EXP(-LN(2)/2))/(LN(2)/2)*V165*Y165*VLOOKUP('Données projet'!$B$9,Paramètres!$A$1:$I$89,3,0)*0.475*44/12</f>
        <v>1.6061366682286913E-13</v>
      </c>
      <c r="AC165" s="22">
        <f t="shared" si="163"/>
        <v>50.476363405385122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-7.0940586738288402E-14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252.44760109054914</v>
      </c>
      <c r="AO165" s="59">
        <f t="shared" si="144"/>
        <v>121.75506329394773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55.72187158344267</v>
      </c>
      <c r="AV165" s="21">
        <f>EXP(-LN(2)/25)*AV164+(1-EXP(-LN(2)/25))/(LN(2)/25)*Calculateur!AQ165*Calculateur!AS165*VLOOKUP('Données projet'!$B$10,Paramètres!$A$1:$I$89,3,0)*0.475*44/12</f>
        <v>8.0288640806799858</v>
      </c>
      <c r="AW165" s="21">
        <f>EXP(-LN(2)/2)*AW164+(1-EXP(-LN(2)/2))/(LN(2)/2)*AQ165*AT165*VLOOKUP('Données projet'!$B$10,Paramètres!$A$1:$I$89,3,0)*0.475*44/12</f>
        <v>2.0097587748769561E-8</v>
      </c>
      <c r="AX165" s="21">
        <f t="shared" si="166"/>
        <v>63.750735684220246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-1.3596945791505279E-13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260.97162394079265</v>
      </c>
      <c r="BJ165" s="59">
        <f t="shared" si="146"/>
        <v>279.1836614199691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29.262273967788619</v>
      </c>
      <c r="BQ165" s="21">
        <f>EXP(-LN(2)/25)*BQ164+(1-EXP(-LN(2)/25))/(LN(2)/25)*Calculateur!BL165*Calculateur!BN165*VLOOKUP('Données projet'!$B$11,Paramètres!$A$1:$I$89,3,0)*0.475*44/12</f>
        <v>3.1919277757607007</v>
      </c>
      <c r="BR165" s="21">
        <f>EXP(-LN(2)/2)*BR164+(1-EXP(-LN(2)/2))/(LN(2)/2)*BL165*BO165*VLOOKUP('Données projet'!$B$11,Paramètres!$A$1:$I$89,3,0)*0.475*44/12</f>
        <v>1.2437533648296009E-13</v>
      </c>
      <c r="BS165" s="22">
        <f t="shared" si="169"/>
        <v>32.454201743549447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264.70281355687837</v>
      </c>
      <c r="CE165" s="59">
        <f t="shared" si="148"/>
        <v>199.74194600786768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40.403193255761266</v>
      </c>
      <c r="CL165" s="21">
        <f>EXP(-LN(2)/25)*CL164+(1-EXP(-LN(2)/25))/(LN(2)/25)*Calculateur!CG165*Calculateur!CI165*VLOOKUP('Données projet'!$B$12,Paramètres!$A$1:$I$89,3,0)*0.475*44/12</f>
        <v>4.9891195013563951</v>
      </c>
      <c r="CM165" s="21">
        <f>EXP(-LN(2)/2)*CM164+(1-EXP(-LN(2)/2))/(LN(2)/2)*CG165*CJ165*VLOOKUP('Données projet'!$B$12,Paramètres!$A$1:$I$89,3,0)*0.475*44/12</f>
        <v>4.559737632948326E-11</v>
      </c>
      <c r="CN165" s="22">
        <f t="shared" si="172"/>
        <v>45.392312757163261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-6.5028871176764376E-14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149.8619613776458</v>
      </c>
      <c r="CZ165" s="59">
        <f t="shared" si="150"/>
        <v>108.55560257938146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26.370710757122708</v>
      </c>
      <c r="DG165" s="21">
        <f>EXP(-LN(2)/25)*DG164+(1-EXP(-LN(2)/25))/(LN(2)/25)*Calculateur!DB165*Calculateur!DD165*VLOOKUP('Données projet'!$B$13,Paramètres!$A$1:$I$89,3,0)*0.475*44/12</f>
        <v>3.2188457186365738</v>
      </c>
      <c r="DH165" s="21">
        <f>EXP(-LN(2)/2)*DH164+(1-EXP(-LN(2)/2))/(LN(2)/2)*DB165*DE165*VLOOKUP('Données projet'!$B$13,Paramètres!$A$1:$I$89,3,0)*0.475*44/12</f>
        <v>1.5532262089329254E-11</v>
      </c>
      <c r="DI165" s="22">
        <f t="shared" si="175"/>
        <v>29.589556475774813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1">
        <f t="shared" si="140"/>
        <v>34.510120971187391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67">
        <f t="shared" si="110"/>
        <v>583.73138069148467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467.03705646400994</v>
      </c>
      <c r="T166" s="59">
        <f t="shared" si="142"/>
        <v>575.68119027684361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44.536408763618084</v>
      </c>
      <c r="AA166" s="21">
        <f>EXP(-LN(2)/25)*AA165+(1-EXP(-LN(2)/25))/(LN(2)/25)*Calculateur!V166*Calculateur!X166*VLOOKUP('Données projet'!$B$9,Paramètres!$A$1:$I$89,3,0)*0.475*44/12</f>
        <v>4.9110853854348573</v>
      </c>
      <c r="AB166" s="21">
        <f>EXP(-LN(2)/2)*AB165+(1-EXP(-LN(2)/2))/(LN(2)/2)*V166*Y166*VLOOKUP('Données projet'!$B$9,Paramètres!$A$1:$I$89,3,0)*0.475*44/12</f>
        <v>1.1357101296168758E-13</v>
      </c>
      <c r="AC166" s="22">
        <f t="shared" si="163"/>
        <v>49.447494149053057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-7.0940586738288402E-14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252.44760109054914</v>
      </c>
      <c r="AO166" s="59">
        <f t="shared" si="144"/>
        <v>121.75506329394773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54.629199668677089</v>
      </c>
      <c r="AV166" s="21">
        <f>EXP(-LN(2)/25)*AV165+(1-EXP(-LN(2)/25))/(LN(2)/25)*Calculateur!AQ166*Calculateur!AS166*VLOOKUP('Données projet'!$B$10,Paramètres!$A$1:$I$89,3,0)*0.475*44/12</f>
        <v>7.8093143701741798</v>
      </c>
      <c r="AW166" s="21">
        <f>EXP(-LN(2)/2)*AW165+(1-EXP(-LN(2)/2))/(LN(2)/2)*AQ166*AT166*VLOOKUP('Données projet'!$B$10,Paramètres!$A$1:$I$89,3,0)*0.475*44/12</f>
        <v>1.4211140582646637E-8</v>
      </c>
      <c r="AX166" s="21">
        <f t="shared" si="166"/>
        <v>62.438514053062406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-1.3596945791505279E-13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260.97162394079265</v>
      </c>
      <c r="BJ166" s="59">
        <f t="shared" si="146"/>
        <v>279.1836614199691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28.688458623505039</v>
      </c>
      <c r="BQ166" s="21">
        <f>EXP(-LN(2)/25)*BQ165+(1-EXP(-LN(2)/25))/(LN(2)/25)*Calculateur!BL166*Calculateur!BN166*VLOOKUP('Données projet'!$B$11,Paramètres!$A$1:$I$89,3,0)*0.475*44/12</f>
        <v>3.1046443428763379</v>
      </c>
      <c r="BR166" s="21">
        <f>EXP(-LN(2)/2)*BR165+(1-EXP(-LN(2)/2))/(LN(2)/2)*BL166*BO166*VLOOKUP('Données projet'!$B$11,Paramètres!$A$1:$I$89,3,0)*0.475*44/12</f>
        <v>8.7946643839459679E-14</v>
      </c>
      <c r="BS166" s="22">
        <f t="shared" si="169"/>
        <v>31.793102966381465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264.70281355687837</v>
      </c>
      <c r="CE166" s="59">
        <f t="shared" si="148"/>
        <v>199.74194600786768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39.610911279530328</v>
      </c>
      <c r="CL166" s="21">
        <f>EXP(-LN(2)/25)*CL165+(1-EXP(-LN(2)/25))/(LN(2)/25)*Calculateur!CG166*Calculateur!CI166*VLOOKUP('Données projet'!$B$12,Paramètres!$A$1:$I$89,3,0)*0.475*44/12</f>
        <v>4.852691766225413</v>
      </c>
      <c r="CM166" s="21">
        <f>EXP(-LN(2)/2)*CM165+(1-EXP(-LN(2)/2))/(LN(2)/2)*CG166*CJ166*VLOOKUP('Données projet'!$B$12,Paramètres!$A$1:$I$89,3,0)*0.475*44/12</f>
        <v>3.2242214006892581E-11</v>
      </c>
      <c r="CN166" s="22">
        <f t="shared" si="172"/>
        <v>44.463603045787984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-6.5028871176764376E-14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149.8619613776458</v>
      </c>
      <c r="CZ166" s="59">
        <f t="shared" si="150"/>
        <v>108.55560257938146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25.853597203720877</v>
      </c>
      <c r="DG166" s="21">
        <f>EXP(-LN(2)/25)*DG165+(1-EXP(-LN(2)/25))/(LN(2)/25)*Calculateur!DB166*Calculateur!DD166*VLOOKUP('Données projet'!$B$13,Paramètres!$A$1:$I$89,3,0)*0.475*44/12</f>
        <v>3.1308262131887172</v>
      </c>
      <c r="DH166" s="21">
        <f>EXP(-LN(2)/2)*DH165+(1-EXP(-LN(2)/2))/(LN(2)/2)*DB166*DE166*VLOOKUP('Données projet'!$B$13,Paramètres!$A$1:$I$89,3,0)*0.475*44/12</f>
        <v>1.0982967850531449E-11</v>
      </c>
      <c r="DI166" s="22">
        <f t="shared" si="175"/>
        <v>28.984423416920574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1">
        <f t="shared" si="140"/>
        <v>34.697128823525262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67">
        <f t="shared" si="110"/>
        <v>585.46992603430647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467.03705646400994</v>
      </c>
      <c r="T167" s="59">
        <f t="shared" si="142"/>
        <v>575.68119027684361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43.663076952290602</v>
      </c>
      <c r="AA167" s="21">
        <f>EXP(-LN(2)/25)*AA166+(1-EXP(-LN(2)/25))/(LN(2)/25)*Calculateur!V167*Calculateur!X167*VLOOKUP('Données projet'!$B$9,Paramètres!$A$1:$I$89,3,0)*0.475*44/12</f>
        <v>4.7767914973073848</v>
      </c>
      <c r="AB167" s="21">
        <f>EXP(-LN(2)/2)*AB166+(1-EXP(-LN(2)/2))/(LN(2)/2)*V167*Y167*VLOOKUP('Données projet'!$B$9,Paramètres!$A$1:$I$89,3,0)*0.475*44/12</f>
        <v>8.0306833411434579E-14</v>
      </c>
      <c r="AC167" s="22">
        <f t="shared" si="163"/>
        <v>48.439868449598066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-7.0940586738288402E-14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252.44760109054914</v>
      </c>
      <c r="AO167" s="59">
        <f t="shared" si="144"/>
        <v>121.75506329394773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53.557954383696</v>
      </c>
      <c r="AV167" s="21">
        <f>EXP(-LN(2)/25)*AV166+(1-EXP(-LN(2)/25))/(LN(2)/25)*Calculateur!AQ167*Calculateur!AS167*VLOOKUP('Données projet'!$B$10,Paramètres!$A$1:$I$89,3,0)*0.475*44/12</f>
        <v>7.595768258047773</v>
      </c>
      <c r="AW167" s="21">
        <f>EXP(-LN(2)/2)*AW166+(1-EXP(-LN(2)/2))/(LN(2)/2)*AQ167*AT167*VLOOKUP('Données projet'!$B$10,Paramètres!$A$1:$I$89,3,0)*0.475*44/12</f>
        <v>1.0048793874384781E-8</v>
      </c>
      <c r="AX167" s="21">
        <f t="shared" si="166"/>
        <v>61.153722651792563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-1.3596945791505279E-13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260.97162394079265</v>
      </c>
      <c r="BJ167" s="59">
        <f t="shared" si="146"/>
        <v>279.1836614199691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28.125895448130059</v>
      </c>
      <c r="BQ167" s="21">
        <f>EXP(-LN(2)/25)*BQ166+(1-EXP(-LN(2)/25))/(LN(2)/25)*Calculateur!BL167*Calculateur!BN167*VLOOKUP('Données projet'!$B$11,Paramètres!$A$1:$I$89,3,0)*0.475*44/12</f>
        <v>3.0197476800542344</v>
      </c>
      <c r="BR167" s="21">
        <f>EXP(-LN(2)/2)*BR166+(1-EXP(-LN(2)/2))/(LN(2)/2)*BL167*BO167*VLOOKUP('Données projet'!$B$11,Paramètres!$A$1:$I$89,3,0)*0.475*44/12</f>
        <v>6.2187668241480043E-14</v>
      </c>
      <c r="BS167" s="22">
        <f t="shared" si="169"/>
        <v>31.145643128184357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264.70281355687837</v>
      </c>
      <c r="CE167" s="59">
        <f t="shared" si="148"/>
        <v>199.74194600786768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38.83416546960899</v>
      </c>
      <c r="CL167" s="21">
        <f>EXP(-LN(2)/25)*CL166+(1-EXP(-LN(2)/25))/(LN(2)/25)*Calculateur!CG167*Calculateur!CI167*VLOOKUP('Données projet'!$B$12,Paramètres!$A$1:$I$89,3,0)*0.475*44/12</f>
        <v>4.7199946546860101</v>
      </c>
      <c r="CM167" s="21">
        <f>EXP(-LN(2)/2)*CM166+(1-EXP(-LN(2)/2))/(LN(2)/2)*CG167*CJ167*VLOOKUP('Données projet'!$B$12,Paramètres!$A$1:$I$89,3,0)*0.475*44/12</f>
        <v>2.279868816474163E-11</v>
      </c>
      <c r="CN167" s="22">
        <f t="shared" si="172"/>
        <v>43.554160124317804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-6.5028871176764376E-14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149.8619613776458</v>
      </c>
      <c r="CZ167" s="59">
        <f t="shared" si="150"/>
        <v>108.55560257938146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25.346623931693131</v>
      </c>
      <c r="DG167" s="21">
        <f>EXP(-LN(2)/25)*DG166+(1-EXP(-LN(2)/25))/(LN(2)/25)*Calculateur!DB167*Calculateur!DD167*VLOOKUP('Données projet'!$B$13,Paramètres!$A$1:$I$89,3,0)*0.475*44/12</f>
        <v>3.0452136057460768</v>
      </c>
      <c r="DH167" s="21">
        <f>EXP(-LN(2)/2)*DH166+(1-EXP(-LN(2)/2))/(LN(2)/2)*DB167*DE167*VLOOKUP('Données projet'!$B$13,Paramètres!$A$1:$I$89,3,0)*0.475*44/12</f>
        <v>7.7661310446646272E-12</v>
      </c>
      <c r="DI167" s="22">
        <f t="shared" si="175"/>
        <v>28.391837537446975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1">
        <f t="shared" si="140"/>
        <v>34.884003992121691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67">
        <f t="shared" si="110"/>
        <v>587.20824028627862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467.03705646400994</v>
      </c>
      <c r="T168" s="59">
        <f t="shared" si="142"/>
        <v>575.68119027684361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42.806870645103444</v>
      </c>
      <c r="AA168" s="21">
        <f>EXP(-LN(2)/25)*AA167+(1-EXP(-LN(2)/25))/(LN(2)/25)*Calculateur!V168*Calculateur!X168*VLOOKUP('Données projet'!$B$9,Paramètres!$A$1:$I$89,3,0)*0.475*44/12</f>
        <v>4.6461698826129672</v>
      </c>
      <c r="AB168" s="21">
        <f>EXP(-LN(2)/2)*AB167+(1-EXP(-LN(2)/2))/(LN(2)/2)*V168*Y168*VLOOKUP('Données projet'!$B$9,Paramètres!$A$1:$I$89,3,0)*0.475*44/12</f>
        <v>5.6785506480843802E-14</v>
      </c>
      <c r="AC168" s="22">
        <f t="shared" si="163"/>
        <v>47.453040527716468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-7.0940586738288402E-14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252.44760109054914</v>
      </c>
      <c r="AO168" s="59">
        <f t="shared" si="144"/>
        <v>121.75506329394773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52.507715565358282</v>
      </c>
      <c r="AV168" s="21">
        <f>EXP(-LN(2)/25)*AV167+(1-EXP(-LN(2)/25))/(LN(2)/25)*Calculateur!AQ168*Calculateur!AS168*VLOOKUP('Données projet'!$B$10,Paramètres!$A$1:$I$89,3,0)*0.475*44/12</f>
        <v>7.388061575587364</v>
      </c>
      <c r="AW168" s="21">
        <f>EXP(-LN(2)/2)*AW167+(1-EXP(-LN(2)/2))/(LN(2)/2)*AQ168*AT168*VLOOKUP('Données projet'!$B$10,Paramètres!$A$1:$I$89,3,0)*0.475*44/12</f>
        <v>7.1055702913233183E-9</v>
      </c>
      <c r="AX168" s="21">
        <f t="shared" si="166"/>
        <v>59.895777148051216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-1.3596945791505279E-13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260.97162394079265</v>
      </c>
      <c r="BJ168" s="59">
        <f t="shared" si="146"/>
        <v>279.1836614199691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27.574363793494527</v>
      </c>
      <c r="BQ168" s="21">
        <f>EXP(-LN(2)/25)*BQ167+(1-EXP(-LN(2)/25))/(LN(2)/25)*Calculateur!BL168*Calculateur!BN168*VLOOKUP('Données projet'!$B$11,Paramètres!$A$1:$I$89,3,0)*0.475*44/12</f>
        <v>2.9371725209415227</v>
      </c>
      <c r="BR168" s="21">
        <f>EXP(-LN(2)/2)*BR167+(1-EXP(-LN(2)/2))/(LN(2)/2)*BL168*BO168*VLOOKUP('Données projet'!$B$11,Paramètres!$A$1:$I$89,3,0)*0.475*44/12</f>
        <v>4.397332191972984E-14</v>
      </c>
      <c r="BS168" s="22">
        <f t="shared" si="169"/>
        <v>30.511536314436093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264.70281355687837</v>
      </c>
      <c r="CE168" s="59">
        <f t="shared" si="148"/>
        <v>199.74194600786768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38.072651171252048</v>
      </c>
      <c r="CL168" s="21">
        <f>EXP(-LN(2)/25)*CL167+(1-EXP(-LN(2)/25))/(LN(2)/25)*Calculateur!CG168*Calculateur!CI168*VLOOKUP('Données projet'!$B$12,Paramètres!$A$1:$I$89,3,0)*0.475*44/12</f>
        <v>4.5909261526398897</v>
      </c>
      <c r="CM168" s="21">
        <f>EXP(-LN(2)/2)*CM167+(1-EXP(-LN(2)/2))/(LN(2)/2)*CG168*CJ168*VLOOKUP('Données projet'!$B$12,Paramètres!$A$1:$I$89,3,0)*0.475*44/12</f>
        <v>1.6121107003446291E-11</v>
      </c>
      <c r="CN168" s="22">
        <f t="shared" si="172"/>
        <v>42.663577323908058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-6.5028871176764376E-14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149.8619613776458</v>
      </c>
      <c r="CZ168" s="59">
        <f t="shared" si="150"/>
        <v>108.55560257938146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24.849592096306687</v>
      </c>
      <c r="DG168" s="21">
        <f>EXP(-LN(2)/25)*DG167+(1-EXP(-LN(2)/25))/(LN(2)/25)*Calculateur!DB168*Calculateur!DD168*VLOOKUP('Données projet'!$B$13,Paramètres!$A$1:$I$89,3,0)*0.475*44/12</f>
        <v>2.9619420795561267</v>
      </c>
      <c r="DH168" s="21">
        <f>EXP(-LN(2)/2)*DH167+(1-EXP(-LN(2)/2))/(LN(2)/2)*DB168*DE168*VLOOKUP('Données projet'!$B$13,Paramètres!$A$1:$I$89,3,0)*0.475*44/12</f>
        <v>5.4914839252657243E-12</v>
      </c>
      <c r="DI168" s="22">
        <f t="shared" si="175"/>
        <v>27.811534175868307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1">
        <f t="shared" si="140"/>
        <v>35.07074737441733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67">
        <f t="shared" si="110"/>
        <v>588.94632501044362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467.03705646400994</v>
      </c>
      <c r="T169" s="59">
        <f t="shared" si="142"/>
        <v>575.68119027684361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41.967454021365953</v>
      </c>
      <c r="AA169" s="21">
        <f>EXP(-LN(2)/25)*AA168+(1-EXP(-LN(2)/25))/(LN(2)/25)*Calculateur!V169*Calculateur!X169*VLOOKUP('Données projet'!$B$9,Paramètres!$A$1:$I$89,3,0)*0.475*44/12</f>
        <v>4.5191201228414606</v>
      </c>
      <c r="AB169" s="21">
        <f>EXP(-LN(2)/2)*AB168+(1-EXP(-LN(2)/2))/(LN(2)/2)*V169*Y169*VLOOKUP('Données projet'!$B$9,Paramètres!$A$1:$I$89,3,0)*0.475*44/12</f>
        <v>4.0153416705717296E-14</v>
      </c>
      <c r="AC169" s="22">
        <f t="shared" si="163"/>
        <v>46.486574144207452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-7.0940586738288402E-14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252.44760109054914</v>
      </c>
      <c r="AO169" s="59">
        <f t="shared" si="144"/>
        <v>121.75506329394773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51.478071289665742</v>
      </c>
      <c r="AV169" s="21">
        <f>EXP(-LN(2)/25)*AV168+(1-EXP(-LN(2)/25))/(LN(2)/25)*Calculateur!AQ169*Calculateur!AS169*VLOOKUP('Données projet'!$B$10,Paramètres!$A$1:$I$89,3,0)*0.475*44/12</f>
        <v>7.1860346432816549</v>
      </c>
      <c r="AW169" s="21">
        <f>EXP(-LN(2)/2)*AW168+(1-EXP(-LN(2)/2))/(LN(2)/2)*AQ169*AT169*VLOOKUP('Données projet'!$B$10,Paramètres!$A$1:$I$89,3,0)*0.475*44/12</f>
        <v>5.0243969371923903E-9</v>
      </c>
      <c r="AX169" s="21">
        <f t="shared" si="166"/>
        <v>58.66410593797179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-1.3596945791505279E-13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260.97162394079265</v>
      </c>
      <c r="BJ169" s="59">
        <f t="shared" si="146"/>
        <v>279.1836614199691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27.033647338205306</v>
      </c>
      <c r="BQ169" s="21">
        <f>EXP(-LN(2)/25)*BQ168+(1-EXP(-LN(2)/25))/(LN(2)/25)*Calculateur!BL169*Calculateur!BN169*VLOOKUP('Données projet'!$B$11,Paramètres!$A$1:$I$89,3,0)*0.475*44/12</f>
        <v>2.8568553838971869</v>
      </c>
      <c r="BR169" s="21">
        <f>EXP(-LN(2)/2)*BR168+(1-EXP(-LN(2)/2))/(LN(2)/2)*BL169*BO169*VLOOKUP('Données projet'!$B$11,Paramètres!$A$1:$I$89,3,0)*0.475*44/12</f>
        <v>3.1093834120740022E-14</v>
      </c>
      <c r="BS169" s="22">
        <f t="shared" si="169"/>
        <v>29.890502722102525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264.70281355687837</v>
      </c>
      <c r="CE169" s="59">
        <f t="shared" si="148"/>
        <v>199.74194600786768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37.326069703808024</v>
      </c>
      <c r="CL169" s="21">
        <f>EXP(-LN(2)/25)*CL168+(1-EXP(-LN(2)/25))/(LN(2)/25)*Calculateur!CG169*Calculateur!CI169*VLOOKUP('Données projet'!$B$12,Paramètres!$A$1:$I$89,3,0)*0.475*44/12</f>
        <v>4.4653870355696386</v>
      </c>
      <c r="CM169" s="21">
        <f>EXP(-LN(2)/2)*CM168+(1-EXP(-LN(2)/2))/(LN(2)/2)*CG169*CJ169*VLOOKUP('Données projet'!$B$12,Paramètres!$A$1:$I$89,3,0)*0.475*44/12</f>
        <v>1.1399344082370815E-11</v>
      </c>
      <c r="CN169" s="22">
        <f t="shared" si="172"/>
        <v>41.791456739389062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-6.5028871176764376E-14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149.8619613776458</v>
      </c>
      <c r="CZ169" s="59">
        <f t="shared" si="150"/>
        <v>108.55560257938146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24.362306752052685</v>
      </c>
      <c r="DG169" s="21">
        <f>EXP(-LN(2)/25)*DG168+(1-EXP(-LN(2)/25))/(LN(2)/25)*Calculateur!DB169*Calculateur!DD169*VLOOKUP('Données projet'!$B$13,Paramètres!$A$1:$I$89,3,0)*0.475*44/12</f>
        <v>2.8809476176288999</v>
      </c>
      <c r="DH169" s="21">
        <f>EXP(-LN(2)/2)*DH168+(1-EXP(-LN(2)/2))/(LN(2)/2)*DB169*DE169*VLOOKUP('Données projet'!$B$13,Paramètres!$A$1:$I$89,3,0)*0.475*44/12</f>
        <v>3.8830655223323136E-12</v>
      </c>
      <c r="DI169" s="22">
        <f t="shared" si="175"/>
        <v>27.24325436968547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1">
        <f t="shared" si="140"/>
        <v>35.257359856414858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67">
        <f t="shared" si="110"/>
        <v>590.68418174992269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467.03705646400994</v>
      </c>
      <c r="T170" s="59">
        <f t="shared" si="142"/>
        <v>575.68119027684361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41.144497845626361</v>
      </c>
      <c r="AA170" s="21">
        <f>EXP(-LN(2)/25)*AA169+(1-EXP(-LN(2)/25))/(LN(2)/25)*Calculateur!V170*Calculateur!X170*VLOOKUP('Données projet'!$B$9,Paramètres!$A$1:$I$89,3,0)*0.475*44/12</f>
        <v>4.3955445454321618</v>
      </c>
      <c r="AB170" s="21">
        <f>EXP(-LN(2)/2)*AB169+(1-EXP(-LN(2)/2))/(LN(2)/2)*V170*Y170*VLOOKUP('Données projet'!$B$9,Paramètres!$A$1:$I$89,3,0)*0.475*44/12</f>
        <v>2.8392753240421904E-14</v>
      </c>
      <c r="AC170" s="22">
        <f t="shared" si="163"/>
        <v>45.540042391058549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-7.0940586738288402E-14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252.44760109054914</v>
      </c>
      <c r="AO170" s="59">
        <f t="shared" si="144"/>
        <v>121.75506329394773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50.468617710198536</v>
      </c>
      <c r="AV170" s="21">
        <f>EXP(-LN(2)/25)*AV169+(1-EXP(-LN(2)/25))/(LN(2)/25)*Calculateur!AQ170*Calculateur!AS170*VLOOKUP('Données projet'!$B$10,Paramètres!$A$1:$I$89,3,0)*0.475*44/12</f>
        <v>6.9895321480639803</v>
      </c>
      <c r="AW170" s="21">
        <f>EXP(-LN(2)/2)*AW169+(1-EXP(-LN(2)/2))/(LN(2)/2)*AQ170*AT170*VLOOKUP('Données projet'!$B$10,Paramètres!$A$1:$I$89,3,0)*0.475*44/12</f>
        <v>3.5527851456616592E-9</v>
      </c>
      <c r="AX170" s="21">
        <f t="shared" si="166"/>
        <v>57.458149861815301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-1.3596945791505279E-13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260.97162394079265</v>
      </c>
      <c r="BJ170" s="59">
        <f t="shared" si="146"/>
        <v>279.1836614199691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26.503534002799832</v>
      </c>
      <c r="BQ170" s="21">
        <f>EXP(-LN(2)/25)*BQ169+(1-EXP(-LN(2)/25))/(LN(2)/25)*Calculateur!BL170*Calculateur!BN170*VLOOKUP('Données projet'!$B$11,Paramètres!$A$1:$I$89,3,0)*0.475*44/12</f>
        <v>2.7787345231890233</v>
      </c>
      <c r="BR170" s="21">
        <f>EXP(-LN(2)/2)*BR169+(1-EXP(-LN(2)/2))/(LN(2)/2)*BL170*BO170*VLOOKUP('Données projet'!$B$11,Paramètres!$A$1:$I$89,3,0)*0.475*44/12</f>
        <v>2.198666095986492E-14</v>
      </c>
      <c r="BS170" s="22">
        <f t="shared" si="169"/>
        <v>29.282268525988876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264.70281355687837</v>
      </c>
      <c r="CE170" s="59">
        <f t="shared" si="148"/>
        <v>199.74194600786768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36.59412824357085</v>
      </c>
      <c r="CL170" s="21">
        <f>EXP(-LN(2)/25)*CL169+(1-EXP(-LN(2)/25))/(LN(2)/25)*Calculateur!CG170*Calculateur!CI170*VLOOKUP('Données projet'!$B$12,Paramètres!$A$1:$I$89,3,0)*0.475*44/12</f>
        <v>4.3432807922574881</v>
      </c>
      <c r="CM170" s="21">
        <f>EXP(-LN(2)/2)*CM169+(1-EXP(-LN(2)/2))/(LN(2)/2)*CG170*CJ170*VLOOKUP('Données projet'!$B$12,Paramètres!$A$1:$I$89,3,0)*0.475*44/12</f>
        <v>8.0605535017231453E-12</v>
      </c>
      <c r="CN170" s="22">
        <f t="shared" si="172"/>
        <v>40.937409035836396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-6.5028871176764376E-14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149.8619613776458</v>
      </c>
      <c r="CZ170" s="59">
        <f t="shared" si="150"/>
        <v>108.55560257938146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23.884576776184794</v>
      </c>
      <c r="DG170" s="21">
        <f>EXP(-LN(2)/25)*DG169+(1-EXP(-LN(2)/25))/(LN(2)/25)*Calculateur!DB170*Calculateur!DD170*VLOOKUP('Données projet'!$B$13,Paramètres!$A$1:$I$89,3,0)*0.475*44/12</f>
        <v>2.8021679535223871</v>
      </c>
      <c r="DH170" s="21">
        <f>EXP(-LN(2)/2)*DH169+(1-EXP(-LN(2)/2))/(LN(2)/2)*DB170*DE170*VLOOKUP('Données projet'!$B$13,Paramètres!$A$1:$I$89,3,0)*0.475*44/12</f>
        <v>2.7457419626328621E-12</v>
      </c>
      <c r="DI170" s="22">
        <f t="shared" si="175"/>
        <v>26.686744729709925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1">
        <f t="shared" si="140"/>
        <v>35.443842312892279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67">
        <f t="shared" si="110"/>
        <v>592.42181202828749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467.03705646400994</v>
      </c>
      <c r="T171" s="59">
        <f t="shared" si="142"/>
        <v>575.68119027684361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40.337679338539324</v>
      </c>
      <c r="AA171" s="21">
        <f>EXP(-LN(2)/25)*AA170+(1-EXP(-LN(2)/25))/(LN(2)/25)*Calculateur!V171*Calculateur!X171*VLOOKUP('Données projet'!$B$9,Paramètres!$A$1:$I$89,3,0)*0.475*44/12</f>
        <v>4.2753481486856781</v>
      </c>
      <c r="AB171" s="21">
        <f>EXP(-LN(2)/2)*AB170+(1-EXP(-LN(2)/2))/(LN(2)/2)*V171*Y171*VLOOKUP('Données projet'!$B$9,Paramètres!$A$1:$I$89,3,0)*0.475*44/12</f>
        <v>2.0076708352858651E-14</v>
      </c>
      <c r="AC171" s="22">
        <f t="shared" si="163"/>
        <v>44.613027487225025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-7.0940586738288402E-14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252.44760109054914</v>
      </c>
      <c r="AO171" s="59">
        <f t="shared" si="144"/>
        <v>121.75506329394773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49.478958899718798</v>
      </c>
      <c r="AV171" s="21">
        <f>EXP(-LN(2)/25)*AV170+(1-EXP(-LN(2)/25))/(LN(2)/25)*Calculateur!AQ171*Calculateur!AS171*VLOOKUP('Données projet'!$B$10,Paramètres!$A$1:$I$89,3,0)*0.475*44/12</f>
        <v>6.79840302391165</v>
      </c>
      <c r="AW171" s="21">
        <f>EXP(-LN(2)/2)*AW170+(1-EXP(-LN(2)/2))/(LN(2)/2)*AQ171*AT171*VLOOKUP('Données projet'!$B$10,Paramètres!$A$1:$I$89,3,0)*0.475*44/12</f>
        <v>2.5121984685961952E-9</v>
      </c>
      <c r="AX171" s="21">
        <f t="shared" si="166"/>
        <v>56.277361926142653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-1.3596945791505279E-13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260.97162394079265</v>
      </c>
      <c r="BJ171" s="59">
        <f t="shared" si="146"/>
        <v>279.1836614199691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25.983815866564452</v>
      </c>
      <c r="BQ171" s="21">
        <f>EXP(-LN(2)/25)*BQ170+(1-EXP(-LN(2)/25))/(LN(2)/25)*Calculateur!BL171*Calculateur!BN171*VLOOKUP('Données projet'!$B$11,Paramètres!$A$1:$I$89,3,0)*0.475*44/12</f>
        <v>2.7027498815251216</v>
      </c>
      <c r="BR171" s="21">
        <f>EXP(-LN(2)/2)*BR170+(1-EXP(-LN(2)/2))/(LN(2)/2)*BL171*BO171*VLOOKUP('Données projet'!$B$11,Paramètres!$A$1:$I$89,3,0)*0.475*44/12</f>
        <v>1.5546917060370011E-14</v>
      </c>
      <c r="BS171" s="22">
        <f t="shared" si="169"/>
        <v>28.686565748089588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264.70281355687837</v>
      </c>
      <c r="CE171" s="59">
        <f t="shared" si="148"/>
        <v>199.74194600786768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35.876539708928718</v>
      </c>
      <c r="CL171" s="21">
        <f>EXP(-LN(2)/25)*CL170+(1-EXP(-LN(2)/25))/(LN(2)/25)*Calculateur!CG171*Calculateur!CI171*VLOOKUP('Données projet'!$B$12,Paramètres!$A$1:$I$89,3,0)*0.475*44/12</f>
        <v>4.2245135505899967</v>
      </c>
      <c r="CM171" s="21">
        <f>EXP(-LN(2)/2)*CM170+(1-EXP(-LN(2)/2))/(LN(2)/2)*CG171*CJ171*VLOOKUP('Données projet'!$B$12,Paramètres!$A$1:$I$89,3,0)*0.475*44/12</f>
        <v>5.6996720411854075E-12</v>
      </c>
      <c r="CN171" s="22">
        <f t="shared" si="172"/>
        <v>40.101053259524413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-6.5028871176764376E-14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149.8619613776458</v>
      </c>
      <c r="CZ171" s="59">
        <f t="shared" si="150"/>
        <v>108.55560257938146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23.416214793757156</v>
      </c>
      <c r="DG171" s="21">
        <f>EXP(-LN(2)/25)*DG170+(1-EXP(-LN(2)/25))/(LN(2)/25)*Calculateur!DB171*Calculateur!DD171*VLOOKUP('Données projet'!$B$13,Paramètres!$A$1:$I$89,3,0)*0.475*44/12</f>
        <v>2.7255425234737092</v>
      </c>
      <c r="DH171" s="21">
        <f>EXP(-LN(2)/2)*DH170+(1-EXP(-LN(2)/2))/(LN(2)/2)*DB171*DE171*VLOOKUP('Données projet'!$B$13,Paramètres!$A$1:$I$89,3,0)*0.475*44/12</f>
        <v>1.9415327611661568E-12</v>
      </c>
      <c r="DI171" s="22">
        <f t="shared" si="175"/>
        <v>26.141757317232805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1">
        <f t="shared" si="140"/>
        <v>35.6301956076111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67">
        <f t="shared" si="110"/>
        <v>594.15921734992276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467.03705646400994</v>
      </c>
      <c r="T172" s="59">
        <f t="shared" si="142"/>
        <v>575.68119027684361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39.546682050265566</v>
      </c>
      <c r="AA172" s="21">
        <f>EXP(-LN(2)/25)*AA171+(1-EXP(-LN(2)/25))/(LN(2)/25)*Calculateur!V172*Calculateur!X172*VLOOKUP('Données projet'!$B$9,Paramètres!$A$1:$I$89,3,0)*0.475*44/12</f>
        <v>4.1584385287290804</v>
      </c>
      <c r="AB172" s="21">
        <f>EXP(-LN(2)/2)*AB171+(1-EXP(-LN(2)/2))/(LN(2)/2)*V172*Y172*VLOOKUP('Données projet'!$B$9,Paramètres!$A$1:$I$89,3,0)*0.475*44/12</f>
        <v>1.4196376620210954E-14</v>
      </c>
      <c r="AC172" s="22">
        <f t="shared" si="163"/>
        <v>43.705120578994659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-7.0940586738288402E-14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252.44760109054914</v>
      </c>
      <c r="AO172" s="59">
        <f t="shared" si="144"/>
        <v>121.75506329394773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48.508706694880296</v>
      </c>
      <c r="AV172" s="21">
        <f>EXP(-LN(2)/25)*AV171+(1-EXP(-LN(2)/25))/(LN(2)/25)*Calculateur!AQ172*Calculateur!AS172*VLOOKUP('Données projet'!$B$10,Paramètres!$A$1:$I$89,3,0)*0.475*44/12</f>
        <v>6.6125003357103092</v>
      </c>
      <c r="AW172" s="21">
        <f>EXP(-LN(2)/2)*AW171+(1-EXP(-LN(2)/2))/(LN(2)/2)*AQ172*AT172*VLOOKUP('Données projet'!$B$10,Paramètres!$A$1:$I$89,3,0)*0.475*44/12</f>
        <v>1.7763925728308296E-9</v>
      </c>
      <c r="AX172" s="21">
        <f t="shared" si="166"/>
        <v>55.121207032366996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-1.3596945791505279E-13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260.97162394079265</v>
      </c>
      <c r="BJ172" s="59">
        <f t="shared" si="146"/>
        <v>279.1836614199691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25.474289085983887</v>
      </c>
      <c r="BQ172" s="21">
        <f>EXP(-LN(2)/25)*BQ171+(1-EXP(-LN(2)/25))/(LN(2)/25)*Calculateur!BL172*Calculateur!BN172*VLOOKUP('Données projet'!$B$11,Paramètres!$A$1:$I$89,3,0)*0.475*44/12</f>
        <v>2.6288430438833781</v>
      </c>
      <c r="BR172" s="21">
        <f>EXP(-LN(2)/2)*BR171+(1-EXP(-LN(2)/2))/(LN(2)/2)*BL172*BO172*VLOOKUP('Données projet'!$B$11,Paramètres!$A$1:$I$89,3,0)*0.475*44/12</f>
        <v>1.099333047993246E-14</v>
      </c>
      <c r="BS172" s="22">
        <f t="shared" si="169"/>
        <v>28.103132129867276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264.70281355687837</v>
      </c>
      <c r="CE172" s="59">
        <f t="shared" si="148"/>
        <v>199.74194600786768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35.17302264776513</v>
      </c>
      <c r="CL172" s="21">
        <f>EXP(-LN(2)/25)*CL171+(1-EXP(-LN(2)/25))/(LN(2)/25)*Calculateur!CG172*Calculateur!CI172*VLOOKUP('Données projet'!$B$12,Paramètres!$A$1:$I$89,3,0)*0.475*44/12</f>
        <v>4.108994005391601</v>
      </c>
      <c r="CM172" s="21">
        <f>EXP(-LN(2)/2)*CM171+(1-EXP(-LN(2)/2))/(LN(2)/2)*CG172*CJ172*VLOOKUP('Données projet'!$B$12,Paramètres!$A$1:$I$89,3,0)*0.475*44/12</f>
        <v>4.0302767508615726E-12</v>
      </c>
      <c r="CN172" s="22">
        <f t="shared" si="172"/>
        <v>39.28201665316076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-6.5028871176764376E-14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149.8619613776458</v>
      </c>
      <c r="CZ172" s="59">
        <f t="shared" si="150"/>
        <v>108.55560257938146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22.957037104132326</v>
      </c>
      <c r="DG172" s="21">
        <f>EXP(-LN(2)/25)*DG171+(1-EXP(-LN(2)/25))/(LN(2)/25)*Calculateur!DB172*Calculateur!DD172*VLOOKUP('Données projet'!$B$13,Paramètres!$A$1:$I$89,3,0)*0.475*44/12</f>
        <v>2.6510124198392684</v>
      </c>
      <c r="DH172" s="21">
        <f>EXP(-LN(2)/2)*DH171+(1-EXP(-LN(2)/2))/(LN(2)/2)*DB172*DE172*VLOOKUP('Données projet'!$B$13,Paramètres!$A$1:$I$89,3,0)*0.475*44/12</f>
        <v>1.3728709813164311E-12</v>
      </c>
      <c r="DI172" s="22">
        <f t="shared" si="175"/>
        <v>25.608049523972966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1">
        <f t="shared" si="140"/>
        <v>35.816420593519382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67">
        <f t="shared" si="110"/>
        <v>595.89639920037973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467.03705646400994</v>
      </c>
      <c r="T173" s="59">
        <f t="shared" si="142"/>
        <v>575.68119027684361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38.771195736354152</v>
      </c>
      <c r="AA173" s="21">
        <f>EXP(-LN(2)/25)*AA172+(1-EXP(-LN(2)/25))/(LN(2)/25)*Calculateur!V173*Calculateur!X173*VLOOKUP('Données projet'!$B$9,Paramètres!$A$1:$I$89,3,0)*0.475*44/12</f>
        <v>4.0447258084782058</v>
      </c>
      <c r="AB173" s="21">
        <f>EXP(-LN(2)/2)*AB172+(1-EXP(-LN(2)/2))/(LN(2)/2)*V173*Y173*VLOOKUP('Données projet'!$B$9,Paramètres!$A$1:$I$89,3,0)*0.475*44/12</f>
        <v>1.0038354176429327E-14</v>
      </c>
      <c r="AC173" s="22">
        <f t="shared" si="163"/>
        <v>42.815921544832364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-7.0940586738288402E-14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252.44760109054914</v>
      </c>
      <c r="AO173" s="59">
        <f t="shared" si="144"/>
        <v>121.75506329394773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47.557480543983267</v>
      </c>
      <c r="AV173" s="21">
        <f>EXP(-LN(2)/25)*AV172+(1-EXP(-LN(2)/25))/(LN(2)/25)*Calculateur!AQ173*Calculateur!AS173*VLOOKUP('Données projet'!$B$10,Paramètres!$A$1:$I$89,3,0)*0.475*44/12</f>
        <v>6.4316811662940312</v>
      </c>
      <c r="AW173" s="21">
        <f>EXP(-LN(2)/2)*AW172+(1-EXP(-LN(2)/2))/(LN(2)/2)*AQ173*AT173*VLOOKUP('Données projet'!$B$10,Paramètres!$A$1:$I$89,3,0)*0.475*44/12</f>
        <v>1.2560992342980976E-9</v>
      </c>
      <c r="AX173" s="21">
        <f t="shared" si="166"/>
        <v>53.989161711533399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-1.3596945791505279E-13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260.97162394079265</v>
      </c>
      <c r="BJ173" s="59">
        <f t="shared" si="146"/>
        <v>279.1836614199691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24.974753814789857</v>
      </c>
      <c r="BQ173" s="21">
        <f>EXP(-LN(2)/25)*BQ172+(1-EXP(-LN(2)/25))/(LN(2)/25)*Calculateur!BL173*Calculateur!BN173*VLOOKUP('Données projet'!$B$11,Paramètres!$A$1:$I$89,3,0)*0.475*44/12</f>
        <v>2.5569571926035399</v>
      </c>
      <c r="BR173" s="21">
        <f>EXP(-LN(2)/2)*BR172+(1-EXP(-LN(2)/2))/(LN(2)/2)*BL173*BO173*VLOOKUP('Données projet'!$B$11,Paramètres!$A$1:$I$89,3,0)*0.475*44/12</f>
        <v>7.7734585301850054E-15</v>
      </c>
      <c r="BS173" s="22">
        <f t="shared" si="169"/>
        <v>27.531711007393405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264.70281355687837</v>
      </c>
      <c r="CE173" s="59">
        <f t="shared" si="148"/>
        <v>199.74194600786768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34.483301127067918</v>
      </c>
      <c r="CL173" s="21">
        <f>EXP(-LN(2)/25)*CL172+(1-EXP(-LN(2)/25))/(LN(2)/25)*Calculateur!CG173*Calculateur!CI173*VLOOKUP('Données projet'!$B$12,Paramètres!$A$1:$I$89,3,0)*0.475*44/12</f>
        <v>3.9966333482315641</v>
      </c>
      <c r="CM173" s="21">
        <f>EXP(-LN(2)/2)*CM172+(1-EXP(-LN(2)/2))/(LN(2)/2)*CG173*CJ173*VLOOKUP('Données projet'!$B$12,Paramètres!$A$1:$I$89,3,0)*0.475*44/12</f>
        <v>2.8498360205927038E-12</v>
      </c>
      <c r="CN173" s="22">
        <f t="shared" si="172"/>
        <v>38.479934475302329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-6.5028871176764376E-14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149.8619613776458</v>
      </c>
      <c r="CZ173" s="59">
        <f t="shared" si="150"/>
        <v>108.55560257938146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22.506863608930303</v>
      </c>
      <c r="DG173" s="21">
        <f>EXP(-LN(2)/25)*DG172+(1-EXP(-LN(2)/25))/(LN(2)/25)*Calculateur!DB173*Calculateur!DD173*VLOOKUP('Données projet'!$B$13,Paramètres!$A$1:$I$89,3,0)*0.475*44/12</f>
        <v>2.5785203458080792</v>
      </c>
      <c r="DH173" s="21">
        <f>EXP(-LN(2)/2)*DH172+(1-EXP(-LN(2)/2))/(LN(2)/2)*DB173*DE173*VLOOKUP('Données projet'!$B$13,Paramètres!$A$1:$I$89,3,0)*0.475*44/12</f>
        <v>9.7076638058307841E-13</v>
      </c>
      <c r="DI173" s="22">
        <f t="shared" si="175"/>
        <v>25.085383954739353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1">
        <f t="shared" si="140"/>
        <v>36.002518112950014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67">
        <f t="shared" si="110"/>
        <v>597.63335904672147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467.03705646400994</v>
      </c>
      <c r="T174" s="59">
        <f t="shared" si="142"/>
        <v>575.68119027684361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38.010916236058591</v>
      </c>
      <c r="AA174" s="21">
        <f>EXP(-LN(2)/25)*AA173+(1-EXP(-LN(2)/25))/(LN(2)/25)*Calculateur!V174*Calculateur!X174*VLOOKUP('Données projet'!$B$9,Paramètres!$A$1:$I$89,3,0)*0.475*44/12</f>
        <v>3.9341225685424832</v>
      </c>
      <c r="AB174" s="21">
        <f>EXP(-LN(2)/2)*AB173+(1-EXP(-LN(2)/2))/(LN(2)/2)*V174*Y174*VLOOKUP('Données projet'!$B$9,Paramètres!$A$1:$I$89,3,0)*0.475*44/12</f>
        <v>7.0981883101054784E-15</v>
      </c>
      <c r="AC174" s="22">
        <f t="shared" si="163"/>
        <v>41.945038804601083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-7.0940586738288402E-14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252.44760109054914</v>
      </c>
      <c r="AO174" s="59">
        <f t="shared" si="144"/>
        <v>121.75506329394773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46.624907357714662</v>
      </c>
      <c r="AV174" s="21">
        <f>EXP(-LN(2)/25)*AV173+(1-EXP(-LN(2)/25))/(LN(2)/25)*Calculateur!AQ174*Calculateur!AS174*VLOOKUP('Données projet'!$B$10,Paramètres!$A$1:$I$89,3,0)*0.475*44/12</f>
        <v>6.2558065065743085</v>
      </c>
      <c r="AW174" s="21">
        <f>EXP(-LN(2)/2)*AW173+(1-EXP(-LN(2)/2))/(LN(2)/2)*AQ174*AT174*VLOOKUP('Données projet'!$B$10,Paramètres!$A$1:$I$89,3,0)*0.475*44/12</f>
        <v>8.8819628641541479E-10</v>
      </c>
      <c r="AX174" s="21">
        <f t="shared" si="166"/>
        <v>52.880713865177171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-1.3596945791505279E-13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260.97162394079265</v>
      </c>
      <c r="BJ174" s="59">
        <f t="shared" si="146"/>
        <v>279.1836614199691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24.485014125577511</v>
      </c>
      <c r="BQ174" s="21">
        <f>EXP(-LN(2)/25)*BQ173+(1-EXP(-LN(2)/25))/(LN(2)/25)*Calculateur!BL174*Calculateur!BN174*VLOOKUP('Données projet'!$B$11,Paramètres!$A$1:$I$89,3,0)*0.475*44/12</f>
        <v>2.4870370637072612</v>
      </c>
      <c r="BR174" s="21">
        <f>EXP(-LN(2)/2)*BR173+(1-EXP(-LN(2)/2))/(LN(2)/2)*BL174*BO174*VLOOKUP('Données projet'!$B$11,Paramètres!$A$1:$I$89,3,0)*0.475*44/12</f>
        <v>5.49666523996623E-15</v>
      </c>
      <c r="BS174" s="22">
        <f t="shared" si="169"/>
        <v>26.97205118928478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264.70281355687837</v>
      </c>
      <c r="CE174" s="59">
        <f t="shared" si="148"/>
        <v>199.74194600786768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33.807104624702994</v>
      </c>
      <c r="CL174" s="21">
        <f>EXP(-LN(2)/25)*CL173+(1-EXP(-LN(2)/25))/(LN(2)/25)*Calculateur!CG174*Calculateur!CI174*VLOOKUP('Données projet'!$B$12,Paramètres!$A$1:$I$89,3,0)*0.475*44/12</f>
        <v>3.8873451991503587</v>
      </c>
      <c r="CM174" s="21">
        <f>EXP(-LN(2)/2)*CM173+(1-EXP(-LN(2)/2))/(LN(2)/2)*CG174*CJ174*VLOOKUP('Données projet'!$B$12,Paramètres!$A$1:$I$89,3,0)*0.475*44/12</f>
        <v>2.0151383754307863E-12</v>
      </c>
      <c r="CN174" s="22">
        <f t="shared" si="172"/>
        <v>37.694449823855372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-6.5028871176764376E-14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149.8619613776458</v>
      </c>
      <c r="CZ174" s="59">
        <f t="shared" si="150"/>
        <v>108.55560257938146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22.065517741390469</v>
      </c>
      <c r="DG174" s="21">
        <f>EXP(-LN(2)/25)*DG173+(1-EXP(-LN(2)/25))/(LN(2)/25)*Calculateur!DB174*Calculateur!DD174*VLOOKUP('Données projet'!$B$13,Paramètres!$A$1:$I$89,3,0)*0.475*44/12</f>
        <v>2.5080105713534655</v>
      </c>
      <c r="DH174" s="21">
        <f>EXP(-LN(2)/2)*DH173+(1-EXP(-LN(2)/2))/(LN(2)/2)*DB174*DE174*VLOOKUP('Données projet'!$B$13,Paramètres!$A$1:$I$89,3,0)*0.475*44/12</f>
        <v>6.8643549065821554E-13</v>
      </c>
      <c r="DI174" s="22">
        <f t="shared" si="175"/>
        <v>24.573528312744621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1">
        <f t="shared" si="140"/>
        <v>36.18848899781392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67">
        <f t="shared" si="110"/>
        <v>599.37009833785942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467.03705646400994</v>
      </c>
      <c r="T175" s="59">
        <f t="shared" si="142"/>
        <v>575.68119027684361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37.265545353039123</v>
      </c>
      <c r="AA175" s="21">
        <f>EXP(-LN(2)/25)*AA174+(1-EXP(-LN(2)/25))/(LN(2)/25)*Calculateur!V175*Calculateur!X175*VLOOKUP('Données projet'!$B$9,Paramètres!$A$1:$I$89,3,0)*0.475*44/12</f>
        <v>3.8265437800191746</v>
      </c>
      <c r="AB175" s="21">
        <f>EXP(-LN(2)/2)*AB174+(1-EXP(-LN(2)/2))/(LN(2)/2)*V175*Y175*VLOOKUP('Données projet'!$B$9,Paramètres!$A$1:$I$89,3,0)*0.475*44/12</f>
        <v>5.0191770882146644E-15</v>
      </c>
      <c r="AC175" s="22">
        <f t="shared" si="163"/>
        <v>41.092089133058302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-7.0940586738288402E-14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252.44760109054914</v>
      </c>
      <c r="AO175" s="59">
        <f t="shared" si="144"/>
        <v>121.75506329394773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45.71062136281531</v>
      </c>
      <c r="AV175" s="21">
        <f>EXP(-LN(2)/25)*AV174+(1-EXP(-LN(2)/25))/(LN(2)/25)*Calculateur!AQ175*Calculateur!AS175*VLOOKUP('Données projet'!$B$10,Paramètres!$A$1:$I$89,3,0)*0.475*44/12</f>
        <v>6.0847411486734675</v>
      </c>
      <c r="AW175" s="21">
        <f>EXP(-LN(2)/2)*AW174+(1-EXP(-LN(2)/2))/(LN(2)/2)*AQ175*AT175*VLOOKUP('Données projet'!$B$10,Paramètres!$A$1:$I$89,3,0)*0.475*44/12</f>
        <v>6.2804961714904879E-10</v>
      </c>
      <c r="AX175" s="21">
        <f t="shared" si="166"/>
        <v>51.795362512116824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-1.3596945791505279E-13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260.97162394079265</v>
      </c>
      <c r="BJ175" s="59">
        <f t="shared" si="146"/>
        <v>279.1836614199691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24.004877932958905</v>
      </c>
      <c r="BQ175" s="21">
        <f>EXP(-LN(2)/25)*BQ174+(1-EXP(-LN(2)/25))/(LN(2)/25)*Calculateur!BL175*Calculateur!BN175*VLOOKUP('Données projet'!$B$11,Paramètres!$A$1:$I$89,3,0)*0.475*44/12</f>
        <v>2.419028904412591</v>
      </c>
      <c r="BR175" s="21">
        <f>EXP(-LN(2)/2)*BR174+(1-EXP(-LN(2)/2))/(LN(2)/2)*BL175*BO175*VLOOKUP('Données projet'!$B$11,Paramètres!$A$1:$I$89,3,0)*0.475*44/12</f>
        <v>3.8867292650925027E-15</v>
      </c>
      <c r="BS175" s="22">
        <f t="shared" si="169"/>
        <v>26.423906837371501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264.70281355687837</v>
      </c>
      <c r="CE175" s="59">
        <f t="shared" si="148"/>
        <v>199.74194600786768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33.144167923310306</v>
      </c>
      <c r="CL175" s="21">
        <f>EXP(-LN(2)/25)*CL174+(1-EXP(-LN(2)/25))/(LN(2)/25)*Calculateur!CG175*Calculateur!CI175*VLOOKUP('Données projet'!$B$12,Paramètres!$A$1:$I$89,3,0)*0.475*44/12</f>
        <v>3.7810455402529928</v>
      </c>
      <c r="CM175" s="21">
        <f>EXP(-LN(2)/2)*CM174+(1-EXP(-LN(2)/2))/(LN(2)/2)*CG175*CJ175*VLOOKUP('Données projet'!$B$12,Paramètres!$A$1:$I$89,3,0)*0.475*44/12</f>
        <v>1.4249180102963519E-12</v>
      </c>
      <c r="CN175" s="22">
        <f t="shared" si="172"/>
        <v>36.925213463564724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-6.5028871176764376E-14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149.8619613776458</v>
      </c>
      <c r="CZ175" s="59">
        <f t="shared" si="150"/>
        <v>108.55560257938146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21.632826397118695</v>
      </c>
      <c r="DG175" s="21">
        <f>EXP(-LN(2)/25)*DG174+(1-EXP(-LN(2)/25))/(LN(2)/25)*Calculateur!DB175*Calculateur!DD175*VLOOKUP('Données projet'!$B$13,Paramètres!$A$1:$I$89,3,0)*0.475*44/12</f>
        <v>2.4394288903892614</v>
      </c>
      <c r="DH175" s="21">
        <f>EXP(-LN(2)/2)*DH174+(1-EXP(-LN(2)/2))/(LN(2)/2)*DB175*DE175*VLOOKUP('Données projet'!$B$13,Paramètres!$A$1:$I$89,3,0)*0.475*44/12</f>
        <v>4.853831902915392E-13</v>
      </c>
      <c r="DI175" s="22">
        <f t="shared" si="175"/>
        <v>24.072255287508444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1">
        <f t="shared" si="140"/>
        <v>36.374334069789043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67">
        <f t="shared" si="110"/>
        <v>601.10661850488282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467.03705646400994</v>
      </c>
      <c r="T176" s="59">
        <f t="shared" si="142"/>
        <v>575.68119027684361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36.534790738404318</v>
      </c>
      <c r="AA176" s="21">
        <f>EXP(-LN(2)/25)*AA175+(1-EXP(-LN(2)/25))/(LN(2)/25)*Calculateur!V176*Calculateur!X176*VLOOKUP('Données projet'!$B$9,Paramètres!$A$1:$I$89,3,0)*0.475*44/12</f>
        <v>3.7219067391253584</v>
      </c>
      <c r="AB176" s="21">
        <f>EXP(-LN(2)/2)*AB175+(1-EXP(-LN(2)/2))/(LN(2)/2)*V176*Y176*VLOOKUP('Données projet'!$B$9,Paramètres!$A$1:$I$89,3,0)*0.475*44/12</f>
        <v>3.5490941550527396E-15</v>
      </c>
      <c r="AC176" s="22">
        <f t="shared" si="163"/>
        <v>40.256697477529677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-7.0940586738288402E-14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252.44760109054914</v>
      </c>
      <c r="AO176" s="59">
        <f t="shared" si="144"/>
        <v>121.75506329394773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44.814263958616543</v>
      </c>
      <c r="AV176" s="21">
        <f>EXP(-LN(2)/25)*AV175+(1-EXP(-LN(2)/25))/(LN(2)/25)*Calculateur!AQ176*Calculateur!AS176*VLOOKUP('Données projet'!$B$10,Paramètres!$A$1:$I$89,3,0)*0.475*44/12</f>
        <v>5.9183535819803614</v>
      </c>
      <c r="AW176" s="21">
        <f>EXP(-LN(2)/2)*AW175+(1-EXP(-LN(2)/2))/(LN(2)/2)*AQ176*AT176*VLOOKUP('Données projet'!$B$10,Paramètres!$A$1:$I$89,3,0)*0.475*44/12</f>
        <v>4.440981432077074E-10</v>
      </c>
      <c r="AX176" s="21">
        <f t="shared" si="166"/>
        <v>50.732617541041002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-1.3596945791505279E-13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260.97162394079265</v>
      </c>
      <c r="BJ176" s="59">
        <f t="shared" si="146"/>
        <v>279.1836614199691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23.534156918223388</v>
      </c>
      <c r="BQ176" s="21">
        <f>EXP(-LN(2)/25)*BQ175+(1-EXP(-LN(2)/25))/(LN(2)/25)*Calculateur!BL176*Calculateur!BN176*VLOOKUP('Données projet'!$B$11,Paramètres!$A$1:$I$89,3,0)*0.475*44/12</f>
        <v>2.3528804318102274</v>
      </c>
      <c r="BR176" s="21">
        <f>EXP(-LN(2)/2)*BR175+(1-EXP(-LN(2)/2))/(LN(2)/2)*BL176*BO176*VLOOKUP('Données projet'!$B$11,Paramètres!$A$1:$I$89,3,0)*0.475*44/12</f>
        <v>2.748332619983115E-15</v>
      </c>
      <c r="BS176" s="22">
        <f t="shared" si="169"/>
        <v>25.887037350033619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264.70281355687837</v>
      </c>
      <c r="CE176" s="59">
        <f t="shared" si="148"/>
        <v>199.74194600786768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32.494231006280465</v>
      </c>
      <c r="CL176" s="21">
        <f>EXP(-LN(2)/25)*CL175+(1-EXP(-LN(2)/25))/(LN(2)/25)*Calculateur!CG176*Calculateur!CI176*VLOOKUP('Données projet'!$B$12,Paramètres!$A$1:$I$89,3,0)*0.475*44/12</f>
        <v>3.6776526511182315</v>
      </c>
      <c r="CM176" s="21">
        <f>EXP(-LN(2)/2)*CM175+(1-EXP(-LN(2)/2))/(LN(2)/2)*CG176*CJ176*VLOOKUP('Données projet'!$B$12,Paramètres!$A$1:$I$89,3,0)*0.475*44/12</f>
        <v>1.0075691877153932E-12</v>
      </c>
      <c r="CN176" s="22">
        <f t="shared" si="172"/>
        <v>36.171883657399704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-6.5028871176764376E-14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149.8619613776458</v>
      </c>
      <c r="CZ176" s="59">
        <f t="shared" si="150"/>
        <v>108.55560257938146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21.208619866192429</v>
      </c>
      <c r="DG176" s="21">
        <f>EXP(-LN(2)/25)*DG175+(1-EXP(-LN(2)/25))/(LN(2)/25)*Calculateur!DB176*Calculateur!DD176*VLOOKUP('Données projet'!$B$13,Paramètres!$A$1:$I$89,3,0)*0.475*44/12</f>
        <v>2.372722579097577</v>
      </c>
      <c r="DH176" s="21">
        <f>EXP(-LN(2)/2)*DH175+(1-EXP(-LN(2)/2))/(LN(2)/2)*DB176*DE176*VLOOKUP('Données projet'!$B$13,Paramètres!$A$1:$I$89,3,0)*0.475*44/12</f>
        <v>3.4321774532910777E-13</v>
      </c>
      <c r="DI176" s="22">
        <f t="shared" si="175"/>
        <v>23.58134244529035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1">
        <f t="shared" si="140"/>
        <v>36.560054140504519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67">
        <f t="shared" si="110"/>
        <v>602.84292096137892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467.03705646400994</v>
      </c>
      <c r="T177" s="59">
        <f t="shared" si="142"/>
        <v>575.68119027684361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35.818365776046193</v>
      </c>
      <c r="AA177" s="21">
        <f>EXP(-LN(2)/25)*AA176+(1-EXP(-LN(2)/25))/(LN(2)/25)*Calculateur!V177*Calculateur!X177*VLOOKUP('Données projet'!$B$9,Paramètres!$A$1:$I$89,3,0)*0.475*44/12</f>
        <v>3.6201310036174066</v>
      </c>
      <c r="AB177" s="21">
        <f>EXP(-LN(2)/2)*AB176+(1-EXP(-LN(2)/2))/(LN(2)/2)*V177*Y177*VLOOKUP('Données projet'!$B$9,Paramètres!$A$1:$I$89,3,0)*0.475*44/12</f>
        <v>2.5095885441073326E-15</v>
      </c>
      <c r="AC177" s="22">
        <f t="shared" si="163"/>
        <v>39.438496779663602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-7.0940586738288402E-14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252.44760109054914</v>
      </c>
      <c r="AO177" s="59">
        <f t="shared" si="144"/>
        <v>121.75506329394773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43.935483576390077</v>
      </c>
      <c r="AV177" s="21">
        <f>EXP(-LN(2)/25)*AV176+(1-EXP(-LN(2)/25))/(LN(2)/25)*Calculateur!AQ177*Calculateur!AS177*VLOOKUP('Données projet'!$B$10,Paramètres!$A$1:$I$89,3,0)*0.475*44/12</f>
        <v>5.7565158920484203</v>
      </c>
      <c r="AW177" s="21">
        <f>EXP(-LN(2)/2)*AW176+(1-EXP(-LN(2)/2))/(LN(2)/2)*AQ177*AT177*VLOOKUP('Données projet'!$B$10,Paramètres!$A$1:$I$89,3,0)*0.475*44/12</f>
        <v>3.140248085745244E-10</v>
      </c>
      <c r="AX177" s="21">
        <f t="shared" si="166"/>
        <v>49.69199946875252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-1.3596945791505279E-13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260.97162394079265</v>
      </c>
      <c r="BJ177" s="59">
        <f t="shared" si="146"/>
        <v>279.1836614199691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23.072666455475368</v>
      </c>
      <c r="BQ177" s="21">
        <f>EXP(-LN(2)/25)*BQ176+(1-EXP(-LN(2)/25))/(LN(2)/25)*Calculateur!BL177*Calculateur!BN177*VLOOKUP('Données projet'!$B$11,Paramètres!$A$1:$I$89,3,0)*0.475*44/12</f>
        <v>2.2885407926697723</v>
      </c>
      <c r="BR177" s="21">
        <f>EXP(-LN(2)/2)*BR176+(1-EXP(-LN(2)/2))/(LN(2)/2)*BL177*BO177*VLOOKUP('Données projet'!$B$11,Paramètres!$A$1:$I$89,3,0)*0.475*44/12</f>
        <v>1.9433646325462514E-15</v>
      </c>
      <c r="BS177" s="22">
        <f t="shared" si="169"/>
        <v>25.361207248145142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264.70281355687837</v>
      </c>
      <c r="CE177" s="59">
        <f t="shared" si="148"/>
        <v>199.74194600786768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31.857038955771202</v>
      </c>
      <c r="CL177" s="21">
        <f>EXP(-LN(2)/25)*CL176+(1-EXP(-LN(2)/25))/(LN(2)/25)*Calculateur!CG177*Calculateur!CI177*VLOOKUP('Données projet'!$B$12,Paramètres!$A$1:$I$89,3,0)*0.475*44/12</f>
        <v>3.5770870459740558</v>
      </c>
      <c r="CM177" s="21">
        <f>EXP(-LN(2)/2)*CM176+(1-EXP(-LN(2)/2))/(LN(2)/2)*CG177*CJ177*VLOOKUP('Données projet'!$B$12,Paramètres!$A$1:$I$89,3,0)*0.475*44/12</f>
        <v>7.1245900514817594E-13</v>
      </c>
      <c r="CN177" s="22">
        <f t="shared" si="172"/>
        <v>35.434126001745966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-6.5028871176764376E-14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149.8619613776458</v>
      </c>
      <c r="CZ177" s="59">
        <f t="shared" si="150"/>
        <v>108.55560257938146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20.792731766597193</v>
      </c>
      <c r="DG177" s="21">
        <f>EXP(-LN(2)/25)*DG176+(1-EXP(-LN(2)/25))/(LN(2)/25)*Calculateur!DB177*Calculateur!DD177*VLOOKUP('Données projet'!$B$13,Paramètres!$A$1:$I$89,3,0)*0.475*44/12</f>
        <v>2.3078403553960962</v>
      </c>
      <c r="DH177" s="21">
        <f>EXP(-LN(2)/2)*DH176+(1-EXP(-LN(2)/2))/(LN(2)/2)*DB177*DE177*VLOOKUP('Données projet'!$B$13,Paramètres!$A$1:$I$89,3,0)*0.475*44/12</f>
        <v>2.426915951457696E-13</v>
      </c>
      <c r="DI177" s="22">
        <f t="shared" si="175"/>
        <v>23.10057212199353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1">
        <f t="shared" si="140"/>
        <v>36.745650011720521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67">
        <f t="shared" si="110"/>
        <v>604.57900710374679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467.03705646400994</v>
      </c>
      <c r="T178" s="59">
        <f t="shared" si="142"/>
        <v>575.68119027684361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35.11598947022383</v>
      </c>
      <c r="AA178" s="21">
        <f>EXP(-LN(2)/25)*AA177+(1-EXP(-LN(2)/25))/(LN(2)/25)*Calculateur!V178*Calculateur!X178*VLOOKUP('Données projet'!$B$9,Paramètres!$A$1:$I$89,3,0)*0.475*44/12</f>
        <v>3.5211383309490731</v>
      </c>
      <c r="AB178" s="21">
        <f>EXP(-LN(2)/2)*AB177+(1-EXP(-LN(2)/2))/(LN(2)/2)*V178*Y178*VLOOKUP('Données projet'!$B$9,Paramètres!$A$1:$I$89,3,0)*0.475*44/12</f>
        <v>1.7745470775263702E-15</v>
      </c>
      <c r="AC178" s="22">
        <f t="shared" si="163"/>
        <v>38.637127801172902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-7.0940586738288402E-14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252.44760109054914</v>
      </c>
      <c r="AO178" s="59">
        <f t="shared" si="144"/>
        <v>121.75506329394773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43.073935541455967</v>
      </c>
      <c r="AV178" s="21">
        <f>EXP(-LN(2)/25)*AV177+(1-EXP(-LN(2)/25))/(LN(2)/25)*Calculateur!AQ178*Calculateur!AS178*VLOOKUP('Données projet'!$B$10,Paramètres!$A$1:$I$89,3,0)*0.475*44/12</f>
        <v>5.5991036622583419</v>
      </c>
      <c r="AW178" s="21">
        <f>EXP(-LN(2)/2)*AW177+(1-EXP(-LN(2)/2))/(LN(2)/2)*AQ178*AT178*VLOOKUP('Données projet'!$B$10,Paramètres!$A$1:$I$89,3,0)*0.475*44/12</f>
        <v>2.220490716038537E-10</v>
      </c>
      <c r="AX178" s="21">
        <f t="shared" si="166"/>
        <v>48.673039203936362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-1.3596945791505279E-13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260.97162394079265</v>
      </c>
      <c r="BJ178" s="59">
        <f t="shared" si="146"/>
        <v>279.1836614199691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22.620225539220446</v>
      </c>
      <c r="BQ178" s="21">
        <f>EXP(-LN(2)/25)*BQ177+(1-EXP(-LN(2)/25))/(LN(2)/25)*Calculateur!BL178*Calculateur!BN178*VLOOKUP('Données projet'!$B$11,Paramètres!$A$1:$I$89,3,0)*0.475*44/12</f>
        <v>2.2259605243450875</v>
      </c>
      <c r="BR178" s="21">
        <f>EXP(-LN(2)/2)*BR177+(1-EXP(-LN(2)/2))/(LN(2)/2)*BL178*BO178*VLOOKUP('Données projet'!$B$11,Paramètres!$A$1:$I$89,3,0)*0.475*44/12</f>
        <v>1.3741663099915575E-15</v>
      </c>
      <c r="BS178" s="22">
        <f t="shared" si="169"/>
        <v>24.846186063565533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264.70281355687837</v>
      </c>
      <c r="CE178" s="59">
        <f t="shared" si="148"/>
        <v>199.74194600786768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31.232341852723653</v>
      </c>
      <c r="CL178" s="21">
        <f>EXP(-LN(2)/25)*CL177+(1-EXP(-LN(2)/25))/(LN(2)/25)*Calculateur!CG178*Calculateur!CI178*VLOOKUP('Données projet'!$B$12,Paramètres!$A$1:$I$89,3,0)*0.475*44/12</f>
        <v>3.4792714125910629</v>
      </c>
      <c r="CM178" s="21">
        <f>EXP(-LN(2)/2)*CM177+(1-EXP(-LN(2)/2))/(LN(2)/2)*CG178*CJ178*VLOOKUP('Données projet'!$B$12,Paramètres!$A$1:$I$89,3,0)*0.475*44/12</f>
        <v>5.0378459385769658E-13</v>
      </c>
      <c r="CN178" s="22">
        <f t="shared" si="172"/>
        <v>34.711613265315222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-6.5028871176764376E-14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149.8619613776458</v>
      </c>
      <c r="CZ178" s="59">
        <f t="shared" si="150"/>
        <v>108.55560257938146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20.384998978968326</v>
      </c>
      <c r="DG178" s="21">
        <f>EXP(-LN(2)/25)*DG177+(1-EXP(-LN(2)/25))/(LN(2)/25)*Calculateur!DB178*Calculateur!DD178*VLOOKUP('Données projet'!$B$13,Paramètres!$A$1:$I$89,3,0)*0.475*44/12</f>
        <v>2.2447323395137402</v>
      </c>
      <c r="DH178" s="21">
        <f>EXP(-LN(2)/2)*DH177+(1-EXP(-LN(2)/2))/(LN(2)/2)*DB178*DE178*VLOOKUP('Données projet'!$B$13,Paramètres!$A$1:$I$89,3,0)*0.475*44/12</f>
        <v>1.7160887266455388E-13</v>
      </c>
      <c r="DI178" s="22">
        <f t="shared" si="175"/>
        <v>22.629731318482236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1">
        <f t="shared" si="140"/>
        <v>36.931122475504125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67">
        <f t="shared" si="110"/>
        <v>606.31487831150343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467.03705646400994</v>
      </c>
      <c r="T179" s="59">
        <f t="shared" si="142"/>
        <v>575.68119027684361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34.4273863353514</v>
      </c>
      <c r="AA179" s="21">
        <f>EXP(-LN(2)/25)*AA178+(1-EXP(-LN(2)/25))/(LN(2)/25)*Calculateur!V179*Calculateur!X179*VLOOKUP('Données projet'!$B$9,Paramètres!$A$1:$I$89,3,0)*0.475*44/12</f>
        <v>3.4248526181206538</v>
      </c>
      <c r="AB179" s="21">
        <f>EXP(-LN(2)/2)*AB178+(1-EXP(-LN(2)/2))/(LN(2)/2)*V179*Y179*VLOOKUP('Données projet'!$B$9,Paramètres!$A$1:$I$89,3,0)*0.475*44/12</f>
        <v>1.2547942720536665E-15</v>
      </c>
      <c r="AC179" s="22">
        <f t="shared" si="163"/>
        <v>37.852238953472053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-7.0940586738288402E-14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252.44760109054914</v>
      </c>
      <c r="AO179" s="59">
        <f t="shared" si="144"/>
        <v>121.75506329394773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42.2292819379945</v>
      </c>
      <c r="AV179" s="21">
        <f>EXP(-LN(2)/25)*AV178+(1-EXP(-LN(2)/25))/(LN(2)/25)*Calculateur!AQ179*Calculateur!AS179*VLOOKUP('Données projet'!$B$10,Paramètres!$A$1:$I$89,3,0)*0.475*44/12</f>
        <v>5.445995878169823</v>
      </c>
      <c r="AW179" s="21">
        <f>EXP(-LN(2)/2)*AW178+(1-EXP(-LN(2)/2))/(LN(2)/2)*AQ179*AT179*VLOOKUP('Données projet'!$B$10,Paramètres!$A$1:$I$89,3,0)*0.475*44/12</f>
        <v>1.570124042872622E-10</v>
      </c>
      <c r="AX179" s="21">
        <f t="shared" si="166"/>
        <v>47.675277816321341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-1.3596945791505279E-13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260.97162394079265</v>
      </c>
      <c r="BJ179" s="59">
        <f t="shared" si="146"/>
        <v>279.1836614199691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22.176656713371575</v>
      </c>
      <c r="BQ179" s="21">
        <f>EXP(-LN(2)/25)*BQ178+(1-EXP(-LN(2)/25))/(LN(2)/25)*Calculateur!BL179*Calculateur!BN179*VLOOKUP('Données projet'!$B$11,Paramètres!$A$1:$I$89,3,0)*0.475*44/12</f>
        <v>2.1650915167486948</v>
      </c>
      <c r="BR179" s="21">
        <f>EXP(-LN(2)/2)*BR178+(1-EXP(-LN(2)/2))/(LN(2)/2)*BL179*BO179*VLOOKUP('Données projet'!$B$11,Paramètres!$A$1:$I$89,3,0)*0.475*44/12</f>
        <v>9.7168231627312568E-16</v>
      </c>
      <c r="BS179" s="22">
        <f t="shared" si="169"/>
        <v>24.34174823012027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264.70281355687837</v>
      </c>
      <c r="CE179" s="59">
        <f t="shared" si="148"/>
        <v>199.74194600786768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30.619894678839255</v>
      </c>
      <c r="CL179" s="21">
        <f>EXP(-LN(2)/25)*CL178+(1-EXP(-LN(2)/25))/(LN(2)/25)*Calculateur!CG179*Calculateur!CI179*VLOOKUP('Données projet'!$B$12,Paramètres!$A$1:$I$89,3,0)*0.475*44/12</f>
        <v>3.3841305528468286</v>
      </c>
      <c r="CM179" s="21">
        <f>EXP(-LN(2)/2)*CM178+(1-EXP(-LN(2)/2))/(LN(2)/2)*CG179*CJ179*VLOOKUP('Données projet'!$B$12,Paramètres!$A$1:$I$89,3,0)*0.475*44/12</f>
        <v>3.5622950257408797E-13</v>
      </c>
      <c r="CN179" s="22">
        <f t="shared" si="172"/>
        <v>34.004025231686441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-6.5028871176764376E-14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149.8619613776458</v>
      </c>
      <c r="CZ179" s="59">
        <f t="shared" si="150"/>
        <v>108.55560257938146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19.985261582612416</v>
      </c>
      <c r="DG179" s="21">
        <f>EXP(-LN(2)/25)*DG178+(1-EXP(-LN(2)/25))/(LN(2)/25)*Calculateur!DB179*Calculateur!DD179*VLOOKUP('Données projet'!$B$13,Paramètres!$A$1:$I$89,3,0)*0.475*44/12</f>
        <v>2.1833500156443937</v>
      </c>
      <c r="DH179" s="21">
        <f>EXP(-LN(2)/2)*DH178+(1-EXP(-LN(2)/2))/(LN(2)/2)*DB179*DE179*VLOOKUP('Données projet'!$B$13,Paramètres!$A$1:$I$89,3,0)*0.475*44/12</f>
        <v>1.213457975728848E-13</v>
      </c>
      <c r="DI179" s="22">
        <f t="shared" si="175"/>
        <v>22.168611598256931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1">
        <f t="shared" si="140"/>
        <v>37.116472314400717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67">
        <f t="shared" si="110"/>
        <v>608.05053594758147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467.03705646400994</v>
      </c>
      <c r="T180" s="59">
        <f t="shared" si="142"/>
        <v>575.68119027684361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33.752286287947378</v>
      </c>
      <c r="AA180" s="21">
        <f>EXP(-LN(2)/25)*AA179+(1-EXP(-LN(2)/25))/(LN(2)/25)*Calculateur!V180*Calculateur!X180*VLOOKUP('Données projet'!$B$9,Paramètres!$A$1:$I$89,3,0)*0.475*44/12</f>
        <v>3.331199843172973</v>
      </c>
      <c r="AB180" s="21">
        <f>EXP(-LN(2)/2)*AB179+(1-EXP(-LN(2)/2))/(LN(2)/2)*V180*Y180*VLOOKUP('Données projet'!$B$9,Paramètres!$A$1:$I$89,3,0)*0.475*44/12</f>
        <v>8.8727353876318519E-16</v>
      </c>
      <c r="AC180" s="22">
        <f t="shared" si="163"/>
        <v>37.083486131120353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-7.0940586738288402E-14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252.44760109054914</v>
      </c>
      <c r="AO180" s="59">
        <f t="shared" si="144"/>
        <v>121.75506329394773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41.401191476509084</v>
      </c>
      <c r="AV180" s="21">
        <f>EXP(-LN(2)/25)*AV179+(1-EXP(-LN(2)/25))/(LN(2)/25)*Calculateur!AQ180*Calculateur!AS180*VLOOKUP('Données projet'!$B$10,Paramètres!$A$1:$I$89,3,0)*0.475*44/12</f>
        <v>5.297074834488793</v>
      </c>
      <c r="AW180" s="21">
        <f>EXP(-LN(2)/2)*AW179+(1-EXP(-LN(2)/2))/(LN(2)/2)*AQ180*AT180*VLOOKUP('Données projet'!$B$10,Paramètres!$A$1:$I$89,3,0)*0.475*44/12</f>
        <v>1.1102453580192685E-10</v>
      </c>
      <c r="AX180" s="21">
        <f t="shared" si="166"/>
        <v>46.698266311108902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-1.3596945791505279E-13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260.97162394079265</v>
      </c>
      <c r="BJ180" s="59">
        <f t="shared" si="146"/>
        <v>279.1836614199691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21.741786001647331</v>
      </c>
      <c r="BQ180" s="21">
        <f>EXP(-LN(2)/25)*BQ179+(1-EXP(-LN(2)/25))/(LN(2)/25)*Calculateur!BL180*Calculateur!BN180*VLOOKUP('Données projet'!$B$11,Paramètres!$A$1:$I$89,3,0)*0.475*44/12</f>
        <v>2.1058869753659875</v>
      </c>
      <c r="BR180" s="21">
        <f>EXP(-LN(2)/2)*BR179+(1-EXP(-LN(2)/2))/(LN(2)/2)*BL180*BO180*VLOOKUP('Données projet'!$B$11,Paramètres!$A$1:$I$89,3,0)*0.475*44/12</f>
        <v>6.8708315499577874E-16</v>
      </c>
      <c r="BS180" s="22">
        <f t="shared" si="169"/>
        <v>23.847672977013318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264.70281355687837</v>
      </c>
      <c r="CE180" s="59">
        <f t="shared" si="148"/>
        <v>199.74194600786768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30.019457220478841</v>
      </c>
      <c r="CL180" s="21">
        <f>EXP(-LN(2)/25)*CL179+(1-EXP(-LN(2)/25))/(LN(2)/25)*Calculateur!CG180*Calculateur!CI180*VLOOKUP('Données projet'!$B$12,Paramètres!$A$1:$I$89,3,0)*0.475*44/12</f>
        <v>3.2915913249155411</v>
      </c>
      <c r="CM180" s="21">
        <f>EXP(-LN(2)/2)*CM179+(1-EXP(-LN(2)/2))/(LN(2)/2)*CG180*CJ180*VLOOKUP('Données projet'!$B$12,Paramètres!$A$1:$I$89,3,0)*0.475*44/12</f>
        <v>2.5189229692884829E-13</v>
      </c>
      <c r="CN180" s="22">
        <f t="shared" si="172"/>
        <v>33.311048545394634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-6.5028871176764376E-14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149.8619613776458</v>
      </c>
      <c r="CZ180" s="59">
        <f t="shared" si="150"/>
        <v>108.55560257938146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19.59336279278331</v>
      </c>
      <c r="DG180" s="21">
        <f>EXP(-LN(2)/25)*DG179+(1-EXP(-LN(2)/25))/(LN(2)/25)*Calculateur!DB180*Calculateur!DD180*VLOOKUP('Données projet'!$B$13,Paramètres!$A$1:$I$89,3,0)*0.475*44/12</f>
        <v>2.1236461946492105</v>
      </c>
      <c r="DH180" s="21">
        <f>EXP(-LN(2)/2)*DH179+(1-EXP(-LN(2)/2))/(LN(2)/2)*DB180*DE180*VLOOKUP('Données projet'!$B$13,Paramètres!$A$1:$I$89,3,0)*0.475*44/12</f>
        <v>8.5804436332276942E-14</v>
      </c>
      <c r="DI180" s="22">
        <f t="shared" si="175"/>
        <v>21.717008987432607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1">
        <f t="shared" si="140"/>
        <v>37.301700301601755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67">
        <f t="shared" si="110"/>
        <v>609.78598135862342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467.03705646400994</v>
      </c>
      <c r="T181" s="59">
        <f t="shared" si="142"/>
        <v>575.68119027684361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33.090424540702578</v>
      </c>
      <c r="AA181" s="21">
        <f>EXP(-LN(2)/25)*AA180+(1-EXP(-LN(2)/25))/(LN(2)/25)*Calculateur!V181*Calculateur!X181*VLOOKUP('Données projet'!$B$9,Paramètres!$A$1:$I$89,3,0)*0.475*44/12</f>
        <v>3.2401080082812217</v>
      </c>
      <c r="AB181" s="21">
        <f>EXP(-LN(2)/2)*AB180+(1-EXP(-LN(2)/2))/(LN(2)/2)*V181*Y181*VLOOKUP('Données projet'!$B$9,Paramètres!$A$1:$I$89,3,0)*0.475*44/12</f>
        <v>6.2739713602683334E-16</v>
      </c>
      <c r="AC181" s="22">
        <f t="shared" si="163"/>
        <v>36.330532548983797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-7.0940586738288402E-14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252.44760109054914</v>
      </c>
      <c r="AO181" s="59">
        <f t="shared" si="144"/>
        <v>121.75506329394773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40.589339363888094</v>
      </c>
      <c r="AV181" s="21">
        <f>EXP(-LN(2)/25)*AV180+(1-EXP(-LN(2)/25))/(LN(2)/25)*Calculateur!AQ181*Calculateur!AS181*VLOOKUP('Données projet'!$B$10,Paramètres!$A$1:$I$89,3,0)*0.475*44/12</f>
        <v>5.1522260445786383</v>
      </c>
      <c r="AW181" s="21">
        <f>EXP(-LN(2)/2)*AW180+(1-EXP(-LN(2)/2))/(LN(2)/2)*AQ181*AT181*VLOOKUP('Données projet'!$B$10,Paramètres!$A$1:$I$89,3,0)*0.475*44/12</f>
        <v>7.8506202143631099E-11</v>
      </c>
      <c r="AX181" s="21">
        <f t="shared" si="166"/>
        <v>45.741565408545242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-1.3596945791505279E-13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260.97162394079265</v>
      </c>
      <c r="BJ181" s="59">
        <f t="shared" si="146"/>
        <v>279.1836614199691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21.315442839335056</v>
      </c>
      <c r="BQ181" s="21">
        <f>EXP(-LN(2)/25)*BQ180+(1-EXP(-LN(2)/25))/(LN(2)/25)*Calculateur!BL181*Calculateur!BN181*VLOOKUP('Données projet'!$B$11,Paramètres!$A$1:$I$89,3,0)*0.475*44/12</f>
        <v>2.0483013852808214</v>
      </c>
      <c r="BR181" s="21">
        <f>EXP(-LN(2)/2)*BR180+(1-EXP(-LN(2)/2))/(LN(2)/2)*BL181*BO181*VLOOKUP('Données projet'!$B$11,Paramètres!$A$1:$I$89,3,0)*0.475*44/12</f>
        <v>4.8584115813656284E-16</v>
      </c>
      <c r="BS181" s="22">
        <f t="shared" si="169"/>
        <v>23.363744224615878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264.70281355687837</v>
      </c>
      <c r="CE181" s="59">
        <f t="shared" si="148"/>
        <v>199.74194600786768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29.430793974446189</v>
      </c>
      <c r="CL181" s="21">
        <f>EXP(-LN(2)/25)*CL180+(1-EXP(-LN(2)/25))/(LN(2)/25)*Calculateur!CG181*Calculateur!CI181*VLOOKUP('Données projet'!$B$12,Paramètres!$A$1:$I$89,3,0)*0.475*44/12</f>
        <v>3.2015825870384607</v>
      </c>
      <c r="CM181" s="21">
        <f>EXP(-LN(2)/2)*CM180+(1-EXP(-LN(2)/2))/(LN(2)/2)*CG181*CJ181*VLOOKUP('Données projet'!$B$12,Paramètres!$A$1:$I$89,3,0)*0.475*44/12</f>
        <v>1.7811475128704399E-13</v>
      </c>
      <c r="CN181" s="22">
        <f t="shared" si="172"/>
        <v>32.632376561484826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-6.5028871176764376E-14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149.8619613776458</v>
      </c>
      <c r="CZ181" s="59">
        <f t="shared" si="150"/>
        <v>108.55560257938146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19.209148899188094</v>
      </c>
      <c r="DG181" s="21">
        <f>EXP(-LN(2)/25)*DG180+(1-EXP(-LN(2)/25))/(LN(2)/25)*Calculateur!DB181*Calculateur!DD181*VLOOKUP('Données projet'!$B$13,Paramètres!$A$1:$I$89,3,0)*0.475*44/12</f>
        <v>2.0655749777788279</v>
      </c>
      <c r="DH181" s="21">
        <f>EXP(-LN(2)/2)*DH180+(1-EXP(-LN(2)/2))/(LN(2)/2)*DB181*DE181*VLOOKUP('Données projet'!$B$13,Paramètres!$A$1:$I$89,3,0)*0.475*44/12</f>
        <v>6.06728987864424E-14</v>
      </c>
      <c r="DI181" s="22">
        <f t="shared" si="175"/>
        <v>21.274723876966981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1">
        <f t="shared" si="140"/>
        <v>37.486807201108292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67">
        <f t="shared" si="110"/>
        <v>611.52121587526403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467.03705646400994</v>
      </c>
      <c r="T182" s="59">
        <f t="shared" si="142"/>
        <v>575.68119027684361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32.441541498625448</v>
      </c>
      <c r="AA182" s="21">
        <f>EXP(-LN(2)/25)*AA181+(1-EXP(-LN(2)/25))/(LN(2)/25)*Calculateur!V182*Calculateur!X182*VLOOKUP('Données projet'!$B$9,Paramètres!$A$1:$I$89,3,0)*0.475*44/12</f>
        <v>3.1515070844048969</v>
      </c>
      <c r="AB182" s="21">
        <f>EXP(-LN(2)/2)*AB181+(1-EXP(-LN(2)/2))/(LN(2)/2)*V182*Y182*VLOOKUP('Données projet'!$B$9,Paramètres!$A$1:$I$89,3,0)*0.475*44/12</f>
        <v>4.4363676938159265E-16</v>
      </c>
      <c r="AC182" s="22">
        <f t="shared" si="163"/>
        <v>35.593048583030345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-7.0940586738288402E-14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252.44760109054914</v>
      </c>
      <c r="AO182" s="59">
        <f t="shared" si="144"/>
        <v>121.75506329394773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39.793407176014703</v>
      </c>
      <c r="AV182" s="21">
        <f>EXP(-LN(2)/25)*AV181+(1-EXP(-LN(2)/25))/(LN(2)/25)*Calculateur!AQ182*Calculateur!AS182*VLOOKUP('Données projet'!$B$10,Paramètres!$A$1:$I$89,3,0)*0.475*44/12</f>
        <v>5.0113381524458429</v>
      </c>
      <c r="AW182" s="21">
        <f>EXP(-LN(2)/2)*AW181+(1-EXP(-LN(2)/2))/(LN(2)/2)*AQ182*AT182*VLOOKUP('Données projet'!$B$10,Paramètres!$A$1:$I$89,3,0)*0.475*44/12</f>
        <v>5.5512267900963424E-11</v>
      </c>
      <c r="AX182" s="21">
        <f t="shared" si="166"/>
        <v>44.804745328516063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-1.3596945791505279E-13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260.97162394079265</v>
      </c>
      <c r="BJ182" s="59">
        <f t="shared" si="146"/>
        <v>279.1836614199691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20.897460006392073</v>
      </c>
      <c r="BQ182" s="21">
        <f>EXP(-LN(2)/25)*BQ181+(1-EXP(-LN(2)/25))/(LN(2)/25)*Calculateur!BL182*Calculateur!BN182*VLOOKUP('Données projet'!$B$11,Paramètres!$A$1:$I$89,3,0)*0.475*44/12</f>
        <v>1.992290476184829</v>
      </c>
      <c r="BR182" s="21">
        <f>EXP(-LN(2)/2)*BR181+(1-EXP(-LN(2)/2))/(LN(2)/2)*BL182*BO182*VLOOKUP('Données projet'!$B$11,Paramètres!$A$1:$I$89,3,0)*0.475*44/12</f>
        <v>3.4354157749788937E-16</v>
      </c>
      <c r="BS182" s="22">
        <f t="shared" si="169"/>
        <v>22.8897504825769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264.70281355687837</v>
      </c>
      <c r="CE182" s="59">
        <f t="shared" si="148"/>
        <v>199.74194600786768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28.853674055619109</v>
      </c>
      <c r="CL182" s="21">
        <f>EXP(-LN(2)/25)*CL181+(1-EXP(-LN(2)/25))/(LN(2)/25)*Calculateur!CG182*Calculateur!CI182*VLOOKUP('Données projet'!$B$12,Paramètres!$A$1:$I$89,3,0)*0.475*44/12</f>
        <v>3.114035142831983</v>
      </c>
      <c r="CM182" s="21">
        <f>EXP(-LN(2)/2)*CM181+(1-EXP(-LN(2)/2))/(LN(2)/2)*CG182*CJ182*VLOOKUP('Données projet'!$B$12,Paramètres!$A$1:$I$89,3,0)*0.475*44/12</f>
        <v>1.2594614846442414E-13</v>
      </c>
      <c r="CN182" s="22">
        <f t="shared" si="172"/>
        <v>31.967709198451217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-6.5028871176764376E-14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149.8619613776458</v>
      </c>
      <c r="CZ182" s="59">
        <f t="shared" si="150"/>
        <v>108.55560257938146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18.832469205698942</v>
      </c>
      <c r="DG182" s="21">
        <f>EXP(-LN(2)/25)*DG181+(1-EXP(-LN(2)/25))/(LN(2)/25)*Calculateur!DB182*Calculateur!DD182*VLOOKUP('Données projet'!$B$13,Paramètres!$A$1:$I$89,3,0)*0.475*44/12</f>
        <v>2.0090917213875987</v>
      </c>
      <c r="DH182" s="21">
        <f>EXP(-LN(2)/2)*DH181+(1-EXP(-LN(2)/2))/(LN(2)/2)*DB182*DE182*VLOOKUP('Données projet'!$B$13,Paramètres!$A$1:$I$89,3,0)*0.475*44/12</f>
        <v>4.2902218166138471E-14</v>
      </c>
      <c r="DI182" s="22">
        <f t="shared" si="175"/>
        <v>20.841560927086583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1">
        <f t="shared" si="140"/>
        <v>37.671793767891131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67">
        <f t="shared" si="110"/>
        <v>613.25624081241074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467.03705646400994</v>
      </c>
      <c r="T183" s="59">
        <f t="shared" si="142"/>
        <v>575.68119027684361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31.805382657223873</v>
      </c>
      <c r="AA183" s="21">
        <f>EXP(-LN(2)/25)*AA182+(1-EXP(-LN(2)/25))/(LN(2)/25)*Calculateur!V183*Calculateur!X183*VLOOKUP('Données projet'!$B$9,Paramètres!$A$1:$I$89,3,0)*0.475*44/12</f>
        <v>3.0653289574512903</v>
      </c>
      <c r="AB183" s="21">
        <f>EXP(-LN(2)/2)*AB182+(1-EXP(-LN(2)/2))/(LN(2)/2)*V183*Y183*VLOOKUP('Données projet'!$B$9,Paramètres!$A$1:$I$89,3,0)*0.475*44/12</f>
        <v>3.1369856801341672E-16</v>
      </c>
      <c r="AC183" s="22">
        <f t="shared" si="163"/>
        <v>34.870711614675166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-7.0940586738288402E-14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252.44760109054914</v>
      </c>
      <c r="AO183" s="59">
        <f t="shared" si="144"/>
        <v>121.75506329394773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39.013082732874814</v>
      </c>
      <c r="AV183" s="21">
        <f>EXP(-LN(2)/25)*AV182+(1-EXP(-LN(2)/25))/(LN(2)/25)*Calculateur!AQ183*Calculateur!AS183*VLOOKUP('Données projet'!$B$10,Paramètres!$A$1:$I$89,3,0)*0.475*44/12</f>
        <v>4.874302847132391</v>
      </c>
      <c r="AW183" s="21">
        <f>EXP(-LN(2)/2)*AW182+(1-EXP(-LN(2)/2))/(LN(2)/2)*AQ183*AT183*VLOOKUP('Données projet'!$B$10,Paramètres!$A$1:$I$89,3,0)*0.475*44/12</f>
        <v>3.925310107181555E-11</v>
      </c>
      <c r="AX183" s="21">
        <f t="shared" si="166"/>
        <v>43.887385580046455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-1.3596945791505279E-13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260.97162394079265</v>
      </c>
      <c r="BJ183" s="59">
        <f t="shared" si="146"/>
        <v>279.1836614199691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20.487673561858745</v>
      </c>
      <c r="BQ183" s="21">
        <f>EXP(-LN(2)/25)*BQ182+(1-EXP(-LN(2)/25))/(LN(2)/25)*Calculateur!BL183*Calculateur!BN183*VLOOKUP('Données projet'!$B$11,Paramètres!$A$1:$I$89,3,0)*0.475*44/12</f>
        <v>1.9378111883435523</v>
      </c>
      <c r="BR183" s="21">
        <f>EXP(-LN(2)/2)*BR182+(1-EXP(-LN(2)/2))/(LN(2)/2)*BL183*BO183*VLOOKUP('Données projet'!$B$11,Paramètres!$A$1:$I$89,3,0)*0.475*44/12</f>
        <v>2.4292057906828142E-16</v>
      </c>
      <c r="BS183" s="22">
        <f t="shared" si="169"/>
        <v>22.425484750202298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264.70281355687837</v>
      </c>
      <c r="CE183" s="59">
        <f t="shared" si="148"/>
        <v>199.74194600786768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28.287871106391837</v>
      </c>
      <c r="CL183" s="21">
        <f>EXP(-LN(2)/25)*CL182+(1-EXP(-LN(2)/25))/(LN(2)/25)*Calculateur!CG183*Calculateur!CI183*VLOOKUP('Données projet'!$B$12,Paramètres!$A$1:$I$89,3,0)*0.475*44/12</f>
        <v>3.0288816880912517</v>
      </c>
      <c r="CM183" s="21">
        <f>EXP(-LN(2)/2)*CM182+(1-EXP(-LN(2)/2))/(LN(2)/2)*CG183*CJ183*VLOOKUP('Données projet'!$B$12,Paramètres!$A$1:$I$89,3,0)*0.475*44/12</f>
        <v>8.9057375643521993E-14</v>
      </c>
      <c r="CN183" s="22">
        <f t="shared" si="172"/>
        <v>31.316752794483175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-6.5028871176764376E-14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149.8619613776458</v>
      </c>
      <c r="CZ183" s="59">
        <f t="shared" si="150"/>
        <v>108.55560257938146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18.463175971247185</v>
      </c>
      <c r="DG183" s="21">
        <f>EXP(-LN(2)/25)*DG182+(1-EXP(-LN(2)/25))/(LN(2)/25)*Calculateur!DB183*Calculateur!DD183*VLOOKUP('Données projet'!$B$13,Paramètres!$A$1:$I$89,3,0)*0.475*44/12</f>
        <v>1.954153002612713</v>
      </c>
      <c r="DH183" s="21">
        <f>EXP(-LN(2)/2)*DH182+(1-EXP(-LN(2)/2))/(LN(2)/2)*DB183*DE183*VLOOKUP('Données projet'!$B$13,Paramètres!$A$1:$I$89,3,0)*0.475*44/12</f>
        <v>3.03364493932212E-14</v>
      </c>
      <c r="DI183" s="22">
        <f t="shared" si="175"/>
        <v>20.417328973859931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1">
        <f t="shared" si="140"/>
        <v>37.856660748047048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67">
        <f t="shared" si="110"/>
        <v>614.99105746951568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467.03705646400994</v>
      </c>
      <c r="T184" s="59">
        <f t="shared" si="142"/>
        <v>575.68119027684361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31.181698502683606</v>
      </c>
      <c r="AA184" s="21">
        <f>EXP(-LN(2)/25)*AA183+(1-EXP(-LN(2)/25))/(LN(2)/25)*Calculateur!V184*Calculateur!X184*VLOOKUP('Données projet'!$B$9,Paramètres!$A$1:$I$89,3,0)*0.475*44/12</f>
        <v>2.981507375911141</v>
      </c>
      <c r="AB184" s="21">
        <f>EXP(-LN(2)/2)*AB183+(1-EXP(-LN(2)/2))/(LN(2)/2)*V184*Y184*VLOOKUP('Données projet'!$B$9,Paramètres!$A$1:$I$89,3,0)*0.475*44/12</f>
        <v>2.2181838469079637E-16</v>
      </c>
      <c r="AC184" s="22">
        <f t="shared" si="163"/>
        <v>34.163205878594745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-7.0940586738288402E-14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252.44760109054914</v>
      </c>
      <c r="AO184" s="59">
        <f t="shared" si="144"/>
        <v>121.75506329394773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38.248059976113986</v>
      </c>
      <c r="AV184" s="21">
        <f>EXP(-LN(2)/25)*AV183+(1-EXP(-LN(2)/25))/(LN(2)/25)*Calculateur!AQ184*Calculateur!AS184*VLOOKUP('Données projet'!$B$10,Paramètres!$A$1:$I$89,3,0)*0.475*44/12</f>
        <v>4.7410147794491095</v>
      </c>
      <c r="AW184" s="21">
        <f>EXP(-LN(2)/2)*AW183+(1-EXP(-LN(2)/2))/(LN(2)/2)*AQ184*AT184*VLOOKUP('Données projet'!$B$10,Paramètres!$A$1:$I$89,3,0)*0.475*44/12</f>
        <v>2.7756133950481712E-11</v>
      </c>
      <c r="AX184" s="21">
        <f t="shared" si="166"/>
        <v>42.989074755590849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-1.3596945791505279E-13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260.97162394079265</v>
      </c>
      <c r="BJ184" s="59">
        <f t="shared" si="146"/>
        <v>279.1836614199691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20.085922779557666</v>
      </c>
      <c r="BQ184" s="21">
        <f>EXP(-LN(2)/25)*BQ183+(1-EXP(-LN(2)/25))/(LN(2)/25)*Calculateur!BL184*Calculateur!BN184*VLOOKUP('Données projet'!$B$11,Paramètres!$A$1:$I$89,3,0)*0.475*44/12</f>
        <v>1.8848216394932364</v>
      </c>
      <c r="BR184" s="21">
        <f>EXP(-LN(2)/2)*BR183+(1-EXP(-LN(2)/2))/(LN(2)/2)*BL184*BO184*VLOOKUP('Données projet'!$B$11,Paramètres!$A$1:$I$89,3,0)*0.475*44/12</f>
        <v>1.7177078874894469E-16</v>
      </c>
      <c r="BS184" s="22">
        <f t="shared" si="169"/>
        <v>21.970744419050902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264.70281355687837</v>
      </c>
      <c r="CE184" s="59">
        <f t="shared" si="148"/>
        <v>199.74194600786768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27.733163207893188</v>
      </c>
      <c r="CL184" s="21">
        <f>EXP(-LN(2)/25)*CL183+(1-EXP(-LN(2)/25))/(LN(2)/25)*Calculateur!CG184*Calculateur!CI184*VLOOKUP('Données projet'!$B$12,Paramètres!$A$1:$I$89,3,0)*0.475*44/12</f>
        <v>2.9460567590484312</v>
      </c>
      <c r="CM184" s="21">
        <f>EXP(-LN(2)/2)*CM183+(1-EXP(-LN(2)/2))/(LN(2)/2)*CG184*CJ184*VLOOKUP('Données projet'!$B$12,Paramètres!$A$1:$I$89,3,0)*0.475*44/12</f>
        <v>6.2973074232212072E-14</v>
      </c>
      <c r="CN184" s="22">
        <f t="shared" si="172"/>
        <v>30.679219966941684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-6.5028871176764376E-14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149.8619613776458</v>
      </c>
      <c r="CZ184" s="59">
        <f t="shared" si="150"/>
        <v>108.55560257938146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18.101124351876397</v>
      </c>
      <c r="DG184" s="21">
        <f>EXP(-LN(2)/25)*DG183+(1-EXP(-LN(2)/25))/(LN(2)/25)*Calculateur!DB184*Calculateur!DD184*VLOOKUP('Données projet'!$B$13,Paramètres!$A$1:$I$89,3,0)*0.475*44/12</f>
        <v>1.9007165859918282</v>
      </c>
      <c r="DH184" s="21">
        <f>EXP(-LN(2)/2)*DH183+(1-EXP(-LN(2)/2))/(LN(2)/2)*DB184*DE184*VLOOKUP('Données projet'!$B$13,Paramètres!$A$1:$I$89,3,0)*0.475*44/12</f>
        <v>2.1451109083069235E-14</v>
      </c>
      <c r="DI184" s="22">
        <f t="shared" si="175"/>
        <v>20.001840937868245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1">
        <f t="shared" si="140"/>
        <v>38.041408878951366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67">
        <f t="shared" si="110"/>
        <v>616.72566713084075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467.03705646400994</v>
      </c>
      <c r="T185" s="59">
        <f t="shared" si="142"/>
        <v>575.68119027684361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30.570244414004101</v>
      </c>
      <c r="AA185" s="21">
        <f>EXP(-LN(2)/25)*AA184+(1-EXP(-LN(2)/25))/(LN(2)/25)*Calculateur!V185*Calculateur!X185*VLOOKUP('Données projet'!$B$9,Paramètres!$A$1:$I$89,3,0)*0.475*44/12</f>
        <v>2.8999778999261925</v>
      </c>
      <c r="AB185" s="21">
        <f>EXP(-LN(2)/2)*AB184+(1-EXP(-LN(2)/2))/(LN(2)/2)*V185*Y185*VLOOKUP('Données projet'!$B$9,Paramètres!$A$1:$I$89,3,0)*0.475*44/12</f>
        <v>1.5684928400670838E-16</v>
      </c>
      <c r="AC185" s="22">
        <f t="shared" si="163"/>
        <v>33.470222313930293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-7.0940586738288402E-14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252.44760109054914</v>
      </c>
      <c r="AO185" s="59">
        <f t="shared" si="144"/>
        <v>121.75506329394773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37.498038848995428</v>
      </c>
      <c r="AV185" s="21">
        <f>EXP(-LN(2)/25)*AV184+(1-EXP(-LN(2)/25))/(LN(2)/25)*Calculateur!AQ185*Calculateur!AS185*VLOOKUP('Données projet'!$B$10,Paramètres!$A$1:$I$89,3,0)*0.475*44/12</f>
        <v>4.6113714809859419</v>
      </c>
      <c r="AW185" s="21">
        <f>EXP(-LN(2)/2)*AW184+(1-EXP(-LN(2)/2))/(LN(2)/2)*AQ185*AT185*VLOOKUP('Données projet'!$B$10,Paramètres!$A$1:$I$89,3,0)*0.475*44/12</f>
        <v>1.9626550535907775E-11</v>
      </c>
      <c r="AX185" s="21">
        <f t="shared" si="166"/>
        <v>42.109410330000998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-1.3596945791505279E-13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260.97162394079265</v>
      </c>
      <c r="BJ185" s="59">
        <f t="shared" si="146"/>
        <v>279.1836614199691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19.692050085053729</v>
      </c>
      <c r="BQ185" s="21">
        <f>EXP(-LN(2)/25)*BQ184+(1-EXP(-LN(2)/25))/(LN(2)/25)*Calculateur!BL185*Calculateur!BN185*VLOOKUP('Données projet'!$B$11,Paramètres!$A$1:$I$89,3,0)*0.475*44/12</f>
        <v>1.8332810926428318</v>
      </c>
      <c r="BR185" s="21">
        <f>EXP(-LN(2)/2)*BR184+(1-EXP(-LN(2)/2))/(LN(2)/2)*BL185*BO185*VLOOKUP('Données projet'!$B$11,Paramètres!$A$1:$I$89,3,0)*0.475*44/12</f>
        <v>1.2146028953414071E-16</v>
      </c>
      <c r="BS185" s="22">
        <f t="shared" si="169"/>
        <v>21.525331177696561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264.70281355687837</v>
      </c>
      <c r="CE185" s="59">
        <f t="shared" si="148"/>
        <v>199.74194600786768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27.189332792945688</v>
      </c>
      <c r="CL185" s="21">
        <f>EXP(-LN(2)/25)*CL184+(1-EXP(-LN(2)/25))/(LN(2)/25)*Calculateur!CG185*Calculateur!CI185*VLOOKUP('Données projet'!$B$12,Paramètres!$A$1:$I$89,3,0)*0.475*44/12</f>
        <v>2.8654966820458601</v>
      </c>
      <c r="CM185" s="21">
        <f>EXP(-LN(2)/2)*CM184+(1-EXP(-LN(2)/2))/(LN(2)/2)*CG185*CJ185*VLOOKUP('Données projet'!$B$12,Paramètres!$A$1:$I$89,3,0)*0.475*44/12</f>
        <v>4.4528687821760996E-14</v>
      </c>
      <c r="CN185" s="22">
        <f t="shared" si="172"/>
        <v>30.054829474991596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-6.5028871176764376E-14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149.8619613776458</v>
      </c>
      <c r="CZ185" s="59">
        <f t="shared" si="150"/>
        <v>108.55560257938146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17.746172343931786</v>
      </c>
      <c r="DG185" s="21">
        <f>EXP(-LN(2)/25)*DG184+(1-EXP(-LN(2)/25))/(LN(2)/25)*Calculateur!DB185*Calculateur!DD185*VLOOKUP('Données projet'!$B$13,Paramètres!$A$1:$I$89,3,0)*0.475*44/12</f>
        <v>1.8487413909935406</v>
      </c>
      <c r="DH185" s="21">
        <f>EXP(-LN(2)/2)*DH184+(1-EXP(-LN(2)/2))/(LN(2)/2)*DB185*DE185*VLOOKUP('Données projet'!$B$13,Paramètres!$A$1:$I$89,3,0)*0.475*44/12</f>
        <v>1.51682246966106E-14</v>
      </c>
      <c r="DI185" s="22">
        <f t="shared" si="175"/>
        <v>19.594913734925342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1">
        <f t="shared" si="140"/>
        <v>38.226038889407569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67">
        <f t="shared" si="110"/>
        <v>618.46007106571869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467.03705646400994</v>
      </c>
      <c r="T186" s="59">
        <f t="shared" si="142"/>
        <v>575.68119027684361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29.970780567053431</v>
      </c>
      <c r="AA186" s="21">
        <f>EXP(-LN(2)/25)*AA185+(1-EXP(-LN(2)/25))/(LN(2)/25)*Calculateur!V186*Calculateur!X186*VLOOKUP('Données projet'!$B$9,Paramètres!$A$1:$I$89,3,0)*0.475*44/12</f>
        <v>2.820677851749501</v>
      </c>
      <c r="AB186" s="21">
        <f>EXP(-LN(2)/2)*AB185+(1-EXP(-LN(2)/2))/(LN(2)/2)*V186*Y186*VLOOKUP('Données projet'!$B$9,Paramètres!$A$1:$I$89,3,0)*0.475*44/12</f>
        <v>1.109091923453982E-16</v>
      </c>
      <c r="AC186" s="22">
        <f t="shared" si="163"/>
        <v>32.791458418802932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-7.0940586738288402E-14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252.44760109054914</v>
      </c>
      <c r="AO186" s="59">
        <f t="shared" si="144"/>
        <v>121.75506329394773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36.762725178711946</v>
      </c>
      <c r="AV186" s="21">
        <f>EXP(-LN(2)/25)*AV185+(1-EXP(-LN(2)/25))/(LN(2)/25)*Calculateur!AQ186*Calculateur!AS186*VLOOKUP('Données projet'!$B$10,Paramètres!$A$1:$I$89,3,0)*0.475*44/12</f>
        <v>4.4852732853368948</v>
      </c>
      <c r="AW186" s="21">
        <f>EXP(-LN(2)/2)*AW185+(1-EXP(-LN(2)/2))/(LN(2)/2)*AQ186*AT186*VLOOKUP('Données projet'!$B$10,Paramètres!$A$1:$I$89,3,0)*0.475*44/12</f>
        <v>1.3878066975240856E-11</v>
      </c>
      <c r="AX186" s="21">
        <f t="shared" si="166"/>
        <v>41.247998464062718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-1.3596945791505279E-13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260.97162394079265</v>
      </c>
      <c r="BJ186" s="59">
        <f t="shared" si="146"/>
        <v>279.1836614199691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19.305900993850393</v>
      </c>
      <c r="BQ186" s="21">
        <f>EXP(-LN(2)/25)*BQ185+(1-EXP(-LN(2)/25))/(LN(2)/25)*Calculateur!BL186*Calculateur!BN186*VLOOKUP('Données projet'!$B$11,Paramètres!$A$1:$I$89,3,0)*0.475*44/12</f>
        <v>1.7831499247564508</v>
      </c>
      <c r="BR186" s="21">
        <f>EXP(-LN(2)/2)*BR185+(1-EXP(-LN(2)/2))/(LN(2)/2)*BL186*BO186*VLOOKUP('Données projet'!$B$11,Paramètres!$A$1:$I$89,3,0)*0.475*44/12</f>
        <v>8.5885394374472343E-17</v>
      </c>
      <c r="BS186" s="22">
        <f t="shared" si="169"/>
        <v>21.089050918606844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264.70281355687837</v>
      </c>
      <c r="CE186" s="59">
        <f t="shared" si="148"/>
        <v>199.74194600786768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26.656166560731506</v>
      </c>
      <c r="CL186" s="21">
        <f>EXP(-LN(2)/25)*CL185+(1-EXP(-LN(2)/25))/(LN(2)/25)*Calculateur!CG186*Calculateur!CI186*VLOOKUP('Données projet'!$B$12,Paramètres!$A$1:$I$89,3,0)*0.475*44/12</f>
        <v>2.7871395245853945</v>
      </c>
      <c r="CM186" s="21">
        <f>EXP(-LN(2)/2)*CM185+(1-EXP(-LN(2)/2))/(LN(2)/2)*CG186*CJ186*VLOOKUP('Données projet'!$B$12,Paramètres!$A$1:$I$89,3,0)*0.475*44/12</f>
        <v>3.1486537116106036E-14</v>
      </c>
      <c r="CN186" s="22">
        <f t="shared" si="172"/>
        <v>29.443306085316934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-6.5028871176764376E-14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149.8619613776458</v>
      </c>
      <c r="CZ186" s="59">
        <f t="shared" si="150"/>
        <v>108.55560257938146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17.398180728363624</v>
      </c>
      <c r="DG186" s="21">
        <f>EXP(-LN(2)/25)*DG185+(1-EXP(-LN(2)/25))/(LN(2)/25)*Calculateur!DB186*Calculateur!DD186*VLOOKUP('Données projet'!$B$13,Paramètres!$A$1:$I$89,3,0)*0.475*44/12</f>
        <v>1.798187460435738</v>
      </c>
      <c r="DH186" s="21">
        <f>EXP(-LN(2)/2)*DH185+(1-EXP(-LN(2)/2))/(LN(2)/2)*DB186*DE186*VLOOKUP('Données projet'!$B$13,Paramètres!$A$1:$I$89,3,0)*0.475*44/12</f>
        <v>1.0725554541534618E-14</v>
      </c>
      <c r="DI186" s="22">
        <f t="shared" si="175"/>
        <v>19.196368188799372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1">
        <f t="shared" si="140"/>
        <v>38.410551499792973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67">
        <f t="shared" si="110"/>
        <v>620.19427052880656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467.03705646400994</v>
      </c>
      <c r="T187" s="59">
        <f t="shared" si="142"/>
        <v>575.68119027684361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29.383071840504623</v>
      </c>
      <c r="AA187" s="21">
        <f>EXP(-LN(2)/25)*AA186+(1-EXP(-LN(2)/25))/(LN(2)/25)*Calculateur!V187*Calculateur!X187*VLOOKUP('Données projet'!$B$9,Paramètres!$A$1:$I$89,3,0)*0.475*44/12</f>
        <v>2.7435462675604096</v>
      </c>
      <c r="AB187" s="21">
        <f>EXP(-LN(2)/2)*AB186+(1-EXP(-LN(2)/2))/(LN(2)/2)*V187*Y187*VLOOKUP('Données projet'!$B$9,Paramètres!$A$1:$I$89,3,0)*0.475*44/12</f>
        <v>7.8424642003354205E-17</v>
      </c>
      <c r="AC187" s="22">
        <f t="shared" si="163"/>
        <v>32.126618108065031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-7.0940586738288402E-14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252.44760109054914</v>
      </c>
      <c r="AO187" s="59">
        <f t="shared" si="144"/>
        <v>121.75506329394773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36.041830561005675</v>
      </c>
      <c r="AV187" s="21">
        <f>EXP(-LN(2)/25)*AV186+(1-EXP(-LN(2)/25))/(LN(2)/25)*Calculateur!AQ187*Calculateur!AS187*VLOOKUP('Données projet'!$B$10,Paramètres!$A$1:$I$89,3,0)*0.475*44/12</f>
        <v>4.3626232514790866</v>
      </c>
      <c r="AW187" s="21">
        <f>EXP(-LN(2)/2)*AW186+(1-EXP(-LN(2)/2))/(LN(2)/2)*AQ187*AT187*VLOOKUP('Données projet'!$B$10,Paramètres!$A$1:$I$89,3,0)*0.475*44/12</f>
        <v>9.8132752679538874E-12</v>
      </c>
      <c r="AX187" s="21">
        <f t="shared" si="166"/>
        <v>40.404453812494573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-1.3596945791505279E-13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260.97162394079265</v>
      </c>
      <c r="BJ187" s="59">
        <f t="shared" si="146"/>
        <v>279.1836614199691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18.927324050797864</v>
      </c>
      <c r="BQ187" s="21">
        <f>EXP(-LN(2)/25)*BQ186+(1-EXP(-LN(2)/25))/(LN(2)/25)*Calculateur!BL187*Calculateur!BN187*VLOOKUP('Données projet'!$B$11,Paramètres!$A$1:$I$89,3,0)*0.475*44/12</f>
        <v>1.7343895962922067</v>
      </c>
      <c r="BR187" s="21">
        <f>EXP(-LN(2)/2)*BR186+(1-EXP(-LN(2)/2))/(LN(2)/2)*BL187*BO187*VLOOKUP('Données projet'!$B$11,Paramètres!$A$1:$I$89,3,0)*0.475*44/12</f>
        <v>6.0730144767070355E-17</v>
      </c>
      <c r="BS187" s="22">
        <f t="shared" si="169"/>
        <v>20.661713647090071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264.70281355687837</v>
      </c>
      <c r="CE187" s="59">
        <f t="shared" si="148"/>
        <v>199.74194600786768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26.133455393131754</v>
      </c>
      <c r="CL187" s="21">
        <f>EXP(-LN(2)/25)*CL186+(1-EXP(-LN(2)/25))/(LN(2)/25)*Calculateur!CG187*Calculateur!CI187*VLOOKUP('Données projet'!$B$12,Paramètres!$A$1:$I$89,3,0)*0.475*44/12</f>
        <v>2.7109250477163092</v>
      </c>
      <c r="CM187" s="21">
        <f>EXP(-LN(2)/2)*CM186+(1-EXP(-LN(2)/2))/(LN(2)/2)*CG187*CJ187*VLOOKUP('Données projet'!$B$12,Paramètres!$A$1:$I$89,3,0)*0.475*44/12</f>
        <v>2.2264343910880498E-14</v>
      </c>
      <c r="CN187" s="22">
        <f t="shared" si="172"/>
        <v>28.844380440848084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-6.5028871176764376E-14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149.8619613776458</v>
      </c>
      <c r="CZ187" s="59">
        <f t="shared" si="150"/>
        <v>108.55560257938146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17.057013016122824</v>
      </c>
      <c r="DG187" s="21">
        <f>EXP(-LN(2)/25)*DG186+(1-EXP(-LN(2)/25))/(LN(2)/25)*Calculateur!DB187*Calculateur!DD187*VLOOKUP('Données projet'!$B$13,Paramètres!$A$1:$I$89,3,0)*0.475*44/12</f>
        <v>1.749015929767554</v>
      </c>
      <c r="DH187" s="21">
        <f>EXP(-LN(2)/2)*DH186+(1-EXP(-LN(2)/2))/(LN(2)/2)*DB187*DE187*VLOOKUP('Données projet'!$B$13,Paramètres!$A$1:$I$89,3,0)*0.475*44/12</f>
        <v>7.5841123483053E-15</v>
      </c>
      <c r="DI187" s="22">
        <f t="shared" si="175"/>
        <v>18.806028945890386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1">
        <f t="shared" si="140"/>
        <v>38.594947422201528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67">
        <f t="shared" si="110"/>
        <v>621.92826676033485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467.03705646400994</v>
      </c>
      <c r="T188" s="59">
        <f t="shared" si="142"/>
        <v>575.68119027684361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28.806887723616509</v>
      </c>
      <c r="AA188" s="21">
        <f>EXP(-LN(2)/25)*AA187+(1-EXP(-LN(2)/25))/(LN(2)/25)*Calculateur!V188*Calculateur!X188*VLOOKUP('Données projet'!$B$9,Paramètres!$A$1:$I$89,3,0)*0.475*44/12</f>
        <v>2.6685238505971425</v>
      </c>
      <c r="AB188" s="21">
        <f>EXP(-LN(2)/2)*AB187+(1-EXP(-LN(2)/2))/(LN(2)/2)*V188*Y188*VLOOKUP('Données projet'!$B$9,Paramètres!$A$1:$I$89,3,0)*0.475*44/12</f>
        <v>5.5454596172699111E-17</v>
      </c>
      <c r="AC188" s="22">
        <f t="shared" si="163"/>
        <v>31.475411574213652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-7.0940586738288402E-14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252.44760109054914</v>
      </c>
      <c r="AO188" s="59">
        <f t="shared" si="144"/>
        <v>121.75506329394773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35.33507224705032</v>
      </c>
      <c r="AV188" s="21">
        <f>EXP(-LN(2)/25)*AV187+(1-EXP(-LN(2)/25))/(LN(2)/25)*Calculateur!AQ188*Calculateur!AS188*VLOOKUP('Données projet'!$B$10,Paramètres!$A$1:$I$89,3,0)*0.475*44/12</f>
        <v>4.2433270892470052</v>
      </c>
      <c r="AW188" s="21">
        <f>EXP(-LN(2)/2)*AW187+(1-EXP(-LN(2)/2))/(LN(2)/2)*AQ188*AT188*VLOOKUP('Données projet'!$B$10,Paramètres!$A$1:$I$89,3,0)*0.475*44/12</f>
        <v>6.939033487620428E-12</v>
      </c>
      <c r="AX188" s="21">
        <f t="shared" si="166"/>
        <v>39.578399336304265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-1.3596945791505279E-13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260.97162394079265</v>
      </c>
      <c r="BJ188" s="59">
        <f t="shared" si="146"/>
        <v>279.1836614199691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18.556170770689462</v>
      </c>
      <c r="BQ188" s="21">
        <f>EXP(-LN(2)/25)*BQ187+(1-EXP(-LN(2)/25))/(LN(2)/25)*Calculateur!BL188*Calculateur!BN188*VLOOKUP('Données projet'!$B$11,Paramètres!$A$1:$I$89,3,0)*0.475*44/12</f>
        <v>1.6869626215740114</v>
      </c>
      <c r="BR188" s="21">
        <f>EXP(-LN(2)/2)*BR187+(1-EXP(-LN(2)/2))/(LN(2)/2)*BL188*BO188*VLOOKUP('Données projet'!$B$11,Paramètres!$A$1:$I$89,3,0)*0.475*44/12</f>
        <v>4.2942697187236172E-17</v>
      </c>
      <c r="BS188" s="22">
        <f t="shared" si="169"/>
        <v>20.243133392263474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264.70281355687837</v>
      </c>
      <c r="CE188" s="59">
        <f t="shared" si="148"/>
        <v>199.74194600786768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25.620994272706302</v>
      </c>
      <c r="CL188" s="21">
        <f>EXP(-LN(2)/25)*CL187+(1-EXP(-LN(2)/25))/(LN(2)/25)*Calculateur!CG188*Calculateur!CI188*VLOOKUP('Données projet'!$B$12,Paramètres!$A$1:$I$89,3,0)*0.475*44/12</f>
        <v>2.6367946597251541</v>
      </c>
      <c r="CM188" s="21">
        <f>EXP(-LN(2)/2)*CM187+(1-EXP(-LN(2)/2))/(LN(2)/2)*CG188*CJ188*VLOOKUP('Données projet'!$B$12,Paramètres!$A$1:$I$89,3,0)*0.475*44/12</f>
        <v>1.5743268558053018E-14</v>
      </c>
      <c r="CN188" s="22">
        <f t="shared" si="172"/>
        <v>28.25778893243147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-6.5028871176764376E-14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149.8619613776458</v>
      </c>
      <c r="CZ188" s="59">
        <f t="shared" si="150"/>
        <v>108.55560257938146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16.722535394627311</v>
      </c>
      <c r="DG188" s="21">
        <f>EXP(-LN(2)/25)*DG187+(1-EXP(-LN(2)/25))/(LN(2)/25)*Calculateur!DB188*Calculateur!DD188*VLOOKUP('Données projet'!$B$13,Paramètres!$A$1:$I$89,3,0)*0.475*44/12</f>
        <v>1.7011889971913099</v>
      </c>
      <c r="DH188" s="21">
        <f>EXP(-LN(2)/2)*DH187+(1-EXP(-LN(2)/2))/(LN(2)/2)*DB188*DE188*VLOOKUP('Données projet'!$B$13,Paramètres!$A$1:$I$89,3,0)*0.475*44/12</f>
        <v>5.3627772707673089E-15</v>
      </c>
      <c r="DI188" s="22">
        <f t="shared" si="175"/>
        <v>18.423724391818627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1">
        <f t="shared" si="140"/>
        <v>38.77922736058327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67">
        <f t="shared" si="110"/>
        <v>623.66206098634973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467.03705646400994</v>
      </c>
      <c r="T189" s="59">
        <f t="shared" si="142"/>
        <v>575.68119027684361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28.242002225822961</v>
      </c>
      <c r="AA189" s="21">
        <f>EXP(-LN(2)/25)*AA188+(1-EXP(-LN(2)/25))/(LN(2)/25)*Calculateur!V189*Calculateur!X189*VLOOKUP('Données projet'!$B$9,Paramètres!$A$1:$I$89,3,0)*0.475*44/12</f>
        <v>2.5955529255709933</v>
      </c>
      <c r="AB189" s="21">
        <f>EXP(-LN(2)/2)*AB188+(1-EXP(-LN(2)/2))/(LN(2)/2)*V189*Y189*VLOOKUP('Données projet'!$B$9,Paramètres!$A$1:$I$89,3,0)*0.475*44/12</f>
        <v>3.9212321001677109E-17</v>
      </c>
      <c r="AC189" s="22">
        <f t="shared" si="163"/>
        <v>30.837555151393953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-7.0940586738288402E-14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252.44760109054914</v>
      </c>
      <c r="AO189" s="59">
        <f t="shared" si="144"/>
        <v>121.75506329394773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34.642173032551625</v>
      </c>
      <c r="AV189" s="21">
        <f>EXP(-LN(2)/25)*AV188+(1-EXP(-LN(2)/25))/(LN(2)/25)*Calculateur!AQ189*Calculateur!AS189*VLOOKUP('Données projet'!$B$10,Paramètres!$A$1:$I$89,3,0)*0.475*44/12</f>
        <v>4.1272930868446727</v>
      </c>
      <c r="AW189" s="21">
        <f>EXP(-LN(2)/2)*AW188+(1-EXP(-LN(2)/2))/(LN(2)/2)*AQ189*AT189*VLOOKUP('Données projet'!$B$10,Paramètres!$A$1:$I$89,3,0)*0.475*44/12</f>
        <v>4.9066376339769437E-12</v>
      </c>
      <c r="AX189" s="21">
        <f t="shared" si="166"/>
        <v>38.769466119401208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-1.3596945791505279E-13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260.97162394079265</v>
      </c>
      <c r="BJ189" s="59">
        <f t="shared" si="146"/>
        <v>279.1836614199691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18.192295580022837</v>
      </c>
      <c r="BQ189" s="21">
        <f>EXP(-LN(2)/25)*BQ188+(1-EXP(-LN(2)/25))/(LN(2)/25)*Calculateur!BL189*Calculateur!BN189*VLOOKUP('Données projet'!$B$11,Paramètres!$A$1:$I$89,3,0)*0.475*44/12</f>
        <v>1.6408325399735615</v>
      </c>
      <c r="BR189" s="21">
        <f>EXP(-LN(2)/2)*BR188+(1-EXP(-LN(2)/2))/(LN(2)/2)*BL189*BO189*VLOOKUP('Données projet'!$B$11,Paramètres!$A$1:$I$89,3,0)*0.475*44/12</f>
        <v>3.0365072383535177E-17</v>
      </c>
      <c r="BS189" s="22">
        <f t="shared" si="169"/>
        <v>19.833128119996399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264.70281355687837</v>
      </c>
      <c r="CE189" s="59">
        <f t="shared" si="148"/>
        <v>199.74194600786768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25.118582202281974</v>
      </c>
      <c r="CL189" s="21">
        <f>EXP(-LN(2)/25)*CL188+(1-EXP(-LN(2)/25))/(LN(2)/25)*Calculateur!CG189*Calculateur!CI189*VLOOKUP('Données projet'!$B$12,Paramètres!$A$1:$I$89,3,0)*0.475*44/12</f>
        <v>2.564691371091965</v>
      </c>
      <c r="CM189" s="21">
        <f>EXP(-LN(2)/2)*CM188+(1-EXP(-LN(2)/2))/(LN(2)/2)*CG189*CJ189*VLOOKUP('Données projet'!$B$12,Paramètres!$A$1:$I$89,3,0)*0.475*44/12</f>
        <v>1.1132171955440249E-14</v>
      </c>
      <c r="CN189" s="22">
        <f t="shared" si="172"/>
        <v>27.683273573373949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-6.5028871176764376E-14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149.8619613776458</v>
      </c>
      <c r="CZ189" s="59">
        <f t="shared" si="150"/>
        <v>108.55560257938146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16.394616675278119</v>
      </c>
      <c r="DG189" s="21">
        <f>EXP(-LN(2)/25)*DG188+(1-EXP(-LN(2)/25))/(LN(2)/25)*Calculateur!DB189*Calculateur!DD189*VLOOKUP('Données projet'!$B$13,Paramètres!$A$1:$I$89,3,0)*0.475*44/12</f>
        <v>1.6546698946014722</v>
      </c>
      <c r="DH189" s="21">
        <f>EXP(-LN(2)/2)*DH188+(1-EXP(-LN(2)/2))/(LN(2)/2)*DB189*DE189*VLOOKUP('Données projet'!$B$13,Paramètres!$A$1:$I$89,3,0)*0.475*44/12</f>
        <v>3.79205617415265E-15</v>
      </c>
      <c r="DI189" s="22">
        <f t="shared" si="175"/>
        <v>18.049286569879595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1">
        <f t="shared" si="140"/>
        <v>38.963392010880717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67">
        <f t="shared" si="110"/>
        <v>625.39565441895115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467.03705646400994</v>
      </c>
      <c r="T190" s="59">
        <f t="shared" si="142"/>
        <v>575.68119027684361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27.688193788095013</v>
      </c>
      <c r="AA190" s="21">
        <f>EXP(-LN(2)/25)*AA189+(1-EXP(-LN(2)/25))/(LN(2)/25)*Calculateur!V190*Calculateur!X190*VLOOKUP('Données projet'!$B$9,Paramètres!$A$1:$I$89,3,0)*0.475*44/12</f>
        <v>2.5245773943270584</v>
      </c>
      <c r="AB190" s="21">
        <f>EXP(-LN(2)/2)*AB189+(1-EXP(-LN(2)/2))/(LN(2)/2)*V190*Y190*VLOOKUP('Données projet'!$B$9,Paramètres!$A$1:$I$89,3,0)*0.475*44/12</f>
        <v>2.7727298086349559E-17</v>
      </c>
      <c r="AC190" s="22">
        <f t="shared" si="163"/>
        <v>30.21277118242207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-7.0940586738288402E-14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252.44760109054914</v>
      </c>
      <c r="AO190" s="59">
        <f t="shared" si="144"/>
        <v>121.75506329394773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33.962861149022459</v>
      </c>
      <c r="AV190" s="21">
        <f>EXP(-LN(2)/25)*AV189+(1-EXP(-LN(2)/25))/(LN(2)/25)*Calculateur!AQ190*Calculateur!AS190*VLOOKUP('Données projet'!$B$10,Paramètres!$A$1:$I$89,3,0)*0.475*44/12</f>
        <v>4.0144320403399947</v>
      </c>
      <c r="AW190" s="21">
        <f>EXP(-LN(2)/2)*AW189+(1-EXP(-LN(2)/2))/(LN(2)/2)*AQ190*AT190*VLOOKUP('Données projet'!$B$10,Paramètres!$A$1:$I$89,3,0)*0.475*44/12</f>
        <v>3.469516743810214E-12</v>
      </c>
      <c r="AX190" s="21">
        <f t="shared" si="166"/>
        <v>37.977293189365923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-1.3596945791505279E-13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260.97162394079265</v>
      </c>
      <c r="BJ190" s="59">
        <f t="shared" si="146"/>
        <v>279.1836614199691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17.835555759903233</v>
      </c>
      <c r="BQ190" s="21">
        <f>EXP(-LN(2)/25)*BQ189+(1-EXP(-LN(2)/25))/(LN(2)/25)*Calculateur!BL190*Calculateur!BN190*VLOOKUP('Données projet'!$B$11,Paramètres!$A$1:$I$89,3,0)*0.475*44/12</f>
        <v>1.5959638878803513</v>
      </c>
      <c r="BR190" s="21">
        <f>EXP(-LN(2)/2)*BR189+(1-EXP(-LN(2)/2))/(LN(2)/2)*BL190*BO190*VLOOKUP('Données projet'!$B$11,Paramètres!$A$1:$I$89,3,0)*0.475*44/12</f>
        <v>2.1471348593618086E-17</v>
      </c>
      <c r="BS190" s="22">
        <f t="shared" si="169"/>
        <v>19.431519647783585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264.70281355687837</v>
      </c>
      <c r="CE190" s="59">
        <f t="shared" si="148"/>
        <v>199.74194600786768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24.626022126117562</v>
      </c>
      <c r="CL190" s="21">
        <f>EXP(-LN(2)/25)*CL189+(1-EXP(-LN(2)/25))/(LN(2)/25)*Calculateur!CG190*Calculateur!CI190*VLOOKUP('Données projet'!$B$12,Paramètres!$A$1:$I$89,3,0)*0.475*44/12</f>
        <v>2.4945597506781976</v>
      </c>
      <c r="CM190" s="21">
        <f>EXP(-LN(2)/2)*CM189+(1-EXP(-LN(2)/2))/(LN(2)/2)*CG190*CJ190*VLOOKUP('Données projet'!$B$12,Paramètres!$A$1:$I$89,3,0)*0.475*44/12</f>
        <v>7.8716342790265091E-15</v>
      </c>
      <c r="CN190" s="22">
        <f t="shared" si="172"/>
        <v>27.120581876795768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-6.5028871176764376E-14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149.8619613776458</v>
      </c>
      <c r="CZ190" s="59">
        <f t="shared" si="150"/>
        <v>108.55560257938146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16.073128242004696</v>
      </c>
      <c r="DG190" s="21">
        <f>EXP(-LN(2)/25)*DG189+(1-EXP(-LN(2)/25))/(LN(2)/25)*Calculateur!DB190*Calculateur!DD190*VLOOKUP('Données projet'!$B$13,Paramètres!$A$1:$I$89,3,0)*0.475*44/12</f>
        <v>1.6094228593182869</v>
      </c>
      <c r="DH190" s="21">
        <f>EXP(-LN(2)/2)*DH189+(1-EXP(-LN(2)/2))/(LN(2)/2)*DB190*DE190*VLOOKUP('Données projet'!$B$13,Paramètres!$A$1:$I$89,3,0)*0.475*44/12</f>
        <v>2.6813886353836544E-15</v>
      </c>
      <c r="DI190" s="22">
        <f t="shared" si="175"/>
        <v>17.682551101322986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1">
        <f t="shared" si="140"/>
        <v>39.147442061162288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67">
        <f t="shared" si="110"/>
        <v>627.12904825652492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467.03705646400994</v>
      </c>
      <c r="T191" s="59">
        <f t="shared" si="142"/>
        <v>575.68119027684361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27.145245196041117</v>
      </c>
      <c r="AA191" s="21">
        <f>EXP(-LN(2)/25)*AA190+(1-EXP(-LN(2)/25))/(LN(2)/25)*Calculateur!V191*Calculateur!X191*VLOOKUP('Données projet'!$B$9,Paramètres!$A$1:$I$89,3,0)*0.475*44/12</f>
        <v>2.45554269271743</v>
      </c>
      <c r="AB191" s="21">
        <f>EXP(-LN(2)/2)*AB190+(1-EXP(-LN(2)/2))/(LN(2)/2)*V191*Y191*VLOOKUP('Données projet'!$B$9,Paramètres!$A$1:$I$89,3,0)*0.475*44/12</f>
        <v>1.9606160500838557E-17</v>
      </c>
      <c r="AC191" s="22">
        <f t="shared" si="163"/>
        <v>29.600787888758546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-7.0940586738288402E-14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252.44760109054914</v>
      </c>
      <c r="AO191" s="59">
        <f t="shared" si="144"/>
        <v>121.75506329394773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33.296870157189964</v>
      </c>
      <c r="AV191" s="21">
        <f>EXP(-LN(2)/25)*AV190+(1-EXP(-LN(2)/25))/(LN(2)/25)*Calculateur!AQ191*Calculateur!AS191*VLOOKUP('Données projet'!$B$10,Paramètres!$A$1:$I$89,3,0)*0.475*44/12</f>
        <v>3.9046571850870917</v>
      </c>
      <c r="AW191" s="21">
        <f>EXP(-LN(2)/2)*AW190+(1-EXP(-LN(2)/2))/(LN(2)/2)*AQ191*AT191*VLOOKUP('Données projet'!$B$10,Paramètres!$A$1:$I$89,3,0)*0.475*44/12</f>
        <v>2.4533188169884718E-12</v>
      </c>
      <c r="AX191" s="21">
        <f t="shared" si="166"/>
        <v>37.201527342279505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-1.3596945791505279E-13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260.97162394079265</v>
      </c>
      <c r="BJ191" s="59">
        <f t="shared" si="146"/>
        <v>279.1836614199691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17.48581139006637</v>
      </c>
      <c r="BQ191" s="21">
        <f>EXP(-LN(2)/25)*BQ190+(1-EXP(-LN(2)/25))/(LN(2)/25)*Calculateur!BL191*Calculateur!BN191*VLOOKUP('Données projet'!$B$11,Paramètres!$A$1:$I$89,3,0)*0.475*44/12</f>
        <v>1.5523221714381699</v>
      </c>
      <c r="BR191" s="21">
        <f>EXP(-LN(2)/2)*BR190+(1-EXP(-LN(2)/2))/(LN(2)/2)*BL191*BO191*VLOOKUP('Données projet'!$B$11,Paramètres!$A$1:$I$89,3,0)*0.475*44/12</f>
        <v>1.5182536191767589E-17</v>
      </c>
      <c r="BS191" s="22">
        <f t="shared" si="169"/>
        <v>19.038133561504541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264.70281355687837</v>
      </c>
      <c r="CE191" s="59">
        <f t="shared" si="148"/>
        <v>199.74194600786768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24.143120852614754</v>
      </c>
      <c r="CL191" s="21">
        <f>EXP(-LN(2)/25)*CL190+(1-EXP(-LN(2)/25))/(LN(2)/25)*Calculateur!CG191*Calculateur!CI191*VLOOKUP('Données projet'!$B$12,Paramètres!$A$1:$I$89,3,0)*0.475*44/12</f>
        <v>2.4263458831127065</v>
      </c>
      <c r="CM191" s="21">
        <f>EXP(-LN(2)/2)*CM190+(1-EXP(-LN(2)/2))/(LN(2)/2)*CG191*CJ191*VLOOKUP('Données projet'!$B$12,Paramètres!$A$1:$I$89,3,0)*0.475*44/12</f>
        <v>5.5660859777201246E-15</v>
      </c>
      <c r="CN191" s="22">
        <f t="shared" si="172"/>
        <v>26.569466735727467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-6.5028871176764376E-14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149.8619613776458</v>
      </c>
      <c r="CZ191" s="59">
        <f t="shared" si="150"/>
        <v>108.55560257938146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15.757944000819183</v>
      </c>
      <c r="DG191" s="21">
        <f>EXP(-LN(2)/25)*DG190+(1-EXP(-LN(2)/25))/(LN(2)/25)*Calculateur!DB191*Calculateur!DD191*VLOOKUP('Données projet'!$B$13,Paramètres!$A$1:$I$89,3,0)*0.475*44/12</f>
        <v>1.5654131065943586</v>
      </c>
      <c r="DH191" s="21">
        <f>EXP(-LN(2)/2)*DH190+(1-EXP(-LN(2)/2))/(LN(2)/2)*DB191*DE191*VLOOKUP('Données projet'!$B$13,Paramètres!$A$1:$I$89,3,0)*0.475*44/12</f>
        <v>1.896028087076325E-15</v>
      </c>
      <c r="DI191" s="22">
        <f t="shared" si="175"/>
        <v>17.323357107413546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1">
        <f t="shared" si="140"/>
        <v>39.331378191752862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67">
        <f t="shared" si="110"/>
        <v>628.86224368397018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467.03705646400994</v>
      </c>
      <c r="T192" s="59">
        <f t="shared" si="142"/>
        <v>575.68119027684361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26.612943494711455</v>
      </c>
      <c r="AA192" s="21">
        <f>EXP(-LN(2)/25)*AA191+(1-EXP(-LN(2)/25))/(LN(2)/25)*Calculateur!V192*Calculateur!X192*VLOOKUP('Données projet'!$B$9,Paramètres!$A$1:$I$89,3,0)*0.475*44/12</f>
        <v>2.3883957486536938</v>
      </c>
      <c r="AB192" s="21">
        <f>EXP(-LN(2)/2)*AB191+(1-EXP(-LN(2)/2))/(LN(2)/2)*V192*Y192*VLOOKUP('Données projet'!$B$9,Paramètres!$A$1:$I$89,3,0)*0.475*44/12</f>
        <v>1.3863649043174782E-17</v>
      </c>
      <c r="AC192" s="22">
        <f t="shared" si="163"/>
        <v>29.001339243365148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-7.0940586738288402E-14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252.44760109054914</v>
      </c>
      <c r="AO192" s="59">
        <f t="shared" si="144"/>
        <v>121.75506329394773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32.643938842492908</v>
      </c>
      <c r="AV192" s="21">
        <f>EXP(-LN(2)/25)*AV191+(1-EXP(-LN(2)/25))/(LN(2)/25)*Calculateur!AQ192*Calculateur!AS192*VLOOKUP('Données projet'!$B$10,Paramètres!$A$1:$I$89,3,0)*0.475*44/12</f>
        <v>3.7978841290238878</v>
      </c>
      <c r="AW192" s="21">
        <f>EXP(-LN(2)/2)*AW191+(1-EXP(-LN(2)/2))/(LN(2)/2)*AQ192*AT192*VLOOKUP('Données projet'!$B$10,Paramètres!$A$1:$I$89,3,0)*0.475*44/12</f>
        <v>1.734758371905107E-12</v>
      </c>
      <c r="AX192" s="21">
        <f t="shared" si="166"/>
        <v>36.441822971518526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-1.3596945791505279E-13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260.97162394079265</v>
      </c>
      <c r="BJ192" s="59">
        <f t="shared" si="146"/>
        <v>279.1836614199691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17.142925293999006</v>
      </c>
      <c r="BQ192" s="21">
        <f>EXP(-LN(2)/25)*BQ191+(1-EXP(-LN(2)/25))/(LN(2)/25)*Calculateur!BL192*Calculateur!BN192*VLOOKUP('Données projet'!$B$11,Paramètres!$A$1:$I$89,3,0)*0.475*44/12</f>
        <v>1.5098738400271179</v>
      </c>
      <c r="BR192" s="21">
        <f>EXP(-LN(2)/2)*BR191+(1-EXP(-LN(2)/2))/(LN(2)/2)*BL192*BO192*VLOOKUP('Données projet'!$B$11,Paramètres!$A$1:$I$89,3,0)*0.475*44/12</f>
        <v>1.0735674296809043E-17</v>
      </c>
      <c r="BS192" s="22">
        <f t="shared" si="169"/>
        <v>18.652799134026125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264.70281355687837</v>
      </c>
      <c r="CE192" s="59">
        <f t="shared" si="148"/>
        <v>199.74194600786768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23.669688978544642</v>
      </c>
      <c r="CL192" s="21">
        <f>EXP(-LN(2)/25)*CL191+(1-EXP(-LN(2)/25))/(LN(2)/25)*Calculateur!CG192*Calculateur!CI192*VLOOKUP('Données projet'!$B$12,Paramètres!$A$1:$I$89,3,0)*0.475*44/12</f>
        <v>2.359997327343005</v>
      </c>
      <c r="CM192" s="21">
        <f>EXP(-LN(2)/2)*CM191+(1-EXP(-LN(2)/2))/(LN(2)/2)*CG192*CJ192*VLOOKUP('Données projet'!$B$12,Paramètres!$A$1:$I$89,3,0)*0.475*44/12</f>
        <v>3.9358171395132545E-15</v>
      </c>
      <c r="CN192" s="22">
        <f t="shared" si="172"/>
        <v>26.029686305887651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-6.5028871176764376E-14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149.8619613776458</v>
      </c>
      <c r="CZ192" s="59">
        <f t="shared" si="150"/>
        <v>108.55560257938146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15.448940330359912</v>
      </c>
      <c r="DG192" s="21">
        <f>EXP(-LN(2)/25)*DG191+(1-EXP(-LN(2)/25))/(LN(2)/25)*Calculateur!DB192*Calculateur!DD192*VLOOKUP('Données projet'!$B$13,Paramètres!$A$1:$I$89,3,0)*0.475*44/12</f>
        <v>1.5226068028730384</v>
      </c>
      <c r="DH192" s="21">
        <f>EXP(-LN(2)/2)*DH191+(1-EXP(-LN(2)/2))/(LN(2)/2)*DB192*DE192*VLOOKUP('Données projet'!$B$13,Paramètres!$A$1:$I$89,3,0)*0.475*44/12</f>
        <v>1.3406943176918272E-15</v>
      </c>
      <c r="DI192" s="22">
        <f t="shared" si="175"/>
        <v>16.971547133232949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1">
        <f t="shared" si="140"/>
        <v>39.515201075361226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67">
        <f t="shared" si="110"/>
        <v>630.59524187292141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467.03705646400994</v>
      </c>
      <c r="T193" s="59">
        <f t="shared" si="142"/>
        <v>575.68119027684361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26.091079905072888</v>
      </c>
      <c r="AA193" s="21">
        <f>EXP(-LN(2)/25)*AA192+(1-EXP(-LN(2)/25))/(LN(2)/25)*Calculateur!V193*Calculateur!X193*VLOOKUP('Données projet'!$B$9,Paramètres!$A$1:$I$89,3,0)*0.475*44/12</f>
        <v>2.3230849413064849</v>
      </c>
      <c r="AB193" s="21">
        <f>EXP(-LN(2)/2)*AB192+(1-EXP(-LN(2)/2))/(LN(2)/2)*V193*Y193*VLOOKUP('Données projet'!$B$9,Paramètres!$A$1:$I$89,3,0)*0.475*44/12</f>
        <v>9.8030802504192802E-18</v>
      </c>
      <c r="AC193" s="22">
        <f t="shared" si="163"/>
        <v>28.414164846379371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-7.0940586738288402E-14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252.44760109054914</v>
      </c>
      <c r="AO193" s="59">
        <f t="shared" si="144"/>
        <v>121.75506329394773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32.003811112628284</v>
      </c>
      <c r="AV193" s="21">
        <f>EXP(-LN(2)/25)*AV192+(1-EXP(-LN(2)/25))/(LN(2)/25)*Calculateur!AQ193*Calculateur!AS193*VLOOKUP('Données projet'!$B$10,Paramètres!$A$1:$I$89,3,0)*0.475*44/12</f>
        <v>3.6940307877936833</v>
      </c>
      <c r="AW193" s="21">
        <f>EXP(-LN(2)/2)*AW192+(1-EXP(-LN(2)/2))/(LN(2)/2)*AQ193*AT193*VLOOKUP('Données projet'!$B$10,Paramètres!$A$1:$I$89,3,0)*0.475*44/12</f>
        <v>1.2266594084942359E-12</v>
      </c>
      <c r="AX193" s="21">
        <f t="shared" si="166"/>
        <v>35.697841900423199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-1.3596945791505279E-13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260.97162394079265</v>
      </c>
      <c r="BJ193" s="59">
        <f t="shared" si="146"/>
        <v>279.1836614199691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16.806762985135656</v>
      </c>
      <c r="BQ193" s="21">
        <f>EXP(-LN(2)/25)*BQ192+(1-EXP(-LN(2)/25))/(LN(2)/25)*Calculateur!BL193*Calculateur!BN193*VLOOKUP('Données projet'!$B$11,Paramètres!$A$1:$I$89,3,0)*0.475*44/12</f>
        <v>1.468586260470762</v>
      </c>
      <c r="BR193" s="21">
        <f>EXP(-LN(2)/2)*BR192+(1-EXP(-LN(2)/2))/(LN(2)/2)*BL193*BO193*VLOOKUP('Données projet'!$B$11,Paramètres!$A$1:$I$89,3,0)*0.475*44/12</f>
        <v>7.5912680958837943E-18</v>
      </c>
      <c r="BS193" s="22">
        <f t="shared" si="169"/>
        <v>18.275349245606417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264.70281355687837</v>
      </c>
      <c r="CE193" s="59">
        <f t="shared" si="148"/>
        <v>199.74194600786768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23.205540814760113</v>
      </c>
      <c r="CL193" s="21">
        <f>EXP(-LN(2)/25)*CL192+(1-EXP(-LN(2)/25))/(LN(2)/25)*Calculateur!CG193*Calculateur!CI193*VLOOKUP('Données projet'!$B$12,Paramètres!$A$1:$I$89,3,0)*0.475*44/12</f>
        <v>2.2954630763199448</v>
      </c>
      <c r="CM193" s="21">
        <f>EXP(-LN(2)/2)*CM192+(1-EXP(-LN(2)/2))/(LN(2)/2)*CG193*CJ193*VLOOKUP('Données projet'!$B$12,Paramètres!$A$1:$I$89,3,0)*0.475*44/12</f>
        <v>2.7830429888600623E-15</v>
      </c>
      <c r="CN193" s="22">
        <f t="shared" si="172"/>
        <v>25.50100389108006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-6.5028871176764376E-14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149.8619613776458</v>
      </c>
      <c r="CZ193" s="59">
        <f t="shared" si="150"/>
        <v>108.55560257938146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15.145996033404719</v>
      </c>
      <c r="DG193" s="21">
        <f>EXP(-LN(2)/25)*DG192+(1-EXP(-LN(2)/25))/(LN(2)/25)*Calculateur!DB193*Calculateur!DD193*VLOOKUP('Données projet'!$B$13,Paramètres!$A$1:$I$89,3,0)*0.475*44/12</f>
        <v>1.4809710397780633</v>
      </c>
      <c r="DH193" s="21">
        <f>EXP(-LN(2)/2)*DH192+(1-EXP(-LN(2)/2))/(LN(2)/2)*DB193*DE193*VLOOKUP('Données projet'!$B$13,Paramètres!$A$1:$I$89,3,0)*0.475*44/12</f>
        <v>9.480140435381625E-16</v>
      </c>
      <c r="DI193" s="22">
        <f t="shared" si="175"/>
        <v>16.626967073182783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1">
        <f t="shared" si="140"/>
        <v>39.698911377205278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67">
        <f t="shared" si="110"/>
        <v>632.32804398196652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467.03705646400994</v>
      </c>
      <c r="T194" s="59">
        <f t="shared" si="142"/>
        <v>575.68119027684361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25.579449742121774</v>
      </c>
      <c r="AA194" s="21">
        <f>EXP(-LN(2)/25)*AA193+(1-EXP(-LN(2)/25))/(LN(2)/25)*Calculateur!V194*Calculateur!X194*VLOOKUP('Données projet'!$B$9,Paramètres!$A$1:$I$89,3,0)*0.475*44/12</f>
        <v>2.2595600614207316</v>
      </c>
      <c r="AB194" s="21">
        <f>EXP(-LN(2)/2)*AB193+(1-EXP(-LN(2)/2))/(LN(2)/2)*V194*Y194*VLOOKUP('Données projet'!$B$9,Paramètres!$A$1:$I$89,3,0)*0.475*44/12</f>
        <v>6.931824521587392E-18</v>
      </c>
      <c r="AC194" s="22">
        <f t="shared" si="163"/>
        <v>27.839009803542506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-7.0940586738288402E-14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252.44760109054914</v>
      </c>
      <c r="AO194" s="59">
        <f t="shared" si="144"/>
        <v>121.75506329394773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31.376235897106945</v>
      </c>
      <c r="AV194" s="21">
        <f>EXP(-LN(2)/25)*AV193+(1-EXP(-LN(2)/25))/(LN(2)/25)*Calculateur!AQ194*Calculateur!AS194*VLOOKUP('Données projet'!$B$10,Paramètres!$A$1:$I$89,3,0)*0.475*44/12</f>
        <v>3.5930173216408288</v>
      </c>
      <c r="AW194" s="21">
        <f>EXP(-LN(2)/2)*AW193+(1-EXP(-LN(2)/2))/(LN(2)/2)*AQ194*AT194*VLOOKUP('Données projet'!$B$10,Paramètres!$A$1:$I$89,3,0)*0.475*44/12</f>
        <v>8.6737918595255351E-13</v>
      </c>
      <c r="AX194" s="21">
        <f t="shared" si="166"/>
        <v>34.969253218748641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-1.3596945791505279E-13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260.97162394079265</v>
      </c>
      <c r="BJ194" s="59">
        <f t="shared" si="146"/>
        <v>279.1836614199691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16.477192614110354</v>
      </c>
      <c r="BQ194" s="21">
        <f>EXP(-LN(2)/25)*BQ193+(1-EXP(-LN(2)/25))/(LN(2)/25)*Calculateur!BL194*Calculateur!BN194*VLOOKUP('Données projet'!$B$11,Paramètres!$A$1:$I$89,3,0)*0.475*44/12</f>
        <v>1.4284276919485941</v>
      </c>
      <c r="BR194" s="21">
        <f>EXP(-LN(2)/2)*BR193+(1-EXP(-LN(2)/2))/(LN(2)/2)*BL194*BO194*VLOOKUP('Données projet'!$B$11,Paramètres!$A$1:$I$89,3,0)*0.475*44/12</f>
        <v>5.3678371484045214E-18</v>
      </c>
      <c r="BS194" s="22">
        <f t="shared" si="169"/>
        <v>17.90562030605895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264.70281355687837</v>
      </c>
      <c r="CE194" s="59">
        <f t="shared" si="148"/>
        <v>199.74194600786768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22.750494313364975</v>
      </c>
      <c r="CL194" s="21">
        <f>EXP(-LN(2)/25)*CL193+(1-EXP(-LN(2)/25))/(LN(2)/25)*Calculateur!CG194*Calculateur!CI194*VLOOKUP('Données projet'!$B$12,Paramètres!$A$1:$I$89,3,0)*0.475*44/12</f>
        <v>2.2326935177848193</v>
      </c>
      <c r="CM194" s="21">
        <f>EXP(-LN(2)/2)*CM193+(1-EXP(-LN(2)/2))/(LN(2)/2)*CG194*CJ194*VLOOKUP('Données projet'!$B$12,Paramètres!$A$1:$I$89,3,0)*0.475*44/12</f>
        <v>1.9679085697566273E-15</v>
      </c>
      <c r="CN194" s="22">
        <f t="shared" si="172"/>
        <v>24.983187831149799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-6.5028871176764376E-14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149.8619613776458</v>
      </c>
      <c r="CZ194" s="59">
        <f t="shared" si="150"/>
        <v>108.55560257938146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14.848992289335042</v>
      </c>
      <c r="DG194" s="21">
        <f>EXP(-LN(2)/25)*DG193+(1-EXP(-LN(2)/25))/(LN(2)/25)*Calculateur!DB194*Calculateur!DD194*VLOOKUP('Données projet'!$B$13,Paramètres!$A$1:$I$89,3,0)*0.475*44/12</f>
        <v>1.44047380881445</v>
      </c>
      <c r="DH194" s="21">
        <f>EXP(-LN(2)/2)*DH193+(1-EXP(-LN(2)/2))/(LN(2)/2)*DB194*DE194*VLOOKUP('Données projet'!$B$13,Paramètres!$A$1:$I$89,3,0)*0.475*44/12</f>
        <v>6.7034715884591361E-16</v>
      </c>
      <c r="DI194" s="22">
        <f t="shared" si="175"/>
        <v>16.289466098149493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1">
        <f t="shared" si="140"/>
        <v>39.88250975513386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67">
        <f t="shared" si="110"/>
        <v>634.06065115685885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467.03705646400994</v>
      </c>
      <c r="T195" s="59">
        <f t="shared" si="142"/>
        <v>575.68119027684361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25.077852334602547</v>
      </c>
      <c r="AA195" s="21">
        <f>EXP(-LN(2)/25)*AA194+(1-EXP(-LN(2)/25))/(LN(2)/25)*Calculateur!V195*Calculateur!X195*VLOOKUP('Données projet'!$B$9,Paramètres!$A$1:$I$89,3,0)*0.475*44/12</f>
        <v>2.1977722727160822</v>
      </c>
      <c r="AB195" s="21">
        <f>EXP(-LN(2)/2)*AB194+(1-EXP(-LN(2)/2))/(LN(2)/2)*V195*Y195*VLOOKUP('Données projet'!$B$9,Paramètres!$A$1:$I$89,3,0)*0.475*44/12</f>
        <v>4.9015401252096409E-18</v>
      </c>
      <c r="AC195" s="22">
        <f t="shared" si="163"/>
        <v>27.27562460731863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-7.0940586738288402E-14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252.44760109054914</v>
      </c>
      <c r="AO195" s="59">
        <f t="shared" si="144"/>
        <v>121.75506329394773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30.760967048778891</v>
      </c>
      <c r="AV195" s="21">
        <f>EXP(-LN(2)/25)*AV194+(1-EXP(-LN(2)/25))/(LN(2)/25)*Calculateur!AQ195*Calculateur!AS195*VLOOKUP('Données projet'!$B$10,Paramètres!$A$1:$I$89,3,0)*0.475*44/12</f>
        <v>3.4947660740319915</v>
      </c>
      <c r="AW195" s="21">
        <f>EXP(-LN(2)/2)*AW194+(1-EXP(-LN(2)/2))/(LN(2)/2)*AQ195*AT195*VLOOKUP('Données projet'!$B$10,Paramètres!$A$1:$I$89,3,0)*0.475*44/12</f>
        <v>6.1332970424711796E-13</v>
      </c>
      <c r="AX195" s="21">
        <f t="shared" si="166"/>
        <v>34.255733122811492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-1.3596945791505279E-13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260.97162394079265</v>
      </c>
      <c r="BJ195" s="59">
        <f t="shared" si="146"/>
        <v>279.1836614199691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16.15408491704278</v>
      </c>
      <c r="BQ195" s="21">
        <f>EXP(-LN(2)/25)*BQ194+(1-EXP(-LN(2)/25))/(LN(2)/25)*Calculateur!BL195*Calculateur!BN195*VLOOKUP('Données projet'!$B$11,Paramètres!$A$1:$I$89,3,0)*0.475*44/12</f>
        <v>1.3893672615945123</v>
      </c>
      <c r="BR195" s="21">
        <f>EXP(-LN(2)/2)*BR194+(1-EXP(-LN(2)/2))/(LN(2)/2)*BL195*BO195*VLOOKUP('Données projet'!$B$11,Paramètres!$A$1:$I$89,3,0)*0.475*44/12</f>
        <v>3.7956340479418972E-18</v>
      </c>
      <c r="BS195" s="22">
        <f t="shared" si="169"/>
        <v>17.543452178637292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264.70281355687837</v>
      </c>
      <c r="CE195" s="59">
        <f t="shared" si="148"/>
        <v>199.74194600786768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22.304370996311235</v>
      </c>
      <c r="CL195" s="21">
        <f>EXP(-LN(2)/25)*CL194+(1-EXP(-LN(2)/25))/(LN(2)/25)*Calculateur!CG195*Calculateur!CI195*VLOOKUP('Données projet'!$B$12,Paramètres!$A$1:$I$89,3,0)*0.475*44/12</f>
        <v>2.171640396128744</v>
      </c>
      <c r="CM195" s="21">
        <f>EXP(-LN(2)/2)*CM194+(1-EXP(-LN(2)/2))/(LN(2)/2)*CG195*CJ195*VLOOKUP('Données projet'!$B$12,Paramètres!$A$1:$I$89,3,0)*0.475*44/12</f>
        <v>1.3915214944300311E-15</v>
      </c>
      <c r="CN195" s="22">
        <f t="shared" si="172"/>
        <v>24.476011392439979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-6.5028871176764376E-14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149.8619613776458</v>
      </c>
      <c r="CZ195" s="59">
        <f t="shared" si="150"/>
        <v>108.55560257938146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14.557812607532174</v>
      </c>
      <c r="DG195" s="21">
        <f>EXP(-LN(2)/25)*DG194+(1-EXP(-LN(2)/25))/(LN(2)/25)*Calculateur!DB195*Calculateur!DD195*VLOOKUP('Données projet'!$B$13,Paramètres!$A$1:$I$89,3,0)*0.475*44/12</f>
        <v>1.4010839767611936</v>
      </c>
      <c r="DH195" s="21">
        <f>EXP(-LN(2)/2)*DH194+(1-EXP(-LN(2)/2))/(LN(2)/2)*DB195*DE195*VLOOKUP('Données projet'!$B$13,Paramètres!$A$1:$I$89,3,0)*0.475*44/12</f>
        <v>4.7400702176908125E-16</v>
      </c>
      <c r="DI195" s="22">
        <f t="shared" si="175"/>
        <v>15.958896584293367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1">
        <f t="shared" si="140"/>
        <v>40.065996859746583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67">
        <f t="shared" ref="H196:H203" si="192">(B196+E196+F196)*44/12+(C196+D196)*0.475*44/12</f>
        <v>635.79306453072604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467.03705646400994</v>
      </c>
      <c r="T196" s="59">
        <f t="shared" si="142"/>
        <v>575.68119027684361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24.586090946300562</v>
      </c>
      <c r="AA196" s="21">
        <f>EXP(-LN(2)/25)*AA195+(1-EXP(-LN(2)/25))/(LN(2)/25)*Calculateur!V196*Calculateur!X196*VLOOKUP('Données projet'!$B$9,Paramètres!$A$1:$I$89,3,0)*0.475*44/12</f>
        <v>2.1376740743428404</v>
      </c>
      <c r="AB196" s="21">
        <f>EXP(-LN(2)/2)*AB195+(1-EXP(-LN(2)/2))/(LN(2)/2)*V196*Y196*VLOOKUP('Données projet'!$B$9,Paramètres!$A$1:$I$89,3,0)*0.475*44/12</f>
        <v>3.4659122607936964E-18</v>
      </c>
      <c r="AC196" s="22">
        <f t="shared" si="163"/>
        <v>26.723765020643402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-7.0940586738288402E-14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252.44760109054914</v>
      </c>
      <c r="AO196" s="59">
        <f t="shared" si="144"/>
        <v>121.75506329394773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30.157763247289608</v>
      </c>
      <c r="AV196" s="21">
        <f>EXP(-LN(2)/25)*AV195+(1-EXP(-LN(2)/25))/(LN(2)/25)*Calculateur!AQ196*Calculateur!AS196*VLOOKUP('Données projet'!$B$10,Paramètres!$A$1:$I$89,3,0)*0.475*44/12</f>
        <v>3.3992015119558263</v>
      </c>
      <c r="AW196" s="21">
        <f>EXP(-LN(2)/2)*AW195+(1-EXP(-LN(2)/2))/(LN(2)/2)*AQ196*AT196*VLOOKUP('Données projet'!$B$10,Paramètres!$A$1:$I$89,3,0)*0.475*44/12</f>
        <v>4.3368959297627675E-13</v>
      </c>
      <c r="AX196" s="21">
        <f t="shared" si="166"/>
        <v>33.556964759245865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-1.3596945791505279E-13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260.97162394079265</v>
      </c>
      <c r="BJ196" s="59">
        <f t="shared" si="146"/>
        <v>279.1836614199691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15.837313164838466</v>
      </c>
      <c r="BQ196" s="21">
        <f>EXP(-LN(2)/25)*BQ195+(1-EXP(-LN(2)/25))/(LN(2)/25)*Calculateur!BL196*Calculateur!BN196*VLOOKUP('Données projet'!$B$11,Paramètres!$A$1:$I$89,3,0)*0.475*44/12</f>
        <v>1.3513749407625615</v>
      </c>
      <c r="BR196" s="21">
        <f>EXP(-LN(2)/2)*BR195+(1-EXP(-LN(2)/2))/(LN(2)/2)*BL196*BO196*VLOOKUP('Données projet'!$B$11,Paramètres!$A$1:$I$89,3,0)*0.475*44/12</f>
        <v>2.6839185742022607E-18</v>
      </c>
      <c r="BS196" s="22">
        <f t="shared" si="169"/>
        <v>17.188688105601027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264.70281355687837</v>
      </c>
      <c r="CE196" s="59">
        <f t="shared" si="148"/>
        <v>199.74194600786768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21.866995885396562</v>
      </c>
      <c r="CL196" s="21">
        <f>EXP(-LN(2)/25)*CL195+(1-EXP(-LN(2)/25))/(LN(2)/25)*Calculateur!CG196*Calculateur!CI196*VLOOKUP('Données projet'!$B$12,Paramètres!$A$1:$I$89,3,0)*0.475*44/12</f>
        <v>2.1122567752949983</v>
      </c>
      <c r="CM196" s="21">
        <f>EXP(-LN(2)/2)*CM195+(1-EXP(-LN(2)/2))/(LN(2)/2)*CG196*CJ196*VLOOKUP('Données projet'!$B$12,Paramètres!$A$1:$I$89,3,0)*0.475*44/12</f>
        <v>9.8395428487831363E-16</v>
      </c>
      <c r="CN196" s="22">
        <f t="shared" si="172"/>
        <v>23.979252660691561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-6.5028871176764376E-14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149.8619613776458</v>
      </c>
      <c r="CZ196" s="59">
        <f t="shared" si="150"/>
        <v>108.55560257938146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14.272342781687392</v>
      </c>
      <c r="DG196" s="21">
        <f>EXP(-LN(2)/25)*DG195+(1-EXP(-LN(2)/25))/(LN(2)/25)*Calculateur!DB196*Calculateur!DD196*VLOOKUP('Données projet'!$B$13,Paramètres!$A$1:$I$89,3,0)*0.475*44/12</f>
        <v>1.3627712617368546</v>
      </c>
      <c r="DH196" s="21">
        <f>EXP(-LN(2)/2)*DH195+(1-EXP(-LN(2)/2))/(LN(2)/2)*DB196*DE196*VLOOKUP('Données projet'!$B$13,Paramètres!$A$1:$I$89,3,0)*0.475*44/12</f>
        <v>3.351735794229568E-16</v>
      </c>
      <c r="DI196" s="22">
        <f t="shared" si="175"/>
        <v>15.635114043424247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1">
        <f t="shared" ref="D197:D203" si="202">IFERROR(EXP(-1.0587+0.8836*LN(C197)+0.284),0)</f>
        <v>40.249373334510764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67">
        <f t="shared" si="192"/>
        <v>637.5252852242736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467.03705646400994</v>
      </c>
      <c r="T197" s="59">
        <f t="shared" ref="T197:T203" si="204">$T$3</f>
        <v>575.68119027684361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24.103972698878351</v>
      </c>
      <c r="AA197" s="21">
        <f>EXP(-LN(2)/25)*AA196+(1-EXP(-LN(2)/25))/(LN(2)/25)*Calculateur!V197*Calculateur!X197*VLOOKUP('Données projet'!$B$9,Paramètres!$A$1:$I$89,3,0)*0.475*44/12</f>
        <v>2.0792192643645415</v>
      </c>
      <c r="AB197" s="21">
        <f>EXP(-LN(2)/2)*AB196+(1-EXP(-LN(2)/2))/(LN(2)/2)*V197*Y197*VLOOKUP('Données projet'!$B$9,Paramètres!$A$1:$I$89,3,0)*0.475*44/12</f>
        <v>2.4507700626048208E-18</v>
      </c>
      <c r="AC197" s="22">
        <f t="shared" si="163"/>
        <v>26.183191963242894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-7.0940586738288402E-14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252.44760109054914</v>
      </c>
      <c r="AO197" s="59">
        <f t="shared" ref="AO197:AO203" si="205">$AO$3</f>
        <v>121.75506329394773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29.566387904429543</v>
      </c>
      <c r="AV197" s="21">
        <f>EXP(-LN(2)/25)*AV196+(1-EXP(-LN(2)/25))/(LN(2)/25)*Calculateur!AQ197*Calculateur!AS197*VLOOKUP('Données projet'!$B$10,Paramètres!$A$1:$I$89,3,0)*0.475*44/12</f>
        <v>3.3062501678551559</v>
      </c>
      <c r="AW197" s="21">
        <f>EXP(-LN(2)/2)*AW196+(1-EXP(-LN(2)/2))/(LN(2)/2)*AQ197*AT197*VLOOKUP('Données projet'!$B$10,Paramètres!$A$1:$I$89,3,0)*0.475*44/12</f>
        <v>3.0666485212355898E-13</v>
      </c>
      <c r="AX197" s="21">
        <f t="shared" si="166"/>
        <v>32.872638072285007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-1.3596945791505279E-13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260.97162394079265</v>
      </c>
      <c r="BJ197" s="59">
        <f t="shared" ref="BJ197:BJ203" si="206">$BJ$3</f>
        <v>279.1836614199691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15.526753113483188</v>
      </c>
      <c r="BQ197" s="21">
        <f>EXP(-LN(2)/25)*BQ196+(1-EXP(-LN(2)/25))/(LN(2)/25)*Calculateur!BL197*Calculateur!BN197*VLOOKUP('Données projet'!$B$11,Paramètres!$A$1:$I$89,3,0)*0.475*44/12</f>
        <v>1.3144215219416897</v>
      </c>
      <c r="BR197" s="21">
        <f>EXP(-LN(2)/2)*BR196+(1-EXP(-LN(2)/2))/(LN(2)/2)*BL197*BO197*VLOOKUP('Données projet'!$B$11,Paramètres!$A$1:$I$89,3,0)*0.475*44/12</f>
        <v>1.8978170239709486E-18</v>
      </c>
      <c r="BS197" s="22">
        <f t="shared" si="169"/>
        <v>16.841174635424878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264.70281355687837</v>
      </c>
      <c r="CE197" s="59">
        <f t="shared" ref="CE197:CE203" si="207">$CE$3</f>
        <v>199.74194600786768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21.438197433634453</v>
      </c>
      <c r="CL197" s="21">
        <f>EXP(-LN(2)/25)*CL196+(1-EXP(-LN(2)/25))/(LN(2)/25)*Calculateur!CG197*Calculateur!CI197*VLOOKUP('Données projet'!$B$12,Paramètres!$A$1:$I$89,3,0)*0.475*44/12</f>
        <v>2.0544970026958005</v>
      </c>
      <c r="CM197" s="21">
        <f>EXP(-LN(2)/2)*CM196+(1-EXP(-LN(2)/2))/(LN(2)/2)*CG197*CJ197*VLOOKUP('Données projet'!$B$12,Paramètres!$A$1:$I$89,3,0)*0.475*44/12</f>
        <v>6.9576074721501557E-16</v>
      </c>
      <c r="CN197" s="22">
        <f t="shared" si="172"/>
        <v>23.492694436330254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-6.5028871176764376E-14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149.8619613776458</v>
      </c>
      <c r="CZ197" s="59">
        <f t="shared" ref="CZ197:CZ203" si="208">$CZ$3</f>
        <v>108.55560257938146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13.992470845008025</v>
      </c>
      <c r="DG197" s="21">
        <f>EXP(-LN(2)/25)*DG196+(1-EXP(-LN(2)/25))/(LN(2)/25)*Calculateur!DB197*Calculateur!DD197*VLOOKUP('Données projet'!$B$13,Paramètres!$A$1:$I$89,3,0)*0.475*44/12</f>
        <v>1.3255062099196342</v>
      </c>
      <c r="DH197" s="21">
        <f>EXP(-LN(2)/2)*DH196+(1-EXP(-LN(2)/2))/(LN(2)/2)*DB197*DE197*VLOOKUP('Données projet'!$B$13,Paramètres!$A$1:$I$89,3,0)*0.475*44/12</f>
        <v>2.3700351088454063E-16</v>
      </c>
      <c r="DI197" s="22">
        <f t="shared" si="175"/>
        <v>15.31797705492766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1">
        <f t="shared" si="202"/>
        <v>40.432639815875952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67">
        <f t="shared" si="192"/>
        <v>639.2573143459847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467.03705646400994</v>
      </c>
      <c r="T198" s="59">
        <f t="shared" si="204"/>
        <v>575.68119027684361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23.631308496224992</v>
      </c>
      <c r="AA198" s="21">
        <f>EXP(-LN(2)/25)*AA197+(1-EXP(-LN(2)/25))/(LN(2)/25)*Calculateur!V198*Calculateur!X198*VLOOKUP('Données projet'!$B$9,Paramètres!$A$1:$I$89,3,0)*0.475*44/12</f>
        <v>2.0223629042391043</v>
      </c>
      <c r="AB198" s="21">
        <f>EXP(-LN(2)/2)*AB197+(1-EXP(-LN(2)/2))/(LN(2)/2)*V198*Y198*VLOOKUP('Données projet'!$B$9,Paramètres!$A$1:$I$89,3,0)*0.475*44/12</f>
        <v>1.7329561303968486E-18</v>
      </c>
      <c r="AC198" s="22">
        <f t="shared" si="163"/>
        <v>25.653671400464098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-7.0940586738288402E-14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252.44760109054914</v>
      </c>
      <c r="AO198" s="59">
        <f t="shared" si="205"/>
        <v>121.75506329394773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28.986609071339622</v>
      </c>
      <c r="AV198" s="21">
        <f>EXP(-LN(2)/25)*AV197+(1-EXP(-LN(2)/25))/(LN(2)/25)*Calculateur!AQ198*Calculateur!AS198*VLOOKUP('Données projet'!$B$10,Paramètres!$A$1:$I$89,3,0)*0.475*44/12</f>
        <v>3.2158405831470169</v>
      </c>
      <c r="AW198" s="21">
        <f>EXP(-LN(2)/2)*AW197+(1-EXP(-LN(2)/2))/(LN(2)/2)*AQ198*AT198*VLOOKUP('Données projet'!$B$10,Paramètres!$A$1:$I$89,3,0)*0.475*44/12</f>
        <v>2.1684479648813838E-13</v>
      </c>
      <c r="AX198" s="21">
        <f t="shared" si="166"/>
        <v>32.202449654486863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-1.3596945791505279E-13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260.97162394079265</v>
      </c>
      <c r="BJ198" s="59">
        <f t="shared" si="206"/>
        <v>279.1836614199691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15.22228295531206</v>
      </c>
      <c r="BQ198" s="21">
        <f>EXP(-LN(2)/25)*BQ197+(1-EXP(-LN(2)/25))/(LN(2)/25)*Calculateur!BL198*Calculateur!BN198*VLOOKUP('Données projet'!$B$11,Paramètres!$A$1:$I$89,3,0)*0.475*44/12</f>
        <v>1.2784785963017704</v>
      </c>
      <c r="BR198" s="21">
        <f>EXP(-LN(2)/2)*BR197+(1-EXP(-LN(2)/2))/(LN(2)/2)*BL198*BO198*VLOOKUP('Données projet'!$B$11,Paramètres!$A$1:$I$89,3,0)*0.475*44/12</f>
        <v>1.3419592871011304E-18</v>
      </c>
      <c r="BS198" s="22">
        <f t="shared" si="169"/>
        <v>16.500761551613831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264.70281355687837</v>
      </c>
      <c r="CE198" s="59">
        <f t="shared" si="207"/>
        <v>199.74194600786768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21.017807457970168</v>
      </c>
      <c r="CL198" s="21">
        <f>EXP(-LN(2)/25)*CL197+(1-EXP(-LN(2)/25))/(LN(2)/25)*Calculateur!CG198*Calculateur!CI198*VLOOKUP('Données projet'!$B$12,Paramètres!$A$1:$I$89,3,0)*0.475*44/12</f>
        <v>1.9983166741157821</v>
      </c>
      <c r="CM198" s="21">
        <f>EXP(-LN(2)/2)*CM197+(1-EXP(-LN(2)/2))/(LN(2)/2)*CG198*CJ198*VLOOKUP('Données projet'!$B$12,Paramètres!$A$1:$I$89,3,0)*0.475*44/12</f>
        <v>4.9197714243915682E-16</v>
      </c>
      <c r="CN198" s="22">
        <f t="shared" si="172"/>
        <v>23.016124132085949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-6.5028871176764376E-14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149.8619613776458</v>
      </c>
      <c r="CZ198" s="59">
        <f t="shared" si="208"/>
        <v>108.55560257938146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13.718087026301916</v>
      </c>
      <c r="DG198" s="21">
        <f>EXP(-LN(2)/25)*DG197+(1-EXP(-LN(2)/25))/(LN(2)/25)*Calculateur!DB198*Calculateur!DD198*VLOOKUP('Données projet'!$B$13,Paramètres!$A$1:$I$89,3,0)*0.475*44/12</f>
        <v>1.2892601729040396</v>
      </c>
      <c r="DH198" s="21">
        <f>EXP(-LN(2)/2)*DH197+(1-EXP(-LN(2)/2))/(LN(2)/2)*DB198*DE198*VLOOKUP('Données projet'!$B$13,Paramètres!$A$1:$I$89,3,0)*0.475*44/12</f>
        <v>1.675867897114784E-16</v>
      </c>
      <c r="DI198" s="22">
        <f t="shared" si="175"/>
        <v>15.007347199205956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1">
        <f t="shared" si="202"/>
        <v>40.61579693338615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67">
        <f t="shared" si="192"/>
        <v>640.98915299231498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467.03705646400994</v>
      </c>
      <c r="T199" s="59">
        <f t="shared" si="204"/>
        <v>575.68119027684361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23.167912950288972</v>
      </c>
      <c r="AA199" s="21">
        <f>EXP(-LN(2)/25)*AA198+(1-EXP(-LN(2)/25))/(LN(2)/25)*Calculateur!V199*Calculateur!X199*VLOOKUP('Données projet'!$B$9,Paramètres!$A$1:$I$89,3,0)*0.475*44/12</f>
        <v>1.9670612842712429</v>
      </c>
      <c r="AB199" s="21">
        <f>EXP(-LN(2)/2)*AB198+(1-EXP(-LN(2)/2))/(LN(2)/2)*V199*Y199*VLOOKUP('Données projet'!$B$9,Paramètres!$A$1:$I$89,3,0)*0.475*44/12</f>
        <v>1.2253850313024106E-18</v>
      </c>
      <c r="AC199" s="22">
        <f t="shared" si="163"/>
        <v>25.134974234560215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-7.0940586738288402E-14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252.44760109054914</v>
      </c>
      <c r="AO199" s="59">
        <f t="shared" si="205"/>
        <v>121.75506329394773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28.418199347536422</v>
      </c>
      <c r="AV199" s="21">
        <f>EXP(-LN(2)/25)*AV198+(1-EXP(-LN(2)/25))/(LN(2)/25)*Calculateur!AQ199*Calculateur!AS199*VLOOKUP('Données projet'!$B$10,Paramètres!$A$1:$I$89,3,0)*0.475*44/12</f>
        <v>3.1279032532871556</v>
      </c>
      <c r="AW199" s="21">
        <f>EXP(-LN(2)/2)*AW198+(1-EXP(-LN(2)/2))/(LN(2)/2)*AQ199*AT199*VLOOKUP('Données projet'!$B$10,Paramètres!$A$1:$I$89,3,0)*0.475*44/12</f>
        <v>1.5333242606177949E-13</v>
      </c>
      <c r="AX199" s="21">
        <f t="shared" si="166"/>
        <v>31.54610260082373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-1.3596945791505279E-13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260.97162394079265</v>
      </c>
      <c r="BJ199" s="59">
        <f t="shared" si="206"/>
        <v>279.1836614199691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14.923783271234209</v>
      </c>
      <c r="BQ199" s="21">
        <f>EXP(-LN(2)/25)*BQ198+(1-EXP(-LN(2)/25))/(LN(2)/25)*Calculateur!BL199*Calculateur!BN199*VLOOKUP('Données projet'!$B$11,Paramètres!$A$1:$I$89,3,0)*0.475*44/12</f>
        <v>1.243518531853631</v>
      </c>
      <c r="BR199" s="21">
        <f>EXP(-LN(2)/2)*BR198+(1-EXP(-LN(2)/2))/(LN(2)/2)*BL199*BO199*VLOOKUP('Données projet'!$B$11,Paramètres!$A$1:$I$89,3,0)*0.475*44/12</f>
        <v>9.4890851198547429E-19</v>
      </c>
      <c r="BS199" s="22">
        <f t="shared" si="169"/>
        <v>16.167301803087838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264.70281355687837</v>
      </c>
      <c r="CE199" s="59">
        <f t="shared" si="207"/>
        <v>199.74194600786768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20.605661073316092</v>
      </c>
      <c r="CL199" s="21">
        <f>EXP(-LN(2)/25)*CL198+(1-EXP(-LN(2)/25))/(LN(2)/25)*Calculateur!CG199*Calculateur!CI199*VLOOKUP('Données projet'!$B$12,Paramètres!$A$1:$I$89,3,0)*0.475*44/12</f>
        <v>1.9436725995751793</v>
      </c>
      <c r="CM199" s="21">
        <f>EXP(-LN(2)/2)*CM198+(1-EXP(-LN(2)/2))/(LN(2)/2)*CG199*CJ199*VLOOKUP('Données projet'!$B$12,Paramètres!$A$1:$I$89,3,0)*0.475*44/12</f>
        <v>3.4788037360750778E-16</v>
      </c>
      <c r="CN199" s="22">
        <f t="shared" si="172"/>
        <v>22.549333672891272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-6.5028871176764376E-14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149.8619613776458</v>
      </c>
      <c r="CZ199" s="59">
        <f t="shared" si="208"/>
        <v>108.55560257938146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13.449083706923028</v>
      </c>
      <c r="DG199" s="21">
        <f>EXP(-LN(2)/25)*DG198+(1-EXP(-LN(2)/25))/(LN(2)/25)*Calculateur!DB199*Calculateur!DD199*VLOOKUP('Données projet'!$B$13,Paramètres!$A$1:$I$89,3,0)*0.475*44/12</f>
        <v>1.2540052856767328</v>
      </c>
      <c r="DH199" s="21">
        <f>EXP(-LN(2)/2)*DH198+(1-EXP(-LN(2)/2))/(LN(2)/2)*DB199*DE199*VLOOKUP('Données projet'!$B$13,Paramètres!$A$1:$I$89,3,0)*0.475*44/12</f>
        <v>1.1850175544227031E-16</v>
      </c>
      <c r="DI199" s="22">
        <f t="shared" si="175"/>
        <v>14.703088992599762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1">
        <f t="shared" si="202"/>
        <v>40.798845309789321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67">
        <f t="shared" si="192"/>
        <v>642.72080224788385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467.03705646400994</v>
      </c>
      <c r="T200" s="59">
        <f t="shared" si="204"/>
        <v>575.68119027684361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22.713604308365383</v>
      </c>
      <c r="AA200" s="21">
        <f>EXP(-LN(2)/25)*AA199+(1-EXP(-LN(2)/25))/(LN(2)/25)*Calculateur!V200*Calculateur!X200*VLOOKUP('Données projet'!$B$9,Paramètres!$A$1:$I$89,3,0)*0.475*44/12</f>
        <v>1.9132718900095886</v>
      </c>
      <c r="AB200" s="21">
        <f>EXP(-LN(2)/2)*AB199+(1-EXP(-LN(2)/2))/(LN(2)/2)*V200*Y200*VLOOKUP('Données projet'!$B$9,Paramètres!$A$1:$I$89,3,0)*0.475*44/12</f>
        <v>8.6647806519842439E-19</v>
      </c>
      <c r="AC200" s="22">
        <f t="shared" si="163"/>
        <v>24.626876198374973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-7.0940586738288402E-14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252.44760109054914</v>
      </c>
      <c r="AO200" s="59">
        <f t="shared" si="205"/>
        <v>121.75506329394773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27.860935791721303</v>
      </c>
      <c r="AV200" s="21">
        <f>EXP(-LN(2)/25)*AV199+(1-EXP(-LN(2)/25))/(LN(2)/25)*Calculateur!AQ200*Calculateur!AS200*VLOOKUP('Données projet'!$B$10,Paramètres!$A$1:$I$89,3,0)*0.475*44/12</f>
        <v>3.0423705743367351</v>
      </c>
      <c r="AW200" s="21">
        <f>EXP(-LN(2)/2)*AW199+(1-EXP(-LN(2)/2))/(LN(2)/2)*AQ200*AT200*VLOOKUP('Données projet'!$B$10,Paramètres!$A$1:$I$89,3,0)*0.475*44/12</f>
        <v>1.0842239824406919E-13</v>
      </c>
      <c r="AX200" s="21">
        <f t="shared" si="166"/>
        <v>30.90330636605815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-1.3596945791505279E-13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260.97162394079265</v>
      </c>
      <c r="BJ200" s="59">
        <f t="shared" si="206"/>
        <v>279.1836614199691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14.631136983894294</v>
      </c>
      <c r="BQ200" s="21">
        <f>EXP(-LN(2)/25)*BQ199+(1-EXP(-LN(2)/25))/(LN(2)/25)*Calculateur!BL200*Calculateur!BN200*VLOOKUP('Données projet'!$B$11,Paramètres!$A$1:$I$89,3,0)*0.475*44/12</f>
        <v>1.2095144522062959</v>
      </c>
      <c r="BR200" s="21">
        <f>EXP(-LN(2)/2)*BR199+(1-EXP(-LN(2)/2))/(LN(2)/2)*BL200*BO200*VLOOKUP('Données projet'!$B$11,Paramètres!$A$1:$I$89,3,0)*0.475*44/12</f>
        <v>6.7097964355056518E-19</v>
      </c>
      <c r="BS200" s="22">
        <f t="shared" si="169"/>
        <v>15.84065143610059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264.70281355687837</v>
      </c>
      <c r="CE200" s="59">
        <f t="shared" si="207"/>
        <v>199.74194600786768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20.201596627880612</v>
      </c>
      <c r="CL200" s="21">
        <f>EXP(-LN(2)/25)*CL199+(1-EXP(-LN(2)/25))/(LN(2)/25)*Calculateur!CG200*Calculateur!CI200*VLOOKUP('Données projet'!$B$12,Paramètres!$A$1:$I$89,3,0)*0.475*44/12</f>
        <v>1.8905227701264964</v>
      </c>
      <c r="CM200" s="21">
        <f>EXP(-LN(2)/2)*CM199+(1-EXP(-LN(2)/2))/(LN(2)/2)*CG200*CJ200*VLOOKUP('Données projet'!$B$12,Paramètres!$A$1:$I$89,3,0)*0.475*44/12</f>
        <v>2.4598857121957841E-16</v>
      </c>
      <c r="CN200" s="22">
        <f t="shared" si="172"/>
        <v>22.092119398007107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-6.5028871176764376E-14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149.8619613776458</v>
      </c>
      <c r="CZ200" s="59">
        <f t="shared" si="208"/>
        <v>108.55560257938146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13.185355378561336</v>
      </c>
      <c r="DG200" s="21">
        <f>EXP(-LN(2)/25)*DG199+(1-EXP(-LN(2)/25))/(LN(2)/25)*Calculateur!DB200*Calculateur!DD200*VLOOKUP('Données projet'!$B$13,Paramètres!$A$1:$I$89,3,0)*0.475*44/12</f>
        <v>1.2197144451946307</v>
      </c>
      <c r="DH200" s="21">
        <f>EXP(-LN(2)/2)*DH199+(1-EXP(-LN(2)/2))/(LN(2)/2)*DB200*DE200*VLOOKUP('Données projet'!$B$13,Paramètres!$A$1:$I$89,3,0)*0.475*44/12</f>
        <v>8.3793394855739201E-17</v>
      </c>
      <c r="DI200" s="22">
        <f t="shared" si="175"/>
        <v>14.405069823755968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1">
        <f t="shared" si="202"/>
        <v>40.981785561145188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67">
        <f t="shared" si="192"/>
        <v>644.45226318566199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467.03705646400994</v>
      </c>
      <c r="T201" s="59">
        <f t="shared" si="204"/>
        <v>575.68119027684361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22.268204381809003</v>
      </c>
      <c r="AA201" s="21">
        <f>EXP(-LN(2)/25)*AA200+(1-EXP(-LN(2)/25))/(LN(2)/25)*Calculateur!V201*Calculateur!X201*VLOOKUP('Données projet'!$B$9,Paramètres!$A$1:$I$89,3,0)*0.475*44/12</f>
        <v>1.8609533695626805</v>
      </c>
      <c r="AB201" s="21">
        <f>EXP(-LN(2)/2)*AB200+(1-EXP(-LN(2)/2))/(LN(2)/2)*V201*Y201*VLOOKUP('Données projet'!$B$9,Paramètres!$A$1:$I$89,3,0)*0.475*44/12</f>
        <v>6.126925156512054E-19</v>
      </c>
      <c r="AC201" s="22">
        <f t="shared" si="163"/>
        <v>24.129157751371682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-7.0940586738288402E-14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252.44760109054914</v>
      </c>
      <c r="AO201" s="59">
        <f t="shared" si="205"/>
        <v>121.75506329394773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27.314599834338512</v>
      </c>
      <c r="AV201" s="21">
        <f>EXP(-LN(2)/25)*AV200+(1-EXP(-LN(2)/25))/(LN(2)/25)*Calculateur!AQ201*Calculateur!AS201*VLOOKUP('Données projet'!$B$10,Paramètres!$A$1:$I$89,3,0)*0.475*44/12</f>
        <v>2.959176790990182</v>
      </c>
      <c r="AW201" s="21">
        <f>EXP(-LN(2)/2)*AW200+(1-EXP(-LN(2)/2))/(LN(2)/2)*AQ201*AT201*VLOOKUP('Données projet'!$B$10,Paramètres!$A$1:$I$89,3,0)*0.475*44/12</f>
        <v>7.6666213030889745E-14</v>
      </c>
      <c r="AX201" s="21">
        <f t="shared" si="166"/>
        <v>30.273776625328772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-1.3596945791505279E-13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260.97162394079265</v>
      </c>
      <c r="BJ201" s="59">
        <f t="shared" si="206"/>
        <v>279.1836614199691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14.344229311752503</v>
      </c>
      <c r="BQ201" s="21">
        <f>EXP(-LN(2)/25)*BQ200+(1-EXP(-LN(2)/25))/(LN(2)/25)*Calculateur!BL201*Calculateur!BN201*VLOOKUP('Données projet'!$B$11,Paramètres!$A$1:$I$89,3,0)*0.475*44/12</f>
        <v>1.1764402159051142</v>
      </c>
      <c r="BR201" s="21">
        <f>EXP(-LN(2)/2)*BR200+(1-EXP(-LN(2)/2))/(LN(2)/2)*BL201*BO201*VLOOKUP('Données projet'!$B$11,Paramètres!$A$1:$I$89,3,0)*0.475*44/12</f>
        <v>4.7445425599273715E-19</v>
      </c>
      <c r="BS201" s="22">
        <f t="shared" si="169"/>
        <v>15.520669527657617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264.70281355687837</v>
      </c>
      <c r="CE201" s="59">
        <f t="shared" si="207"/>
        <v>199.74194600786768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19.805455639765142</v>
      </c>
      <c r="CL201" s="21">
        <f>EXP(-LN(2)/25)*CL200+(1-EXP(-LN(2)/25))/(LN(2)/25)*Calculateur!CG201*Calculateur!CI201*VLOOKUP('Données projet'!$B$12,Paramètres!$A$1:$I$89,3,0)*0.475*44/12</f>
        <v>1.8388263255591157</v>
      </c>
      <c r="CM201" s="21">
        <f>EXP(-LN(2)/2)*CM200+(1-EXP(-LN(2)/2))/(LN(2)/2)*CG201*CJ201*VLOOKUP('Données projet'!$B$12,Paramètres!$A$1:$I$89,3,0)*0.475*44/12</f>
        <v>1.7394018680375389E-16</v>
      </c>
      <c r="CN201" s="22">
        <f t="shared" si="172"/>
        <v>21.644281965324257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-6.5028871176764376E-14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149.8619613776458</v>
      </c>
      <c r="CZ201" s="59">
        <f t="shared" si="208"/>
        <v>108.55560257938146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12.926798601860421</v>
      </c>
      <c r="DG201" s="21">
        <f>EXP(-LN(2)/25)*DG200+(1-EXP(-LN(2)/25))/(LN(2)/25)*Calculateur!DB201*Calculateur!DD201*VLOOKUP('Données projet'!$B$13,Paramètres!$A$1:$I$89,3,0)*0.475*44/12</f>
        <v>1.1863612895487885</v>
      </c>
      <c r="DH201" s="21">
        <f>EXP(-LN(2)/2)*DH200+(1-EXP(-LN(2)/2))/(LN(2)/2)*DB201*DE201*VLOOKUP('Données projet'!$B$13,Paramètres!$A$1:$I$89,3,0)*0.475*44/12</f>
        <v>5.9250877721135157E-17</v>
      </c>
      <c r="DI201" s="22">
        <f t="shared" si="175"/>
        <v>14.113159891409209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1">
        <f t="shared" si="202"/>
        <v>41.164618296930314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67">
        <f t="shared" si="192"/>
        <v>646.18353686715454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467.03705646400994</v>
      </c>
      <c r="T202" s="59">
        <f t="shared" si="204"/>
        <v>575.68119027684361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21.831538476145266</v>
      </c>
      <c r="AA202" s="21">
        <f>EXP(-LN(2)/25)*AA201+(1-EXP(-LN(2)/25))/(LN(2)/25)*Calculateur!V202*Calculateur!X202*VLOOKUP('Données projet'!$B$9,Paramètres!$A$1:$I$89,3,0)*0.475*44/12</f>
        <v>1.8100655018087046</v>
      </c>
      <c r="AB202" s="21">
        <f>EXP(-LN(2)/2)*AB201+(1-EXP(-LN(2)/2))/(LN(2)/2)*V202*Y202*VLOOKUP('Données projet'!$B$9,Paramètres!$A$1:$I$89,3,0)*0.475*44/12</f>
        <v>4.3323903259921229E-19</v>
      </c>
      <c r="AC202" s="22">
        <f t="shared" si="163"/>
        <v>23.64160397795397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-7.0940586738288402E-14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252.44760109054914</v>
      </c>
      <c r="AO202" s="59">
        <f t="shared" si="205"/>
        <v>121.75506329394773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26.778977191847968</v>
      </c>
      <c r="AV202" s="21">
        <f>EXP(-LN(2)/25)*AV201+(1-EXP(-LN(2)/25))/(LN(2)/25)*Calculateur!AQ202*Calculateur!AS202*VLOOKUP('Données projet'!$B$10,Paramètres!$A$1:$I$89,3,0)*0.475*44/12</f>
        <v>2.8782579460242115</v>
      </c>
      <c r="AW202" s="21">
        <f>EXP(-LN(2)/2)*AW201+(1-EXP(-LN(2)/2))/(LN(2)/2)*AQ202*AT202*VLOOKUP('Données projet'!$B$10,Paramètres!$A$1:$I$89,3,0)*0.475*44/12</f>
        <v>5.4211199122034594E-14</v>
      </c>
      <c r="AX202" s="21">
        <f t="shared" si="166"/>
        <v>29.657235137872231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-1.3596945791505279E-13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260.97162394079265</v>
      </c>
      <c r="BJ202" s="59">
        <f t="shared" si="206"/>
        <v>279.1836614199691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14.062947724065014</v>
      </c>
      <c r="BQ202" s="21">
        <f>EXP(-LN(2)/25)*BQ201+(1-EXP(-LN(2)/25))/(LN(2)/25)*Calculateur!BL202*Calculateur!BN202*VLOOKUP('Données projet'!$B$11,Paramètres!$A$1:$I$89,3,0)*0.475*44/12</f>
        <v>1.1442703963348866</v>
      </c>
      <c r="BR202" s="21">
        <f>EXP(-LN(2)/2)*BR201+(1-EXP(-LN(2)/2))/(LN(2)/2)*BL202*BO202*VLOOKUP('Données projet'!$B$11,Paramètres!$A$1:$I$89,3,0)*0.475*44/12</f>
        <v>3.3548982177528259E-19</v>
      </c>
      <c r="BS202" s="22">
        <f t="shared" si="169"/>
        <v>15.207218120399901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264.70281355687837</v>
      </c>
      <c r="CE202" s="59">
        <f t="shared" si="207"/>
        <v>199.74194600786768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19.417082734804474</v>
      </c>
      <c r="CL202" s="21">
        <f>EXP(-LN(2)/25)*CL201+(1-EXP(-LN(2)/25))/(LN(2)/25)*Calculateur!CG202*Calculateur!CI202*VLOOKUP('Données projet'!$B$12,Paramètres!$A$1:$I$89,3,0)*0.475*44/12</f>
        <v>1.7885435229870279</v>
      </c>
      <c r="CM202" s="21">
        <f>EXP(-LN(2)/2)*CM201+(1-EXP(-LN(2)/2))/(LN(2)/2)*CG202*CJ202*VLOOKUP('Données projet'!$B$12,Paramètres!$A$1:$I$89,3,0)*0.475*44/12</f>
        <v>1.229942856097892E-16</v>
      </c>
      <c r="CN202" s="22">
        <f t="shared" si="172"/>
        <v>21.205626257791501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-6.5028871176764376E-14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149.8619613776458</v>
      </c>
      <c r="CZ202" s="59">
        <f t="shared" si="208"/>
        <v>108.55560257938146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12.673311965846549</v>
      </c>
      <c r="DG202" s="21">
        <f>EXP(-LN(2)/25)*DG201+(1-EXP(-LN(2)/25))/(LN(2)/25)*Calculateur!DB202*Calculateur!DD202*VLOOKUP('Données projet'!$B$13,Paramètres!$A$1:$I$89,3,0)*0.475*44/12</f>
        <v>1.1539201776980481</v>
      </c>
      <c r="DH202" s="21">
        <f>EXP(-LN(2)/2)*DH201+(1-EXP(-LN(2)/2))/(LN(2)/2)*DB202*DE202*VLOOKUP('Données projet'!$B$13,Paramètres!$A$1:$I$89,3,0)*0.475*44/12</f>
        <v>4.1896697427869601E-17</v>
      </c>
      <c r="DI202" s="22">
        <f t="shared" si="175"/>
        <v>13.827232143544597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1">
        <f t="shared" si="202"/>
        <v>41.347344120141159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67">
        <f t="shared" si="192"/>
        <v>647.91462434258005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467.03705646400994</v>
      </c>
      <c r="T203" s="59">
        <f t="shared" si="204"/>
        <v>575.68119027684361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21.40343532255169</v>
      </c>
      <c r="AA203" s="21">
        <f>EXP(-LN(2)/25)*AA202+(1-EXP(-LN(2)/25))/(LN(2)/25)*Calculateur!V203*Calculateur!X203*VLOOKUP('Données projet'!$B$9,Paramètres!$A$1:$I$89,3,0)*0.475*44/12</f>
        <v>1.7605691654745379</v>
      </c>
      <c r="AB203" s="21">
        <f>EXP(-LN(2)/2)*AB202+(1-EXP(-LN(2)/2))/(LN(2)/2)*V203*Y203*VLOOKUP('Données projet'!$B$9,Paramètres!$A$1:$I$89,3,0)*0.475*44/12</f>
        <v>3.0634625782560275E-19</v>
      </c>
      <c r="AC203" s="22">
        <f t="shared" si="163"/>
        <v>23.164004488026229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-7.0940586738288402E-14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252.44760109054914</v>
      </c>
      <c r="AO203" s="59">
        <f t="shared" si="205"/>
        <v>121.75506329394773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26.253857782679113</v>
      </c>
      <c r="AV203" s="21">
        <f>EXP(-LN(2)/25)*AV202+(1-EXP(-LN(2)/25))/(LN(2)/25)*Calculateur!AQ203*Calculateur!AS203*VLOOKUP('Données projet'!$B$10,Paramètres!$A$1:$I$89,3,0)*0.475*44/12</f>
        <v>2.7995518311291723</v>
      </c>
      <c r="AW203" s="21">
        <f>EXP(-LN(2)/2)*AW202+(1-EXP(-LN(2)/2))/(LN(2)/2)*AQ203*AT203*VLOOKUP('Données projet'!$B$10,Paramètres!$A$1:$I$89,3,0)*0.475*44/12</f>
        <v>3.8333106515444873E-14</v>
      </c>
      <c r="AX203" s="21">
        <f t="shared" si="166"/>
        <v>29.053409613808324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-1.3596945791505279E-13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260.97162394079265</v>
      </c>
      <c r="BJ203" s="59">
        <f t="shared" si="206"/>
        <v>279.1836614199691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13.787181896747247</v>
      </c>
      <c r="BQ203" s="21">
        <f>EXP(-LN(2)/25)*BQ202+(1-EXP(-LN(2)/25))/(LN(2)/25)*Calculateur!BL203*Calculateur!BN203*VLOOKUP('Données projet'!$B$11,Paramètres!$A$1:$I$89,3,0)*0.475*44/12</f>
        <v>1.1129802621725442</v>
      </c>
      <c r="BR203" s="21">
        <f>EXP(-LN(2)/2)*BR202+(1-EXP(-LN(2)/2))/(LN(2)/2)*BL203*BO203*VLOOKUP('Données projet'!$B$11,Paramètres!$A$1:$I$89,3,0)*0.475*44/12</f>
        <v>2.3722712799636857E-19</v>
      </c>
      <c r="BS203" s="22">
        <f t="shared" si="169"/>
        <v>14.900162158919791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264.70281355687837</v>
      </c>
      <c r="CE203" s="59">
        <f t="shared" si="207"/>
        <v>199.74194600786768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19.036325585626003</v>
      </c>
      <c r="CL203" s="21">
        <f>EXP(-LN(2)/25)*CL202+(1-EXP(-LN(2)/25))/(LN(2)/25)*Calculateur!CG203*Calculateur!CI203*VLOOKUP('Données projet'!$B$12,Paramètres!$A$1:$I$89,3,0)*0.475*44/12</f>
        <v>1.7396357062955314</v>
      </c>
      <c r="CM203" s="21">
        <f>EXP(-LN(2)/2)*CM202+(1-EXP(-LN(2)/2))/(LN(2)/2)*CG203*CJ203*VLOOKUP('Données projet'!$B$12,Paramètres!$A$1:$I$89,3,0)*0.475*44/12</f>
        <v>8.6970093401876946E-17</v>
      </c>
      <c r="CN203" s="22">
        <f t="shared" si="172"/>
        <v>20.775961291921533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-6.5028871176764376E-14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149.8619613776458</v>
      </c>
      <c r="CZ203" s="59">
        <f t="shared" si="208"/>
        <v>108.55560257938146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12.424796048153327</v>
      </c>
      <c r="DG203" s="21">
        <f>EXP(-LN(2)/25)*DG202+(1-EXP(-LN(2)/25))/(LN(2)/25)*Calculateur!DB203*Calculateur!DD203*VLOOKUP('Données projet'!$B$13,Paramètres!$A$1:$I$89,3,0)*0.475*44/12</f>
        <v>1.1223661697568701</v>
      </c>
      <c r="DH203" s="21">
        <f>EXP(-LN(2)/2)*DH202+(1-EXP(-LN(2)/2))/(LN(2)/2)*DB203*DE203*VLOOKUP('Données projet'!$B$13,Paramètres!$A$1:$I$89,3,0)*0.475*44/12</f>
        <v>2.9625438860567578E-17</v>
      </c>
      <c r="DI203" s="22">
        <f t="shared" si="175"/>
        <v>13.547162217910197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1.4037863041747067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1.2082940414581886</v>
      </c>
      <c r="BA205" s="82">
        <f>EXP(LN('Données projet'!B88)/'Données projet'!A88)</f>
        <v>1.3239616704988877</v>
      </c>
      <c r="BV205" s="82">
        <f>EXP(LN('Données projet'!B114)/'Données projet'!A114)</f>
        <v>1.244502252163008</v>
      </c>
      <c r="CQ205" s="82">
        <f>EXP(LN('Données projet'!B140)/'Données projet'!A140)</f>
        <v>1.1950331096863402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24" sqref="K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1.9949999999999999</v>
      </c>
      <c r="C6" s="147">
        <f ca="1">IF(OR('Données projet'!B9="",'Données projet'!C9="",'Données projet'!C9=0%),0,Calculateur!S3)</f>
        <v>467.03705646400994</v>
      </c>
      <c r="D6" s="147">
        <f>IF(OR('Données projet'!B9="",'Données projet'!C9="",'Données projet'!C9=0%),0,Calculateur!T3)</f>
        <v>575.68119027684361</v>
      </c>
      <c r="E6" s="147">
        <f ca="1">MIN(C6,D6)</f>
        <v>467.03705646400994</v>
      </c>
      <c r="F6" s="147">
        <f ca="1">E6*B6</f>
        <v>931.73892764569973</v>
      </c>
      <c r="G6" s="147">
        <f ca="1">F6*(100%-'Données projet'!$C$24)*(100%-'Données projet'!$C$25)*(100%-'Données projet'!$C$26)*(100%-'Données projet'!$C$27)</f>
        <v>838.5650348811298</v>
      </c>
      <c r="H6" s="148">
        <f>IF(OR('Données projet'!B9="",'Données projet'!C9="",'Données projet'!C9=0%),0,AVERAGE(Calculateur!$AC$3:$AC$33)*B6)</f>
        <v>19.896940844086217</v>
      </c>
      <c r="I6" s="149">
        <f>H6*(100%-'Données projet'!$C$24)*(100%-'Données projet'!$C$25)*(100%-'Données projet'!$C$26)*(100%-'Données projet'!$C$27)</f>
        <v>17.907246759677594</v>
      </c>
      <c r="J6" s="150">
        <f>IF(OR('Données projet'!B9="",'Données projet'!C9="",'Données projet'!C9=0%),0,SUM(Calculateur!$V$3:$V$33)*VLOOKUP('Données projet'!$B$9,Paramètres!$A$1:$I$89,9,0)*B6)</f>
        <v>165.56504999999999</v>
      </c>
      <c r="K6" s="151">
        <f>J6*(100%-'Données projet'!$C$24)*(100%-'Données projet'!$C$25)*(100%-'Données projet'!$C$26)*(100%-'Données projet'!$C$27)</f>
        <v>149.008545</v>
      </c>
      <c r="L6" s="152">
        <f ca="1">G6+I6+K6</f>
        <v>1005.4808266408074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Mélèze d'Europe</v>
      </c>
      <c r="B7" s="154">
        <f>'Données projet'!D10</f>
        <v>0.24500000000000002</v>
      </c>
      <c r="C7" s="147">
        <f ca="1">IF(OR('Données projet'!B10="",'Données projet'!C10="",'Données projet'!C10=0%),0,Calculateur!AN3)</f>
        <v>252.44760109054914</v>
      </c>
      <c r="D7" s="147">
        <f>IF(OR('Données projet'!B10="",'Données projet'!C10="",'Données projet'!C10=0%),0,Calculateur!AO3)</f>
        <v>121.75506329394773</v>
      </c>
      <c r="E7" s="147">
        <f t="shared" ref="E7:E15" ca="1" si="0">MIN(C7,D7)</f>
        <v>121.75506329394773</v>
      </c>
      <c r="F7" s="147">
        <f t="shared" ref="F7:F15" ca="1" si="1">E7*B7</f>
        <v>29.829990507017197</v>
      </c>
      <c r="G7" s="147">
        <f ca="1">F7*(100%-'Données projet'!$C$24)*(100%-'Données projet'!$C$25)*(100%-'Données projet'!$C$26)*(100%-'Données projet'!$C$27)</f>
        <v>26.846991456315479</v>
      </c>
      <c r="H7" s="155">
        <f>IF(OR('Données projet'!B10="",'Données projet'!C10="",'Données projet'!C10=0%),0,AVERAGE(Calculateur!$AX$3:$AX$33)*B7)</f>
        <v>0.38106211652505212</v>
      </c>
      <c r="I7" s="149">
        <f>H7*(100%-'Données projet'!$C$24)*(100%-'Données projet'!$C$25)*(100%-'Données projet'!$C$26)*(100%-'Données projet'!$C$27)</f>
        <v>0.3429559048725469</v>
      </c>
      <c r="J7" s="150">
        <f>IF(OR('Données projet'!B10="",'Données projet'!C10="",'Données projet'!C10=0%),0,SUM(Calculateur!$AQ$3:$AQ$33)*VLOOKUP('Données projet'!$B$10,Paramètres!$A$1:$I$89,9,0)*B7)</f>
        <v>3.7926000000000006</v>
      </c>
      <c r="K7" s="151">
        <f>J7*(100%-'Données projet'!$C$24)*(100%-'Données projet'!$C$25)*(100%-'Données projet'!$C$26)*(100%-'Données projet'!$C$27)</f>
        <v>3.4133400000000007</v>
      </c>
      <c r="L7" s="152">
        <f t="shared" ref="L7:L15" ca="1" si="2">G7+I7+K7</f>
        <v>30.603287361188027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Pin laricio</v>
      </c>
      <c r="B8" s="154">
        <f>'Données projet'!D11</f>
        <v>0.73499999999999999</v>
      </c>
      <c r="C8" s="147">
        <f ca="1">IF(OR('Données projet'!B11="",'Données projet'!C11="",'Données projet'!C11=0%),0,Calculateur!BI3)</f>
        <v>260.97162394079265</v>
      </c>
      <c r="D8" s="147">
        <f>IF(OR('Données projet'!B11="",'Données projet'!C11="",'Données projet'!C11=0%),0,Calculateur!BJ3)</f>
        <v>279.1836614199691</v>
      </c>
      <c r="E8" s="147">
        <f t="shared" ca="1" si="0"/>
        <v>260.97162394079265</v>
      </c>
      <c r="F8" s="147">
        <f t="shared" ca="1" si="1"/>
        <v>191.81414359648261</v>
      </c>
      <c r="G8" s="147">
        <f ca="1">F8*(100%-'Données projet'!$C$24)*(100%-'Données projet'!$C$25)*(100%-'Données projet'!$C$26)*(100%-'Données projet'!$C$27)</f>
        <v>172.63272923683436</v>
      </c>
      <c r="H8" s="155">
        <f>IF(OR('Données projet'!B11="",'Données projet'!C11="",'Données projet'!C11=0%),0,AVERAGE(Calculateur!$BS$3:$BS$33)*B8)</f>
        <v>3.2767350357040974</v>
      </c>
      <c r="I8" s="149">
        <f>H8*(100%-'Données projet'!$C$24)*(100%-'Données projet'!$C$25)*(100%-'Données projet'!$C$26)*(100%-'Données projet'!$C$27)</f>
        <v>2.9490615321336877</v>
      </c>
      <c r="J8" s="150">
        <f>IF(OR('Données projet'!B11="",'Données projet'!C11="",'Données projet'!C11=0%),0,SUM(Calculateur!$BL$3:$BL$33)*VLOOKUP('Données projet'!$B$11,Paramètres!$A$1:$I$89,9,0)*B8)</f>
        <v>33.185249999999996</v>
      </c>
      <c r="K8" s="151">
        <f>J8*(100%-'Données projet'!$C$24)*(100%-'Données projet'!$C$25)*(100%-'Données projet'!$C$26)*(100%-'Données projet'!$C$27)</f>
        <v>29.866724999999999</v>
      </c>
      <c r="L8" s="152">
        <f t="shared" ca="1" si="2"/>
        <v>205.44851576896806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Pin laricio</v>
      </c>
      <c r="B9" s="154">
        <f>'Données projet'!D12</f>
        <v>0.38500000000000001</v>
      </c>
      <c r="C9" s="147">
        <f ca="1">IF(OR('Données projet'!B12="",'Données projet'!C12="",'Données projet'!C12=0%),0,Calculateur!CD3)</f>
        <v>264.70281355687837</v>
      </c>
      <c r="D9" s="147">
        <f>IF(OR('Données projet'!B12="",'Données projet'!C12="",'Données projet'!C12=0%),0,Calculateur!CE3)</f>
        <v>199.74194600786768</v>
      </c>
      <c r="E9" s="147">
        <f t="shared" ca="1" si="0"/>
        <v>199.74194600786768</v>
      </c>
      <c r="F9" s="147">
        <f t="shared" ca="1" si="1"/>
        <v>76.900649213029055</v>
      </c>
      <c r="G9" s="147">
        <f ca="1">F9*(100%-'Données projet'!$C$24)*(100%-'Données projet'!$C$25)*(100%-'Données projet'!$C$26)*(100%-'Données projet'!$C$27)</f>
        <v>69.21058429172615</v>
      </c>
      <c r="H9" s="155">
        <f>IF(OR('Données projet'!B12="",'Données projet'!C12="",'Données projet'!C12=0%),0,AVERAGE(Calculateur!$CN$3:$CN$33)*B9)</f>
        <v>0.5917246455559777</v>
      </c>
      <c r="I9" s="149">
        <f>H9*(100%-'Données projet'!$C$24)*(100%-'Données projet'!$C$25)*(100%-'Données projet'!$C$26)*(100%-'Données projet'!$C$27)</f>
        <v>0.53255218100037993</v>
      </c>
      <c r="J9" s="150">
        <f>IF(OR('Données projet'!B12="",'Données projet'!C12="",'Données projet'!C12=0%),0,SUM(Calculateur!$CG$3:$CG$33)*VLOOKUP('Données projet'!$B$12,Paramètres!$A$1:$I$89,9,0)*B9)</f>
        <v>8.4430499999999995</v>
      </c>
      <c r="K9" s="151">
        <f>J9*(100%-'Données projet'!$C$24)*(100%-'Données projet'!$C$25)*(100%-'Données projet'!$C$26)*(100%-'Données projet'!$C$27)</f>
        <v>7.5987450000000001</v>
      </c>
      <c r="L9" s="152">
        <f t="shared" ca="1" si="2"/>
        <v>77.341881472726527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Pin sylvestre</v>
      </c>
      <c r="B10" s="154">
        <f>'Données projet'!D13</f>
        <v>0.14000000000000001</v>
      </c>
      <c r="C10" s="147">
        <f ca="1">IF(OR('Données projet'!B13="",'Données projet'!C13="",'Données projet'!C13=0%),0,Calculateur!CY3)</f>
        <v>149.8619613776458</v>
      </c>
      <c r="D10" s="147">
        <f>IF(OR('Données projet'!B13="",'Données projet'!C13="",'Données projet'!C13=0%),0,Calculateur!CZ3)</f>
        <v>108.55560257938146</v>
      </c>
      <c r="E10" s="147">
        <f t="shared" ca="1" si="0"/>
        <v>108.55560257938146</v>
      </c>
      <c r="F10" s="147">
        <f t="shared" ca="1" si="1"/>
        <v>15.197784361113406</v>
      </c>
      <c r="G10" s="147">
        <f ca="1">F10*(100%-'Données projet'!$C$24)*(100%-'Données projet'!$C$25)*(100%-'Données projet'!$C$26)*(100%-'Données projet'!$C$27)</f>
        <v>13.678005925002067</v>
      </c>
      <c r="H10" s="155">
        <f>IF(OR('Données projet'!B13="",'Données projet'!C13="",'Données projet'!C13=0%),0,AVERAGE(Calculateur!$DI$3:$DI$33)*B10)</f>
        <v>0.1435619858136937</v>
      </c>
      <c r="I10" s="149">
        <f>H10*(100%-'Données projet'!$C$24)*(100%-'Données projet'!$C$25)*(100%-'Données projet'!$C$26)*(100%-'Données projet'!$C$27)</f>
        <v>0.12920578723232434</v>
      </c>
      <c r="J10" s="150">
        <f>IF(OR('Données projet'!B13="",'Données projet'!C13="",'Données projet'!C13=0%),0,SUM(Calculateur!$DB$3:$DB$33)*VLOOKUP('Données projet'!$B$13,Paramètres!$A$1:$I$89,9,0)*B10)</f>
        <v>2.1070000000000002</v>
      </c>
      <c r="K10" s="151">
        <f>J10*(100%-'Données projet'!$C$24)*(100%-'Données projet'!$C$25)*(100%-'Données projet'!$C$26)*(100%-'Données projet'!$C$27)</f>
        <v>1.8963000000000003</v>
      </c>
      <c r="L10" s="152">
        <f t="shared" ca="1" si="2"/>
        <v>15.703511712234391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1245.481495323342</v>
      </c>
      <c r="G16" s="166">
        <f t="shared" ca="1" si="3"/>
        <v>1120.9333457910077</v>
      </c>
      <c r="H16" s="167">
        <f t="shared" si="3"/>
        <v>24.290024627685035</v>
      </c>
      <c r="I16" s="167">
        <f t="shared" si="3"/>
        <v>21.86102216491653</v>
      </c>
      <c r="J16" s="168">
        <f t="shared" si="3"/>
        <v>213.09294999999997</v>
      </c>
      <c r="K16" s="168">
        <f t="shared" si="3"/>
        <v>191.78365500000001</v>
      </c>
      <c r="L16" s="169">
        <f t="shared" ca="1" si="3"/>
        <v>1334.5780229559243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Pin sylvestre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110" zoomScaleNormal="110" workbookViewId="0">
      <selection activeCell="T23" sqref="T23:V2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3775.1979201632303</v>
      </c>
      <c r="U10" s="178">
        <f>'Données projet'!D9</f>
        <v>1.9949999999999999</v>
      </c>
      <c r="V10" s="177">
        <f>U10*T10</f>
        <v>7531.5198507256437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-659.72699068688212</v>
      </c>
      <c r="U11" s="178">
        <f>'Données projet'!D10</f>
        <v>0.24500000000000002</v>
      </c>
      <c r="V11" s="177">
        <f t="shared" ref="V11" si="0">U11*T11</f>
        <v>-161.63311271828613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1979.9347662047628</v>
      </c>
      <c r="U12" s="178">
        <f>'Données projet'!D11</f>
        <v>0.73499999999999999</v>
      </c>
      <c r="V12" s="177">
        <f t="shared" ref="V12:V19" si="1">U12*T12</f>
        <v>1455.2520531605007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429.72543649733109</v>
      </c>
      <c r="U13" s="178">
        <f>'Données projet'!D12</f>
        <v>0.38500000000000001</v>
      </c>
      <c r="V13" s="177">
        <f t="shared" si="1"/>
        <v>165.44429305147247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sylvestre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-133.59998321651494</v>
      </c>
      <c r="U14" s="178">
        <f>'Données projet'!D13</f>
        <v>0.14000000000000001</v>
      </c>
      <c r="V14" s="177">
        <f t="shared" si="1"/>
        <v>-18.703997650312093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((1105+555+1000)*0.68+(1105+555+1000)*0.92)/2</f>
        <v>2128</v>
      </c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39.999999999999979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999.99999999999943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1</v>
      </c>
      <c r="I20" s="191">
        <f>((193*4)+(386)+(1670*2.95)+(2340*1.83)+(670*1.65)+(670*2*0.65)+350+2550+750)/3.5</f>
        <v>4569.4857142857145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100+730+(750/3.5)</f>
        <v>1044.2857142857142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4" si="2">100+730+(750/3.5)</f>
        <v>1044.2857142857142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0</v>
      </c>
      <c r="C23" s="193"/>
      <c r="D23" s="182">
        <f t="shared" ref="D23:D33" si="3">B23*C23</f>
        <v>0</v>
      </c>
      <c r="E23" s="193"/>
      <c r="F23" s="230"/>
      <c r="G23" s="257"/>
      <c r="H23" s="190">
        <v>4</v>
      </c>
      <c r="I23" s="191">
        <f t="shared" si="2"/>
        <v>1044.2857142857142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-18880.375866473005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43</v>
      </c>
      <c r="C24" s="193">
        <v>5</v>
      </c>
      <c r="D24" s="182">
        <f t="shared" si="3"/>
        <v>215</v>
      </c>
      <c r="E24" s="193"/>
      <c r="F24" s="233"/>
      <c r="H24" s="190">
        <v>5</v>
      </c>
      <c r="I24" s="191">
        <f t="shared" si="2"/>
        <v>1044.2857142857142</v>
      </c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601.75045380593485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60</v>
      </c>
      <c r="C25" s="193">
        <v>10</v>
      </c>
      <c r="D25" s="182">
        <f t="shared" si="3"/>
        <v>600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5">
        <f ca="1">T23-T24</f>
        <v>-19482.126320278941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90</v>
      </c>
      <c r="C26" s="193">
        <v>15</v>
      </c>
      <c r="D26" s="182">
        <f t="shared" si="3"/>
        <v>1350</v>
      </c>
      <c r="E26" s="193"/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72</v>
      </c>
      <c r="C27" s="193">
        <v>30</v>
      </c>
      <c r="D27" s="182">
        <f t="shared" si="3"/>
        <v>2160</v>
      </c>
      <c r="E27" s="193"/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77</v>
      </c>
      <c r="C28" s="193">
        <v>40</v>
      </c>
      <c r="D28" s="182">
        <f t="shared" si="3"/>
        <v>3080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64</v>
      </c>
      <c r="C29" s="193">
        <v>45</v>
      </c>
      <c r="D29" s="182">
        <f t="shared" si="3"/>
        <v>2880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50</v>
      </c>
      <c r="B30" s="181">
        <f>'Données projet'!D43</f>
        <v>62</v>
      </c>
      <c r="C30" s="193">
        <v>55</v>
      </c>
      <c r="D30" s="182">
        <f t="shared" si="3"/>
        <v>3410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55</v>
      </c>
      <c r="B31" s="181">
        <f>'Données projet'!D44</f>
        <v>46</v>
      </c>
      <c r="C31" s="193">
        <v>60</v>
      </c>
      <c r="D31" s="182">
        <f t="shared" si="3"/>
        <v>2760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60</v>
      </c>
      <c r="B32" s="181">
        <f>'Données projet'!D45</f>
        <v>35</v>
      </c>
      <c r="C32" s="193">
        <v>65</v>
      </c>
      <c r="D32" s="182">
        <f t="shared" si="3"/>
        <v>2275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65</v>
      </c>
      <c r="B33" s="181">
        <f>'Données projet'!D46</f>
        <v>769</v>
      </c>
      <c r="C33" s="193">
        <v>70</v>
      </c>
      <c r="D33" s="182">
        <f t="shared" si="3"/>
        <v>53830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ref="D34:D42" si="5">B34*C34</f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5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58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5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5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5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5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5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5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5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((227+115)*0.6+(227+115)*0.92)/0.26</f>
        <v>1999.384615384615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15</v>
      </c>
      <c r="C55" s="191">
        <v>10</v>
      </c>
      <c r="D55" s="179">
        <f t="shared" ref="D55:D73" si="6">B55*C55</f>
        <v>150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21</v>
      </c>
      <c r="C56" s="191">
        <v>15</v>
      </c>
      <c r="D56" s="179">
        <f t="shared" si="6"/>
        <v>315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21</v>
      </c>
      <c r="C57" s="191">
        <v>30</v>
      </c>
      <c r="D57" s="179">
        <f t="shared" si="6"/>
        <v>630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21</v>
      </c>
      <c r="C58" s="191">
        <v>40</v>
      </c>
      <c r="D58" s="179">
        <f t="shared" si="6"/>
        <v>840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21</v>
      </c>
      <c r="C59" s="191">
        <v>45</v>
      </c>
      <c r="D59" s="179">
        <f t="shared" si="6"/>
        <v>945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21</v>
      </c>
      <c r="C60" s="191">
        <v>55</v>
      </c>
      <c r="D60" s="179">
        <f t="shared" si="6"/>
        <v>1155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16</v>
      </c>
      <c r="C61" s="191">
        <v>60</v>
      </c>
      <c r="D61" s="179">
        <f t="shared" si="6"/>
        <v>960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13</v>
      </c>
      <c r="C62" s="191">
        <v>65</v>
      </c>
      <c r="D62" s="179">
        <f t="shared" si="6"/>
        <v>845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11</v>
      </c>
      <c r="C63" s="191">
        <v>70</v>
      </c>
      <c r="D63" s="179">
        <f t="shared" si="6"/>
        <v>770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10</v>
      </c>
      <c r="C64" s="191">
        <v>75</v>
      </c>
      <c r="D64" s="179">
        <f t="shared" si="6"/>
        <v>750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9</v>
      </c>
      <c r="C65" s="191">
        <v>75</v>
      </c>
      <c r="D65" s="179">
        <f t="shared" si="6"/>
        <v>675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7</v>
      </c>
      <c r="C66" s="191">
        <v>75</v>
      </c>
      <c r="D66" s="179">
        <f t="shared" si="6"/>
        <v>525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6</v>
      </c>
      <c r="C67" s="191">
        <v>75</v>
      </c>
      <c r="D67" s="179">
        <f t="shared" si="6"/>
        <v>450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5</v>
      </c>
      <c r="C68" s="191">
        <v>75</v>
      </c>
      <c r="D68" s="179">
        <f t="shared" si="6"/>
        <v>375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95</v>
      </c>
      <c r="B69" s="181">
        <f>'Données projet'!D77</f>
        <v>4</v>
      </c>
      <c r="C69" s="191">
        <v>75</v>
      </c>
      <c r="D69" s="179">
        <f t="shared" si="6"/>
        <v>300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100</v>
      </c>
      <c r="B70" s="181">
        <f>'Données projet'!D78</f>
        <v>469</v>
      </c>
      <c r="C70" s="191">
        <v>75</v>
      </c>
      <c r="D70" s="179">
        <f t="shared" si="6"/>
        <v>35175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6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6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6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(1000*0.67+1000*0.92)/0.75</f>
        <v>2120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7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17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7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15</v>
      </c>
      <c r="C86" s="191">
        <v>5</v>
      </c>
      <c r="D86" s="179">
        <f t="shared" ref="D86:D104" si="8">B86*C86</f>
        <v>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7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36</v>
      </c>
      <c r="C87" s="191">
        <v>10</v>
      </c>
      <c r="D87" s="179">
        <f t="shared" si="8"/>
        <v>360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7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54</v>
      </c>
      <c r="C88" s="191">
        <v>15</v>
      </c>
      <c r="D88" s="179">
        <f t="shared" si="8"/>
        <v>810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7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55</v>
      </c>
      <c r="C89" s="191">
        <v>30</v>
      </c>
      <c r="D89" s="179">
        <f t="shared" si="8"/>
        <v>1650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7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48</v>
      </c>
      <c r="C90" s="191">
        <v>40</v>
      </c>
      <c r="D90" s="179">
        <f t="shared" si="8"/>
        <v>1920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7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57</v>
      </c>
      <c r="C91" s="191">
        <v>45</v>
      </c>
      <c r="D91" s="179">
        <f t="shared" si="8"/>
        <v>2565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7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50</v>
      </c>
      <c r="B92" s="181">
        <f>'Données projet'!D95</f>
        <v>47</v>
      </c>
      <c r="C92" s="191">
        <v>50</v>
      </c>
      <c r="D92" s="179">
        <f t="shared" si="8"/>
        <v>2350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7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55</v>
      </c>
      <c r="B93" s="181">
        <f>'Données projet'!D96</f>
        <v>48</v>
      </c>
      <c r="C93" s="191">
        <v>55</v>
      </c>
      <c r="D93" s="179">
        <f t="shared" si="8"/>
        <v>2640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7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60</v>
      </c>
      <c r="B94" s="181">
        <f>'Données projet'!D97</f>
        <v>32</v>
      </c>
      <c r="C94" s="191">
        <v>60</v>
      </c>
      <c r="D94" s="179">
        <f t="shared" si="8"/>
        <v>1920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7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65</v>
      </c>
      <c r="B95" s="181">
        <f>'Données projet'!D98</f>
        <v>555</v>
      </c>
      <c r="C95" s="191">
        <v>65</v>
      </c>
      <c r="D95" s="179">
        <f t="shared" si="8"/>
        <v>36075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7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7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9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9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(500*0.68+500*0.92)/0.38</f>
        <v>2105.2631578947367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22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25</v>
      </c>
      <c r="B117" s="181">
        <f>'Données projet'!D115</f>
        <v>17</v>
      </c>
      <c r="C117" s="191">
        <v>5</v>
      </c>
      <c r="D117" s="179">
        <f t="shared" ref="D117:D135" si="10">B117*C117</f>
        <v>85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30</v>
      </c>
      <c r="B118" s="181">
        <f>'Données projet'!D116</f>
        <v>34</v>
      </c>
      <c r="C118" s="191">
        <v>10</v>
      </c>
      <c r="D118" s="179">
        <f t="shared" si="10"/>
        <v>340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35</v>
      </c>
      <c r="B119" s="181">
        <f>'Données projet'!D117</f>
        <v>41</v>
      </c>
      <c r="C119" s="191">
        <v>15</v>
      </c>
      <c r="D119" s="179">
        <f t="shared" si="10"/>
        <v>615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40</v>
      </c>
      <c r="B120" s="181">
        <f>'Données projet'!D118</f>
        <v>41</v>
      </c>
      <c r="C120" s="191">
        <v>30</v>
      </c>
      <c r="D120" s="179">
        <f t="shared" si="10"/>
        <v>1230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45</v>
      </c>
      <c r="B121" s="181">
        <f>'Données projet'!D119</f>
        <v>41</v>
      </c>
      <c r="C121" s="191">
        <v>40</v>
      </c>
      <c r="D121" s="179">
        <f t="shared" si="10"/>
        <v>1640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50</v>
      </c>
      <c r="B122" s="181">
        <f>'Données projet'!D120</f>
        <v>53</v>
      </c>
      <c r="C122" s="191">
        <v>45</v>
      </c>
      <c r="D122" s="179">
        <f t="shared" si="10"/>
        <v>2385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58</v>
      </c>
      <c r="B123" s="181">
        <f>'Données projet'!D121</f>
        <v>78</v>
      </c>
      <c r="C123" s="191">
        <v>50</v>
      </c>
      <c r="D123" s="179">
        <f t="shared" si="10"/>
        <v>3900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66</v>
      </c>
      <c r="B124" s="181">
        <f>'Données projet'!D122</f>
        <v>65</v>
      </c>
      <c r="C124" s="191">
        <v>55</v>
      </c>
      <c r="D124" s="179">
        <f t="shared" si="10"/>
        <v>3575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74</v>
      </c>
      <c r="B125" s="181">
        <f>'Données projet'!D123</f>
        <v>37</v>
      </c>
      <c r="C125" s="191">
        <v>60</v>
      </c>
      <c r="D125" s="179">
        <f t="shared" si="10"/>
        <v>2220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82</v>
      </c>
      <c r="B126" s="181">
        <f>'Données projet'!D124</f>
        <v>567</v>
      </c>
      <c r="C126" s="191">
        <v>65</v>
      </c>
      <c r="D126" s="179">
        <f t="shared" si="10"/>
        <v>36855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10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10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10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10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10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10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10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10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10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Pin sylvestre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(170*0.4+170*0.92)/0.13</f>
        <v>1726.1538461538462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5">
        <f>'Données projet'!D140</f>
        <v>12</v>
      </c>
      <c r="C147" s="191">
        <v>5</v>
      </c>
      <c r="D147" s="182">
        <f>B147*C147</f>
        <v>60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23</v>
      </c>
      <c r="C148" s="191">
        <v>10</v>
      </c>
      <c r="D148" s="182">
        <f t="shared" ref="D148:D166" si="12">B148*C148</f>
        <v>230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5">
        <f>'Données projet'!D142</f>
        <v>28</v>
      </c>
      <c r="C149" s="191">
        <v>10</v>
      </c>
      <c r="D149" s="182">
        <f t="shared" si="12"/>
        <v>280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5">
        <f>'Données projet'!D143</f>
        <v>37</v>
      </c>
      <c r="C150" s="191">
        <v>25</v>
      </c>
      <c r="D150" s="182">
        <f t="shared" si="12"/>
        <v>925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50</v>
      </c>
      <c r="B151" s="175">
        <f>'Données projet'!D144</f>
        <v>65</v>
      </c>
      <c r="C151" s="191">
        <v>35</v>
      </c>
      <c r="D151" s="182">
        <f t="shared" si="12"/>
        <v>2275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60</v>
      </c>
      <c r="B152" s="175">
        <f>'Données projet'!D145</f>
        <v>60</v>
      </c>
      <c r="C152" s="191">
        <v>45</v>
      </c>
      <c r="D152" s="182">
        <f t="shared" si="12"/>
        <v>2700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70</v>
      </c>
      <c r="B153" s="175">
        <f>'Données projet'!D146</f>
        <v>52</v>
      </c>
      <c r="C153" s="191">
        <v>55</v>
      </c>
      <c r="D153" s="182">
        <f t="shared" si="12"/>
        <v>2860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80</v>
      </c>
      <c r="B154" s="175">
        <f>'Données projet'!D147</f>
        <v>404</v>
      </c>
      <c r="C154" s="191">
        <v>60</v>
      </c>
      <c r="D154" s="182">
        <f t="shared" si="12"/>
        <v>24240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2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Sarah Khatib</cp:lastModifiedBy>
  <dcterms:created xsi:type="dcterms:W3CDTF">2021-02-01T08:22:39Z</dcterms:created>
  <dcterms:modified xsi:type="dcterms:W3CDTF">2023-05-10T10:39:53Z</dcterms:modified>
</cp:coreProperties>
</file>