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Forestarn\Projet Verreries-de-Moussans_022022\"/>
    </mc:Choice>
  </mc:AlternateContent>
  <bookViews>
    <workbookView xWindow="0" yWindow="0" windowWidth="28800" windowHeight="12624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62" i="2" a="1"/>
  <c r="AH62" i="2" s="1"/>
  <c r="AH199" i="2" a="1"/>
  <c r="AH199" i="2" s="1"/>
  <c r="AH19" i="2" a="1"/>
  <c r="AH19" i="2" s="1"/>
  <c r="AH166" i="2" a="1"/>
  <c r="AH166" i="2" s="1"/>
  <c r="AH90" i="2" a="1"/>
  <c r="AH90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<sst xmlns="http://schemas.openxmlformats.org/spreadsheetml/2006/main" count="1173" uniqueCount="326">
  <si>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</si>
  <si>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</si>
  <si>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</si>
  <si>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</si>
  <si>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</si>
  <si>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</si>
  <si>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</si>
  <si>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</si>
  <si>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</si>
  <si>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</si>
  <si>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</si>
  <si>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</si>
  <si>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</si>
  <si>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</si>
  <si>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</si>
  <si>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</si>
  <si>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</si>
  <si>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</si>
  <si>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</si>
  <si>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</si>
  <si>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</si>
  <si>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</si>
  <si>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</si>
  <si>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</si>
  <si>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</si>
  <si>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</si>
  <si>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</si>
  <si>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</si>
  <si>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</si>
  <si>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</si>
  <si>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</si>
  <si>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</si>
  <si>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</si>
  <si>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</si>
  <si>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</si>
  <si>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</si>
  <si>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</si>
  <si>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</si>
  <si>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</si>
  <si>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</si>
  <si>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</si>
  <si>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</si>
  <si>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</si>
  <si>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</si>
  <si>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</si>
  <si>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</si>
  <si>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</si>
  <si>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</si>
  <si>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</si>
  <si>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</si>
  <si>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</si>
  <si>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</si>
  <si>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</si>
  <si>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</si>
  <si>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</si>
  <si>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</si>
  <si>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</si>
  <si>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</si>
  <si>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</si>
  <si>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</si>
  <si>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</si>
  <si>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</si>
  <si>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</si>
  <si>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</si>
  <si>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</si>
  <si>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</si>
  <si>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</si>
  <si>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</si>
  <si>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</si>
  <si>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</si>
  <si>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</si>
  <si>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</si>
  <si>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</si>
  <si>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</si>
  <si>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</si>
  <si>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</si>
  <si>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</si>
  <si>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</si>
  <si>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</si>
  <si>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</si>
  <si>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</si>
  <si>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</si>
  <si>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</si>
  <si>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</si>
  <si>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</si>
  <si>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</si>
  <si>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</si>
  <si>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</si>
  <si>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</si>
  <si>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</si>
  <si>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</si>
  <si>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</si>
  <si>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</si>
  <si>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</si>
  <si>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</si>
  <si>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</si>
  <si>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</si>
  <si>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</si>
  <si>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</si>
  <si>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</si>
  <si>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</si>
  <si>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</si>
  <si>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</si>
  <si>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</si>
  <si>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</si>
  <si>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</si>
  <si>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</si>
  <si>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</si>
  <si>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</si>
  <si>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</si>
  <si>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</si>
  <si>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</si>
  <si>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</si>
  <si>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</si>
  <si>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</si>
  <si>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</si>
  <si>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</si>
  <si>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</si>
  <si>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</si>
  <si>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</si>
  <si>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</si>
  <si>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</si>
  <si>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</si>
  <si>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</si>
  <si>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</si>
  <si>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</si>
  <si>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</si>
  <si>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</si>
  <si>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</si>
  <si>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</si>
  <si>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</si>
  <si>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</si>
  <si>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</si>
  <si>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</si>
  <si>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</si>
  <si>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</si>
  <si>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</si>
  <si>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</si>
  <si>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</si>
  <si>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</si>
  <si>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</si>
  <si>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</si>
  <si>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</si>
  <si>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</si>
  <si>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</si>
  <si>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</si>
  <si>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</si>
  <si>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</si>
  <si>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</si>
  <si>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</si>
  <si>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</si>
  <si>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</si>
  <si>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</si>
  <si>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</si>
  <si>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</si>
  <si>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</si>
  <si>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</si>
  <si>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</si>
  <si>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</si>
  <si>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</si>
  <si>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</si>
  <si>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</si>
  <si>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</si>
  <si>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</si>
  <si>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</si>
  <si>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</si>
  <si>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</si>
  <si>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</si>
  <si>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</si>
  <si>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</si>
  <si>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</si>
  <si>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</si>
  <si>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</si>
  <si>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</si>
  <si>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</si>
  <si>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</si>
  <si>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</si>
  <si>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</si>
  <si>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</si>
  <si>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</si>
  <si>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</si>
  <si>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</si>
  <si>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</si>
  <si>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</si>
  <si>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</si>
  <si>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</si>
  <si>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</si>
  <si>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</si>
  <si>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</si>
  <si>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</si>
  <si>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</si>
  <si>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</si>
  <si>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</si>
  <si>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</si>
  <si>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</si>
  <si>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</si>
  <si>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</si>
  <si>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</si>
  <si>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</si>
  <si>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</si>
  <si>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</si>
  <si>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</si>
  <si>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</si>
  <si>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</si>
  <si>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</si>
  <si>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</si>
  <si>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</si>
  <si>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</si>
  <si>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</si>
  <si>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</si>
  <si>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</si>
  <si>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</si>
  <si>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</si>
  <si>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</si>
  <si>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</si>
  <si>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</si>
  <si>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</si>
  <si>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</si>
  <si>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</si>
  <si>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</si>
  <si>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</si>
  <si>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</si>
  <si>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</si>
  <si>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</si>
  <si>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</si>
  <si>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</si>
  <si>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</si>
  <si>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</si>
  <si>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</si>
  <si>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</si>
  <si>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</si>
  <si>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</si>
  <si>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</si>
  <si>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</si>
  <si>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</si>
  <si>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</si>
  <si>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</si>
  <si>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</si>
  <si>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</si>
  <si>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</si>
  <si>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</si>
  <si>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</si>
  <si>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</si>
  <si>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</si>
  <si>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</si>
  <si>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</si>
  <si>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</si>
  <si>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</si>
  <si>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</si>
  <si>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</si>
  <si>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</si>
  <si>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</si>
  <si>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</si>
  <si>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</si>
  <si>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</si>
  <si>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</si>
  <si>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</si>
  <si>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</si>
  <si>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</si>
  <si>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</si>
  <si>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</si>
  <si>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</si>
  <si>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</si>
  <si>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</si>
  <si>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</si>
  <si>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</si>
  <si>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</si>
  <si>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</si>
  <si>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</si>
  <si>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</si>
  <si>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</si>
  <si>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</si>
  <si>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</si>
  <si>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</si>
  <si>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</si>
  <si>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</si>
  <si>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</si>
  <si>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</si>
  <si>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</si>
  <si>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</si>
  <si>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</si>
  <si>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</si>
  <si>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</si>
  <si>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</si>
  <si>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</si>
  <si>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</si>
  <si>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</si>
  <si>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</si>
  <si>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</si>
  <si>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</si>
  <si>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</si>
  <si>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</si>
  <si>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</si>
  <si>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</si>
  <si>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</si>
  <si>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</si>
  <si>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</si>
  <si>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</si>
  <si>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</si>
  <si>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</si>
  <si>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</si>
  <si>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</si>
  <si>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</si>
  <si>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</si>
  <si>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</si>
  <si>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</si>
  <si>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</si>
  <si>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</si>
  <si>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</si>
  <si>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</si>
  <si>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</si>
  <si>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</si>
  <si>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</si>
  <si>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</si>
  <si>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</si>
  <si>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</si>
  <si>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</si>
  <si>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</si>
  <si>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</si>
  <si>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</si>
  <si>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</si>
  <si>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</si>
  <si>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</si>
  <si>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</si>
  <si>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Environ</t>
  </si>
  <si>
    <t>environ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</si>
</sst>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133.83448558206604</c:v>
                </c:pt>
                <c:pt idx="22">
                  <c:v>143.17159315460216</c:v>
                </c:pt>
                <c:pt idx="23">
                  <c:v>152.49411749416092</c:v>
                </c:pt>
                <c:pt idx="24">
                  <c:v>161.80307694345507</c:v>
                </c:pt>
                <c:pt idx="25">
                  <c:v>171.09936290494795</c:v>
                </c:pt>
                <c:pt idx="26">
                  <c:v>180.38376185573745</c:v>
                </c:pt>
                <c:pt idx="27">
                  <c:v>189.65697258310968</c:v>
                </c:pt>
                <c:pt idx="28">
                  <c:v>198.91961986626634</c:v>
                </c:pt>
                <c:pt idx="29">
                  <c:v>208.17226547186976</c:v>
                </c:pt>
                <c:pt idx="30">
                  <c:v>217.41541708927392</c:v>
                </c:pt>
                <c:pt idx="31">
                  <c:v>173.89097206104816</c:v>
                </c:pt>
                <c:pt idx="32">
                  <c:v>184.03353707055851</c:v>
                </c:pt>
                <c:pt idx="33">
                  <c:v>194.16304064471566</c:v>
                </c:pt>
                <c:pt idx="34">
                  <c:v>204.2802608972855</c:v>
                </c:pt>
                <c:pt idx="35">
                  <c:v>214.38589248354256</c:v>
                </c:pt>
                <c:pt idx="36">
                  <c:v>224.48055915021382</c:v>
                </c:pt>
                <c:pt idx="37">
                  <c:v>234.56482390663436</c:v>
                </c:pt>
                <c:pt idx="38">
                  <c:v>244.63919735303134</c:v>
                </c:pt>
                <c:pt idx="39">
                  <c:v>254.70414456356778</c:v>
                </c:pt>
                <c:pt idx="40">
                  <c:v>264.76009082333894</c:v>
                </c:pt>
                <c:pt idx="41">
                  <c:v>211.86053580433213</c:v>
                </c:pt>
                <c:pt idx="42">
                  <c:v>223.47156942353163</c:v>
                </c:pt>
                <c:pt idx="43">
                  <c:v>235.06877345752716</c:v>
                </c:pt>
                <c:pt idx="44">
                  <c:v>246.65292674490271</c:v>
                </c:pt>
                <c:pt idx="45">
                  <c:v>258.22472893839176</c:v>
                </c:pt>
                <c:pt idx="46">
                  <c:v>269.78481182023978</c:v>
                </c:pt>
                <c:pt idx="47">
                  <c:v>281.33374857482323</c:v>
                </c:pt>
                <c:pt idx="48">
                  <c:v>292.87206145774786</c:v>
                </c:pt>
                <c:pt idx="49">
                  <c:v>304.40022819227767</c:v>
                </c:pt>
                <c:pt idx="50">
                  <c:v>315.91868734548365</c:v>
                </c:pt>
                <c:pt idx="51">
                  <c:v>252.18876758094336</c:v>
                </c:pt>
                <c:pt idx="52">
                  <c:v>265.76520570407035</c:v>
                </c:pt>
                <c:pt idx="53">
                  <c:v>279.3260150621507</c:v>
                </c:pt>
                <c:pt idx="54">
                  <c:v>292.87206145774786</c:v>
                </c:pt>
                <c:pt idx="55">
                  <c:v>306.40412403506838</c:v>
                </c:pt>
                <c:pt idx="56">
                  <c:v>319.92290747907703</c:v>
                </c:pt>
                <c:pt idx="57">
                  <c:v>333.42905204366178</c:v>
                </c:pt>
                <c:pt idx="58">
                  <c:v>346.92314186926546</c:v>
                </c:pt>
                <c:pt idx="59">
                  <c:v>360.40571193829396</c:v>
                </c:pt>
                <c:pt idx="60">
                  <c:v>373.87725393504815</c:v>
                </c:pt>
                <c:pt idx="61">
                  <c:v>8.583811758418665E-13</c:v>
                </c:pt>
                <c:pt idx="62">
                  <c:v>8.583811758418665E-13</c:v>
                </c:pt>
                <c:pt idx="63">
                  <c:v>8.583811758418665E-13</c:v>
                </c:pt>
                <c:pt idx="64">
                  <c:v>8.583811758418665E-13</c:v>
                </c:pt>
                <c:pt idx="65">
                  <c:v>8.583811758418665E-13</c:v>
                </c:pt>
                <c:pt idx="66">
                  <c:v>8.583811758418665E-13</c:v>
                </c:pt>
                <c:pt idx="67">
                  <c:v>8.583811758418665E-13</c:v>
                </c:pt>
                <c:pt idx="68">
                  <c:v>8.583811758418665E-13</c:v>
                </c:pt>
                <c:pt idx="69">
                  <c:v>8.583811758418665E-13</c:v>
                </c:pt>
                <c:pt idx="70">
                  <c:v>8.583811758418665E-13</c:v>
                </c:pt>
                <c:pt idx="71">
                  <c:v>8.583811758418665E-13</c:v>
                </c:pt>
                <c:pt idx="72">
                  <c:v>8.583811758418665E-13</c:v>
                </c:pt>
                <c:pt idx="73">
                  <c:v>8.583811758418665E-13</c:v>
                </c:pt>
                <c:pt idx="74">
                  <c:v>8.583811758418665E-13</c:v>
                </c:pt>
                <c:pt idx="75">
                  <c:v>8.583811758418665E-13</c:v>
                </c:pt>
                <c:pt idx="76">
                  <c:v>8.583811758418665E-13</c:v>
                </c:pt>
                <c:pt idx="77">
                  <c:v>8.583811758418665E-13</c:v>
                </c:pt>
                <c:pt idx="78">
                  <c:v>8.583811758418665E-13</c:v>
                </c:pt>
                <c:pt idx="79">
                  <c:v>8.583811758418665E-13</c:v>
                </c:pt>
                <c:pt idx="80">
                  <c:v>8.583811758418665E-13</c:v>
                </c:pt>
                <c:pt idx="81">
                  <c:v>8.583811758418665E-13</c:v>
                </c:pt>
                <c:pt idx="82">
                  <c:v>8.583811758418665E-13</c:v>
                </c:pt>
                <c:pt idx="83">
                  <c:v>8.583811758418665E-13</c:v>
                </c:pt>
                <c:pt idx="84">
                  <c:v>8.583811758418665E-13</c:v>
                </c:pt>
                <c:pt idx="85">
                  <c:v>8.583811758418665E-13</c:v>
                </c:pt>
                <c:pt idx="86">
                  <c:v>8.583811758418665E-13</c:v>
                </c:pt>
                <c:pt idx="87">
                  <c:v>8.583811758418665E-13</c:v>
                </c:pt>
                <c:pt idx="88">
                  <c:v>8.583811758418665E-13</c:v>
                </c:pt>
                <c:pt idx="89">
                  <c:v>8.583811758418665E-13</c:v>
                </c:pt>
                <c:pt idx="90">
                  <c:v>8.583811758418665E-13</c:v>
                </c:pt>
                <c:pt idx="91">
                  <c:v>8.583811758418665E-13</c:v>
                </c:pt>
                <c:pt idx="92">
                  <c:v>8.583811758418665E-13</c:v>
                </c:pt>
                <c:pt idx="93">
                  <c:v>8.583811758418665E-13</c:v>
                </c:pt>
                <c:pt idx="94">
                  <c:v>8.583811758418665E-13</c:v>
                </c:pt>
                <c:pt idx="95">
                  <c:v>8.583811758418665E-13</c:v>
                </c:pt>
                <c:pt idx="96">
                  <c:v>8.583811758418665E-13</c:v>
                </c:pt>
                <c:pt idx="97">
                  <c:v>8.583811758418665E-13</c:v>
                </c:pt>
                <c:pt idx="98">
                  <c:v>8.583811758418665E-13</c:v>
                </c:pt>
                <c:pt idx="99">
                  <c:v>8.583811758418665E-13</c:v>
                </c:pt>
                <c:pt idx="100">
                  <c:v>8.583811758418665E-13</c:v>
                </c:pt>
                <c:pt idx="101">
                  <c:v>8.583811758418665E-13</c:v>
                </c:pt>
                <c:pt idx="102">
                  <c:v>8.583811758418665E-13</c:v>
                </c:pt>
                <c:pt idx="103">
                  <c:v>8.583811758418665E-13</c:v>
                </c:pt>
                <c:pt idx="104">
                  <c:v>8.583811758418665E-13</c:v>
                </c:pt>
                <c:pt idx="105">
                  <c:v>8.583811758418665E-13</c:v>
                </c:pt>
                <c:pt idx="106">
                  <c:v>8.583811758418665E-13</c:v>
                </c:pt>
                <c:pt idx="107">
                  <c:v>8.583811758418665E-13</c:v>
                </c:pt>
                <c:pt idx="108">
                  <c:v>8.583811758418665E-13</c:v>
                </c:pt>
                <c:pt idx="109">
                  <c:v>8.583811758418665E-13</c:v>
                </c:pt>
                <c:pt idx="110">
                  <c:v>8.583811758418665E-13</c:v>
                </c:pt>
                <c:pt idx="111">
                  <c:v>8.583811758418665E-13</c:v>
                </c:pt>
                <c:pt idx="112">
                  <c:v>8.583811758418665E-13</c:v>
                </c:pt>
                <c:pt idx="113">
                  <c:v>8.583811758418665E-13</c:v>
                </c:pt>
                <c:pt idx="114">
                  <c:v>8.583811758418665E-13</c:v>
                </c:pt>
                <c:pt idx="115">
                  <c:v>8.583811758418665E-13</c:v>
                </c:pt>
                <c:pt idx="116">
                  <c:v>8.583811758418665E-13</c:v>
                </c:pt>
                <c:pt idx="117">
                  <c:v>8.583811758418665E-13</c:v>
                </c:pt>
                <c:pt idx="118">
                  <c:v>8.583811758418665E-13</c:v>
                </c:pt>
                <c:pt idx="119">
                  <c:v>8.583811758418665E-13</c:v>
                </c:pt>
                <c:pt idx="120">
                  <c:v>8.583811758418665E-13</c:v>
                </c:pt>
                <c:pt idx="121">
                  <c:v>8.583811758418665E-13</c:v>
                </c:pt>
                <c:pt idx="122">
                  <c:v>8.583811758418665E-13</c:v>
                </c:pt>
                <c:pt idx="123">
                  <c:v>8.583811758418665E-13</c:v>
                </c:pt>
                <c:pt idx="124">
                  <c:v>8.583811758418665E-13</c:v>
                </c:pt>
                <c:pt idx="125">
                  <c:v>8.583811758418665E-13</c:v>
                </c:pt>
                <c:pt idx="126">
                  <c:v>8.583811758418665E-13</c:v>
                </c:pt>
                <c:pt idx="127">
                  <c:v>8.583811758418665E-13</c:v>
                </c:pt>
                <c:pt idx="128">
                  <c:v>8.583811758418665E-13</c:v>
                </c:pt>
                <c:pt idx="129">
                  <c:v>8.583811758418665E-13</c:v>
                </c:pt>
                <c:pt idx="130">
                  <c:v>8.583811758418665E-13</c:v>
                </c:pt>
                <c:pt idx="131">
                  <c:v>8.583811758418665E-13</c:v>
                </c:pt>
                <c:pt idx="132">
                  <c:v>8.583811758418665E-13</c:v>
                </c:pt>
                <c:pt idx="133">
                  <c:v>8.583811758418665E-13</c:v>
                </c:pt>
                <c:pt idx="134">
                  <c:v>8.583811758418665E-13</c:v>
                </c:pt>
                <c:pt idx="135">
                  <c:v>8.583811758418665E-13</c:v>
                </c:pt>
                <c:pt idx="136">
                  <c:v>8.583811758418665E-13</c:v>
                </c:pt>
                <c:pt idx="137">
                  <c:v>8.583811758418665E-13</c:v>
                </c:pt>
                <c:pt idx="138">
                  <c:v>8.583811758418665E-13</c:v>
                </c:pt>
                <c:pt idx="139">
                  <c:v>8.583811758418665E-13</c:v>
                </c:pt>
                <c:pt idx="140">
                  <c:v>8.583811758418665E-13</c:v>
                </c:pt>
                <c:pt idx="141">
                  <c:v>8.583811758418665E-13</c:v>
                </c:pt>
                <c:pt idx="142">
                  <c:v>8.583811758418665E-13</c:v>
                </c:pt>
                <c:pt idx="143">
                  <c:v>8.583811758418665E-13</c:v>
                </c:pt>
                <c:pt idx="144">
                  <c:v>8.583811758418665E-13</c:v>
                </c:pt>
                <c:pt idx="145">
                  <c:v>8.583811758418665E-13</c:v>
                </c:pt>
                <c:pt idx="146">
                  <c:v>8.583811758418665E-13</c:v>
                </c:pt>
                <c:pt idx="147">
                  <c:v>8.583811758418665E-13</c:v>
                </c:pt>
                <c:pt idx="148">
                  <c:v>8.583811758418665E-13</c:v>
                </c:pt>
                <c:pt idx="149">
                  <c:v>8.583811758418665E-13</c:v>
                </c:pt>
                <c:pt idx="150">
                  <c:v>8.583811758418665E-13</c:v>
                </c:pt>
                <c:pt idx="151">
                  <c:v>8.583811758418665E-13</c:v>
                </c:pt>
                <c:pt idx="152">
                  <c:v>8.583811758418665E-13</c:v>
                </c:pt>
                <c:pt idx="153">
                  <c:v>8.583811758418665E-13</c:v>
                </c:pt>
                <c:pt idx="154">
                  <c:v>8.583811758418665E-13</c:v>
                </c:pt>
                <c:pt idx="155">
                  <c:v>8.583811758418665E-13</c:v>
                </c:pt>
                <c:pt idx="156">
                  <c:v>8.583811758418665E-13</c:v>
                </c:pt>
                <c:pt idx="157">
                  <c:v>8.583811758418665E-13</c:v>
                </c:pt>
                <c:pt idx="158">
                  <c:v>8.583811758418665E-13</c:v>
                </c:pt>
                <c:pt idx="159">
                  <c:v>8.583811758418665E-13</c:v>
                </c:pt>
                <c:pt idx="160">
                  <c:v>8.583811758418665E-13</c:v>
                </c:pt>
                <c:pt idx="161">
                  <c:v>8.583811758418665E-13</c:v>
                </c:pt>
                <c:pt idx="162">
                  <c:v>8.583811758418665E-13</c:v>
                </c:pt>
                <c:pt idx="163">
                  <c:v>8.583811758418665E-13</c:v>
                </c:pt>
                <c:pt idx="164">
                  <c:v>8.583811758418665E-13</c:v>
                </c:pt>
                <c:pt idx="165">
                  <c:v>8.583811758418665E-13</c:v>
                </c:pt>
                <c:pt idx="166">
                  <c:v>8.583811758418665E-13</c:v>
                </c:pt>
                <c:pt idx="167">
                  <c:v>8.583811758418665E-13</c:v>
                </c:pt>
                <c:pt idx="168">
                  <c:v>8.583811758418665E-13</c:v>
                </c:pt>
                <c:pt idx="169">
                  <c:v>8.583811758418665E-13</c:v>
                </c:pt>
                <c:pt idx="170">
                  <c:v>8.583811758418665E-13</c:v>
                </c:pt>
                <c:pt idx="171">
                  <c:v>8.583811758418665E-13</c:v>
                </c:pt>
                <c:pt idx="172">
                  <c:v>8.583811758418665E-13</c:v>
                </c:pt>
                <c:pt idx="173">
                  <c:v>8.583811758418665E-13</c:v>
                </c:pt>
                <c:pt idx="174">
                  <c:v>8.583811758418665E-13</c:v>
                </c:pt>
                <c:pt idx="175">
                  <c:v>8.583811758418665E-13</c:v>
                </c:pt>
                <c:pt idx="176">
                  <c:v>8.583811758418665E-13</c:v>
                </c:pt>
                <c:pt idx="177">
                  <c:v>8.583811758418665E-13</c:v>
                </c:pt>
                <c:pt idx="178">
                  <c:v>8.583811758418665E-13</c:v>
                </c:pt>
                <c:pt idx="179">
                  <c:v>8.583811758418665E-13</c:v>
                </c:pt>
                <c:pt idx="180">
                  <c:v>8.583811758418665E-13</c:v>
                </c:pt>
                <c:pt idx="181">
                  <c:v>8.583811758418665E-13</c:v>
                </c:pt>
                <c:pt idx="182">
                  <c:v>8.583811758418665E-13</c:v>
                </c:pt>
                <c:pt idx="183">
                  <c:v>8.583811758418665E-13</c:v>
                </c:pt>
                <c:pt idx="184">
                  <c:v>8.583811758418665E-13</c:v>
                </c:pt>
                <c:pt idx="185">
                  <c:v>8.583811758418665E-13</c:v>
                </c:pt>
                <c:pt idx="186">
                  <c:v>8.583811758418665E-13</c:v>
                </c:pt>
                <c:pt idx="187">
                  <c:v>8.583811758418665E-13</c:v>
                </c:pt>
                <c:pt idx="188">
                  <c:v>8.583811758418665E-13</c:v>
                </c:pt>
                <c:pt idx="189">
                  <c:v>8.583811758418665E-13</c:v>
                </c:pt>
                <c:pt idx="190">
                  <c:v>8.583811758418665E-13</c:v>
                </c:pt>
                <c:pt idx="191">
                  <c:v>8.583811758418665E-13</c:v>
                </c:pt>
                <c:pt idx="192">
                  <c:v>8.583811758418665E-13</c:v>
                </c:pt>
                <c:pt idx="193">
                  <c:v>8.583811758418665E-13</c:v>
                </c:pt>
                <c:pt idx="194">
                  <c:v>8.583811758418665E-13</c:v>
                </c:pt>
                <c:pt idx="195">
                  <c:v>8.583811758418665E-13</c:v>
                </c:pt>
                <c:pt idx="196">
                  <c:v>8.583811758418665E-13</c:v>
                </c:pt>
                <c:pt idx="197">
                  <c:v>8.583811758418665E-13</c:v>
                </c:pt>
                <c:pt idx="198">
                  <c:v>8.583811758418665E-13</c:v>
                </c:pt>
                <c:pt idx="199">
                  <c:v>8.583811758418665E-13</c:v>
                </c:pt>
                <c:pt idx="200">
                  <c:v>8.583811758418665E-13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1154688"/>
        <c:axId val="-1871143264"/>
      </c:scatterChart>
      <c:valAx>
        <c:axId val="-1871154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43264"/>
        <c:crosses val="autoZero"/>
        <c:crossBetween val="midCat"/>
      </c:valAx>
      <c:valAx>
        <c:axId val="-187114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54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63259536"/>
        <c:axId val="-1763264432"/>
      </c:scatterChart>
      <c:valAx>
        <c:axId val="-17632595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63264432"/>
        <c:crosses val="autoZero"/>
        <c:crossBetween val="midCat"/>
      </c:valAx>
      <c:valAx>
        <c:axId val="-176326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63259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2.5306217639403932</c:v>
                </c:pt>
                <c:pt idx="2">
                  <c:v>2.9172207570325672</c:v>
                </c:pt>
                <c:pt idx="3">
                  <c:v>3.3630927689110268</c:v>
                </c:pt>
                <c:pt idx="4">
                  <c:v>3.8773563467113861</c:v>
                </c:pt>
                <c:pt idx="5">
                  <c:v>4.4705372894252715</c:v>
                </c:pt>
                <c:pt idx="6">
                  <c:v>5.1547864684478117</c:v>
                </c:pt>
                <c:pt idx="7">
                  <c:v>5.9441314553665761</c:v>
                </c:pt>
                <c:pt idx="8">
                  <c:v>6.8547672172727552</c:v>
                </c:pt>
                <c:pt idx="9">
                  <c:v>7.9053919602337386</c:v>
                </c:pt>
                <c:pt idx="10">
                  <c:v>9.117595150129306</c:v>
                </c:pt>
                <c:pt idx="11">
                  <c:v>10.516305836895535</c:v>
                </c:pt>
                <c:pt idx="12">
                  <c:v>12.130310676562779</c:v>
                </c:pt>
                <c:pt idx="13">
                  <c:v>13.992852512182466</c:v>
                </c:pt>
                <c:pt idx="14">
                  <c:v>16.142322070891733</c:v>
                </c:pt>
                <c:pt idx="15">
                  <c:v>18.623057295923864</c:v>
                </c:pt>
                <c:pt idx="16">
                  <c:v>21.486267100938448</c:v>
                </c:pt>
                <c:pt idx="17">
                  <c:v>24.7910989577524</c:v>
                </c:pt>
                <c:pt idx="18">
                  <c:v>28.605872763094592</c:v>
                </c:pt>
                <c:pt idx="19">
                  <c:v>33.009506939823325</c:v>
                </c:pt>
                <c:pt idx="20">
                  <c:v>38.093166787700049</c:v>
                </c:pt>
                <c:pt idx="21">
                  <c:v>43.962169794584405</c:v>
                </c:pt>
                <c:pt idx="22">
                  <c:v>50.738188050641945</c:v>
                </c:pt>
                <c:pt idx="23">
                  <c:v>58.561794191367277</c:v>
                </c:pt>
                <c:pt idx="24">
                  <c:v>67.595404563615133</c:v>
                </c:pt>
                <c:pt idx="25">
                  <c:v>78.026681717112226</c:v>
                </c:pt>
                <c:pt idx="26">
                  <c:v>90.526413145957463</c:v>
                </c:pt>
                <c:pt idx="27">
                  <c:v>102.98287489084596</c:v>
                </c:pt>
                <c:pt idx="28">
                  <c:v>115.40204957981786</c:v>
                </c:pt>
                <c:pt idx="29">
                  <c:v>127.78852186744196</c:v>
                </c:pt>
                <c:pt idx="30">
                  <c:v>140.14591229472146</c:v>
                </c:pt>
                <c:pt idx="31">
                  <c:v>131.16146937116449</c:v>
                </c:pt>
                <c:pt idx="32">
                  <c:v>144.63288785558254</c:v>
                </c:pt>
                <c:pt idx="33">
                  <c:v>158.07427982969338</c:v>
                </c:pt>
                <c:pt idx="34">
                  <c:v>171.48856021442305</c:v>
                </c:pt>
                <c:pt idx="35">
                  <c:v>184.87814990346817</c:v>
                </c:pt>
                <c:pt idx="36">
                  <c:v>160.31180519707939</c:v>
                </c:pt>
                <c:pt idx="37">
                  <c:v>174.83818688959886</c:v>
                </c:pt>
                <c:pt idx="38">
                  <c:v>189.33622166833575</c:v>
                </c:pt>
                <c:pt idx="39">
                  <c:v>203.8083868405364</c:v>
                </c:pt>
                <c:pt idx="40">
                  <c:v>218.25677877090342</c:v>
                </c:pt>
                <c:pt idx="41">
                  <c:v>194.16304064471558</c:v>
                </c:pt>
                <c:pt idx="42">
                  <c:v>208.99762497430493</c:v>
                </c:pt>
                <c:pt idx="43">
                  <c:v>223.807910918391</c:v>
                </c:pt>
                <c:pt idx="44">
                  <c:v>238.59573324490532</c:v>
                </c:pt>
                <c:pt idx="45">
                  <c:v>253.36268056439769</c:v>
                </c:pt>
                <c:pt idx="46">
                  <c:v>229.72564155690716</c:v>
                </c:pt>
                <c:pt idx="47">
                  <c:v>244.87415180265498</c:v>
                </c:pt>
                <c:pt idx="48">
                  <c:v>260.00137265549091</c:v>
                </c:pt>
                <c:pt idx="49">
                  <c:v>275.10871731201564</c:v>
                </c:pt>
                <c:pt idx="50">
                  <c:v>290.19743103031288</c:v>
                </c:pt>
                <c:pt idx="51">
                  <c:v>267.37321139326588</c:v>
                </c:pt>
                <c:pt idx="52">
                  <c:v>283.20734332387497</c:v>
                </c:pt>
                <c:pt idx="53">
                  <c:v>299.02165093044317</c:v>
                </c:pt>
                <c:pt idx="54">
                  <c:v>314.81733022074968</c:v>
                </c:pt>
                <c:pt idx="55">
                  <c:v>330.5954473741902</c:v>
                </c:pt>
                <c:pt idx="56">
                  <c:v>307.47274922302034</c:v>
                </c:pt>
                <c:pt idx="57">
                  <c:v>322.89198679446821</c:v>
                </c:pt>
                <c:pt idx="58">
                  <c:v>338.29494871140372</c:v>
                </c:pt>
                <c:pt idx="59">
                  <c:v>353.68248030482658</c:v>
                </c:pt>
                <c:pt idx="60">
                  <c:v>369.05534734862982</c:v>
                </c:pt>
                <c:pt idx="61">
                  <c:v>345.62422040265614</c:v>
                </c:pt>
                <c:pt idx="62">
                  <c:v>360.6386457043447</c:v>
                </c:pt>
                <c:pt idx="63">
                  <c:v>375.63940468104903</c:v>
                </c:pt>
                <c:pt idx="64">
                  <c:v>390.62711987431982</c:v>
                </c:pt>
                <c:pt idx="65">
                  <c:v>405.60236216041085</c:v>
                </c:pt>
                <c:pt idx="66">
                  <c:v>382.22094859121631</c:v>
                </c:pt>
                <c:pt idx="67">
                  <c:v>397.20312039751838</c:v>
                </c:pt>
                <c:pt idx="68">
                  <c:v>412.17305520045358</c:v>
                </c:pt>
                <c:pt idx="69">
                  <c:v>427.13125995293109</c:v>
                </c:pt>
                <c:pt idx="70">
                  <c:v>442.07820321051531</c:v>
                </c:pt>
                <c:pt idx="71">
                  <c:v>417.64690431824994</c:v>
                </c:pt>
                <c:pt idx="72">
                  <c:v>431.50712073862763</c:v>
                </c:pt>
                <c:pt idx="73">
                  <c:v>445.35777581895201</c:v>
                </c:pt>
                <c:pt idx="74">
                  <c:v>459.1992087644324</c:v>
                </c:pt>
                <c:pt idx="75">
                  <c:v>473.03173666651463</c:v>
                </c:pt>
                <c:pt idx="76">
                  <c:v>448.27251713445958</c:v>
                </c:pt>
                <c:pt idx="77">
                  <c:v>461.74796605237248</c:v>
                </c:pt>
                <c:pt idx="78">
                  <c:v>475.21502577729012</c:v>
                </c:pt>
                <c:pt idx="79">
                  <c:v>488.67396750423922</c:v>
                </c:pt>
                <c:pt idx="80">
                  <c:v>502.12504627431366</c:v>
                </c:pt>
                <c:pt idx="81">
                  <c:v>476.67043320372522</c:v>
                </c:pt>
                <c:pt idx="82">
                  <c:v>489.40125164788623</c:v>
                </c:pt>
                <c:pt idx="83">
                  <c:v>502.12504627431366</c:v>
                </c:pt>
                <c:pt idx="84">
                  <c:v>514.84202011790001</c:v>
                </c:pt>
                <c:pt idx="85">
                  <c:v>527.55236536708867</c:v>
                </c:pt>
                <c:pt idx="86">
                  <c:v>501.39815791487553</c:v>
                </c:pt>
                <c:pt idx="87">
                  <c:v>513.38899068788419</c:v>
                </c:pt>
                <c:pt idx="88">
                  <c:v>525.37391179668487</c:v>
                </c:pt>
                <c:pt idx="89">
                  <c:v>537.3530750865159</c:v>
                </c:pt>
                <c:pt idx="90">
                  <c:v>549.32662698500235</c:v>
                </c:pt>
                <c:pt idx="91">
                  <c:v>522.46901082436341</c:v>
                </c:pt>
                <c:pt idx="92">
                  <c:v>533.72362475342277</c:v>
                </c:pt>
                <c:pt idx="93">
                  <c:v>544.97324841623629</c:v>
                </c:pt>
                <c:pt idx="94">
                  <c:v>556.21799933251657</c:v>
                </c:pt>
                <c:pt idx="95">
                  <c:v>567.45798988344643</c:v>
                </c:pt>
                <c:pt idx="96">
                  <c:v>542.07059084014872</c:v>
                </c:pt>
                <c:pt idx="97">
                  <c:v>552.9538895152142</c:v>
                </c:pt>
                <c:pt idx="98">
                  <c:v>563.8326999376593</c:v>
                </c:pt>
                <c:pt idx="99">
                  <c:v>574.70712090201835</c:v>
                </c:pt>
                <c:pt idx="100">
                  <c:v>585.5772471597453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1150336"/>
        <c:axId val="-1871144352"/>
      </c:scatterChart>
      <c:valAx>
        <c:axId val="-18711503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44352"/>
        <c:crosses val="autoZero"/>
        <c:crossBetween val="midCat"/>
      </c:valAx>
      <c:valAx>
        <c:axId val="-187114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50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1154144"/>
        <c:axId val="-1871145984"/>
      </c:scatterChart>
      <c:valAx>
        <c:axId val="-18711541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45984"/>
        <c:crosses val="autoZero"/>
        <c:crossBetween val="midCat"/>
      </c:valAx>
      <c:valAx>
        <c:axId val="-187114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54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1145440"/>
        <c:axId val="-1871149792"/>
      </c:scatterChart>
      <c:valAx>
        <c:axId val="-18711454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49792"/>
        <c:crosses val="autoZero"/>
        <c:crossBetween val="midCat"/>
      </c:valAx>
      <c:valAx>
        <c:axId val="-187114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45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1153600"/>
        <c:axId val="-1871142720"/>
      </c:scatterChart>
      <c:valAx>
        <c:axId val="-1871153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42720"/>
        <c:crosses val="autoZero"/>
        <c:crossBetween val="midCat"/>
      </c:valAx>
      <c:valAx>
        <c:axId val="-187114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53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1148160"/>
        <c:axId val="-1871152512"/>
      </c:scatterChart>
      <c:valAx>
        <c:axId val="-187114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52512"/>
        <c:crosses val="autoZero"/>
        <c:crossBetween val="midCat"/>
      </c:valAx>
      <c:valAx>
        <c:axId val="-187115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4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1149248"/>
        <c:axId val="-1871140544"/>
      </c:scatterChart>
      <c:valAx>
        <c:axId val="-1871149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40544"/>
        <c:crosses val="autoZero"/>
        <c:crossBetween val="midCat"/>
      </c:valAx>
      <c:valAx>
        <c:axId val="-187114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49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1148704"/>
        <c:axId val="-1871142176"/>
      </c:scatterChart>
      <c:valAx>
        <c:axId val="-1871148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42176"/>
        <c:crosses val="autoZero"/>
        <c:crossBetween val="midCat"/>
      </c:valAx>
      <c:valAx>
        <c:axId val="-187114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48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71141632"/>
        <c:axId val="-1763258448"/>
      </c:scatterChart>
      <c:valAx>
        <c:axId val="-187114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63258448"/>
        <c:crosses val="autoZero"/>
        <c:crossBetween val="midCat"/>
      </c:valAx>
      <c:valAx>
        <c:axId val="-176325844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7114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90" zoomScaleNormal="90" workbookViewId="0">
      <selection activeCell="E77" sqref="E77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164</v>
      </c>
      <c r="C9" s="35">
        <v>0.85</v>
      </c>
      <c r="D9" s="36">
        <f t="shared" ref="D9:D18" si="0">C9*$C$5</f>
        <v>2.5499999999999998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25</v>
      </c>
      <c r="C10" s="35">
        <v>0.15</v>
      </c>
      <c r="D10" s="36">
        <f t="shared" si="0"/>
        <v>0.44999999999999996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158</v>
      </c>
      <c r="C36" s="63">
        <v>1</v>
      </c>
      <c r="D36" s="63">
        <v>39.5</v>
      </c>
      <c r="E36" s="54"/>
      <c r="F36" s="54"/>
      <c r="G36" s="54">
        <v>1</v>
      </c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63">
        <v>210</v>
      </c>
      <c r="C37" s="63">
        <v>2</v>
      </c>
      <c r="D37" s="63">
        <v>53</v>
      </c>
      <c r="E37" s="54">
        <v>0.15</v>
      </c>
      <c r="F37" s="54">
        <v>0.15</v>
      </c>
      <c r="G37" s="54">
        <v>0.7</v>
      </c>
      <c r="H37" s="54"/>
      <c r="I37" s="56">
        <f t="shared" ref="I37:I55" si="1">IF(A37&lt;&gt;0,(B37-(B36-D36))/(A37-A36),"")</f>
        <v>9.15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40</v>
      </c>
      <c r="B38" s="63">
        <v>257</v>
      </c>
      <c r="C38" s="63">
        <v>3</v>
      </c>
      <c r="D38" s="63">
        <v>64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50</v>
      </c>
      <c r="B39" s="63">
        <v>308</v>
      </c>
      <c r="C39" s="63">
        <v>4</v>
      </c>
      <c r="D39" s="63">
        <v>77</v>
      </c>
      <c r="E39" s="54"/>
      <c r="F39" s="54"/>
      <c r="G39" s="54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60</v>
      </c>
      <c r="B40" s="63">
        <v>366</v>
      </c>
      <c r="C40" s="63"/>
      <c r="D40" s="63">
        <v>366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Hêtre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3">
        <v>40</v>
      </c>
      <c r="C62" s="63"/>
      <c r="D62" s="63"/>
      <c r="E62" s="54"/>
      <c r="F62" s="54"/>
      <c r="G62" s="54"/>
      <c r="H62" s="54"/>
      <c r="I62" s="56">
        <f>IFERROR(B62/A62,"")</f>
        <v>1.6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3">
        <v>73</v>
      </c>
      <c r="C63" s="63">
        <v>1</v>
      </c>
      <c r="D63" s="63">
        <v>12</v>
      </c>
      <c r="E63" s="54"/>
      <c r="F63" s="54"/>
      <c r="G63" s="54"/>
      <c r="H63" s="54">
        <v>1</v>
      </c>
      <c r="I63" s="52">
        <f>IF(A63&lt;&gt;0,(B63-(B62-D62))/(A63-A62),"")</f>
        <v>6.6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35</v>
      </c>
      <c r="B64" s="63">
        <v>97</v>
      </c>
      <c r="C64" s="63">
        <v>2</v>
      </c>
      <c r="D64" s="63">
        <v>21</v>
      </c>
      <c r="E64" s="54"/>
      <c r="F64" s="54"/>
      <c r="G64" s="54"/>
      <c r="H64" s="54"/>
      <c r="I64" s="52">
        <f>IF(A64&lt;&gt;0,(B64-(B63-D63))/(A64-A63),"")</f>
        <v>7.2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63">
        <v>115</v>
      </c>
      <c r="C65" s="63">
        <v>3</v>
      </c>
      <c r="D65" s="63">
        <v>21</v>
      </c>
      <c r="E65" s="54"/>
      <c r="F65" s="54"/>
      <c r="G65" s="54"/>
      <c r="H65" s="54"/>
      <c r="I65" s="52">
        <f>IF(A65&lt;&gt;0,(B65-(B64-D64))/(A65-A64),"")</f>
        <v>7.8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45</v>
      </c>
      <c r="B66" s="63">
        <v>134</v>
      </c>
      <c r="C66" s="63">
        <v>4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50</v>
      </c>
      <c r="B67" s="63">
        <v>154</v>
      </c>
      <c r="C67" s="63">
        <v>5</v>
      </c>
      <c r="D67" s="63">
        <v>21</v>
      </c>
      <c r="E67" s="54"/>
      <c r="F67" s="54"/>
      <c r="G67" s="54"/>
      <c r="H67" s="54"/>
      <c r="I67" s="52">
        <f t="shared" si="2"/>
        <v>8.1999999999999993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55</v>
      </c>
      <c r="B68" s="63">
        <v>176</v>
      </c>
      <c r="C68" s="63">
        <v>6</v>
      </c>
      <c r="D68" s="63">
        <v>21</v>
      </c>
      <c r="E68" s="54"/>
      <c r="F68" s="54"/>
      <c r="G68" s="54"/>
      <c r="H68" s="54"/>
      <c r="I68" s="52">
        <f t="shared" si="2"/>
        <v>8.6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60</v>
      </c>
      <c r="B69" s="53">
        <v>197</v>
      </c>
      <c r="C69" s="53">
        <v>7</v>
      </c>
      <c r="D69" s="53">
        <v>21</v>
      </c>
      <c r="E69" s="54"/>
      <c r="F69" s="54"/>
      <c r="G69" s="54"/>
      <c r="H69" s="54"/>
      <c r="I69" s="52">
        <f t="shared" si="2"/>
        <v>8.4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65</v>
      </c>
      <c r="B70" s="53">
        <v>217</v>
      </c>
      <c r="C70" s="53">
        <v>8</v>
      </c>
      <c r="D70" s="53">
        <v>21</v>
      </c>
      <c r="E70" s="54"/>
      <c r="F70" s="54"/>
      <c r="G70" s="54"/>
      <c r="H70" s="54"/>
      <c r="I70" s="52">
        <f t="shared" si="2"/>
        <v>8.1999999999999993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70</v>
      </c>
      <c r="B71" s="53">
        <v>237</v>
      </c>
      <c r="C71" s="53">
        <v>9</v>
      </c>
      <c r="D71" s="53">
        <v>21</v>
      </c>
      <c r="E71" s="54"/>
      <c r="F71" s="54"/>
      <c r="G71" s="54"/>
      <c r="H71" s="54"/>
      <c r="I71" s="52">
        <f t="shared" si="2"/>
        <v>8.1999999999999993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75</v>
      </c>
      <c r="B72" s="53">
        <v>254</v>
      </c>
      <c r="C72" s="53">
        <v>10</v>
      </c>
      <c r="D72" s="53">
        <v>21</v>
      </c>
      <c r="E72" s="54"/>
      <c r="F72" s="54"/>
      <c r="G72" s="54"/>
      <c r="H72" s="54"/>
      <c r="I72" s="52">
        <f t="shared" si="2"/>
        <v>7.6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80</v>
      </c>
      <c r="B73" s="53">
        <v>270</v>
      </c>
      <c r="C73" s="53">
        <v>11</v>
      </c>
      <c r="D73" s="53">
        <v>21</v>
      </c>
      <c r="E73" s="54"/>
      <c r="F73" s="54"/>
      <c r="G73" s="54"/>
      <c r="H73" s="54"/>
      <c r="I73" s="52">
        <f t="shared" si="2"/>
        <v>7.4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85</v>
      </c>
      <c r="B74" s="53">
        <v>284</v>
      </c>
      <c r="C74" s="53">
        <v>12</v>
      </c>
      <c r="D74" s="53">
        <v>21</v>
      </c>
      <c r="E74" s="54"/>
      <c r="F74" s="54"/>
      <c r="G74" s="54"/>
      <c r="H74" s="54"/>
      <c r="I74" s="52">
        <f t="shared" si="2"/>
        <v>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296</v>
      </c>
      <c r="C75" s="53">
        <v>13</v>
      </c>
      <c r="D75" s="53">
        <v>21</v>
      </c>
      <c r="E75" s="54"/>
      <c r="F75" s="54"/>
      <c r="G75" s="54"/>
      <c r="H75" s="54"/>
      <c r="I75" s="52">
        <f t="shared" si="2"/>
        <v>6.6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95</v>
      </c>
      <c r="B76" s="53">
        <v>306</v>
      </c>
      <c r="C76" s="53">
        <v>14</v>
      </c>
      <c r="D76" s="53">
        <v>20</v>
      </c>
      <c r="E76" s="54"/>
      <c r="F76" s="54"/>
      <c r="G76" s="54"/>
      <c r="H76" s="54"/>
      <c r="I76" s="52">
        <f t="shared" si="2"/>
        <v>6.2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100</v>
      </c>
      <c r="B77" s="53">
        <v>316</v>
      </c>
      <c r="C77" s="53"/>
      <c r="D77" s="53">
        <v>316</v>
      </c>
      <c r="E77" s="54"/>
      <c r="F77" s="54"/>
      <c r="G77" s="54"/>
      <c r="H77" s="54"/>
      <c r="I77" s="52">
        <f t="shared" si="2"/>
        <v>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Hêtre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110.90259639804435</v>
      </c>
      <c r="T3" s="62">
        <f>IF('Données projet'!E9&gt;30,$R$33-$H$33,LOOKUP('Données projet'!$E$9,$A$3:$A$203,R3:R203)-LOOKUP('Données projet'!$E$9,$A$3:$A$203,$H$3:$H$203))</f>
        <v>156.34514945935405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174.46631997577833</v>
      </c>
      <c r="AO3" s="62">
        <f>IF('Données projet'!E10&gt;30,$AM$33-$H$33,LOOKUP('Données projet'!$E$10,$A$3:$A$203,AM3:AM203)-LOOKUP('Données projet'!$E$10,$A$3:$A$203,$H$3:$H$203))</f>
        <v>79.07564466480153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295.60554746801699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294.89641891074018</v>
      </c>
      <c r="S4" s="62">
        <f ca="1">AVERAGE(OFFSET($R$3,0,0,'Données projet'!$E$9+1,1))-AVERAGE(OFFSET($H$3,0,0,'Données projet'!$E$9+1,1))</f>
        <v>110.90259639804435</v>
      </c>
      <c r="T4" s="62">
        <f>$T$3</f>
        <v>156.34514945935405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1.6</v>
      </c>
      <c r="AI4" s="14">
        <f>IF('Données projet'!$A$62&gt;35,AI3+AH4-AQ3,IF(A4&lt;'Données projet'!$A$62,$AF$205^A4,IF(A4='Données projet'!$A$62,'Données projet'!$B$62,AI3+AH4-AQ3)))</f>
        <v>1.1589972344055464</v>
      </c>
      <c r="AJ4" s="14">
        <f>AI4*VLOOKUP('Données projet'!$B$10,Paramètres!$A$1:$I$89,3,0)*VLOOKUP('Données projet'!$B$10,Paramètres!$A$1:$I$89,5,0)</f>
        <v>0.9944196271199589</v>
      </c>
      <c r="AK4" s="14">
        <f>EXP(-1.0587+0.8836*LN(AJ4)+0.284)</f>
        <v>0.4585689454773958</v>
      </c>
      <c r="AL4" s="22">
        <f t="shared" ref="AL4:AL67" si="4">(AJ4+AK4)*0.475*44/12</f>
        <v>2.5306217639403932</v>
      </c>
      <c r="AM4" s="62">
        <f t="shared" ref="AM4:AM67" si="5">AL4+(AD4+AE4)*44/12</f>
        <v>295.86395509727373</v>
      </c>
      <c r="AN4" s="62">
        <f ca="1">AVERAGE(OFFSET($AM$3,0,0,'Données projet'!$E$10+1,1))-AVERAGE(OFFSET($H$3,0,0,'Données projet'!$E$10+1,1))</f>
        <v>174.46631997577833</v>
      </c>
      <c r="AO4" s="62">
        <f>$AO$3</f>
        <v>79.07564466480153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297.76559610099633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295.32747390874374</v>
      </c>
      <c r="S5" s="62">
        <f ca="1">AVERAGE(OFFSET($R$3,0,0,'Données projet'!$E$9+1,1))-AVERAGE(OFFSET($H$3,0,0,'Données projet'!$E$9+1,1))</f>
        <v>110.90259639804435</v>
      </c>
      <c r="T5" s="62">
        <f t="shared" ref="T5:T68" si="34">$T$3</f>
        <v>156.34514945935405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1.6</v>
      </c>
      <c r="AI5" s="14">
        <f>IF('Données projet'!$A$62&gt;35,AI4+AH5-AQ4,IF(A5&lt;'Données projet'!$A$62,$AF$205^A5,IF(A5='Données projet'!$A$62,'Données projet'!$B$62,AI4+AH5-AQ4)))</f>
        <v>1.3432745893597049</v>
      </c>
      <c r="AJ5" s="14">
        <f>AI5*VLOOKUP('Données projet'!$B$10,Paramètres!$A$1:$I$89,3,0)*VLOOKUP('Données projet'!$B$10,Paramètres!$A$1:$I$89,5,0)</f>
        <v>1.1525295976706269</v>
      </c>
      <c r="AK5" s="14">
        <f t="shared" ref="AK5:AK68" si="35">EXP(-1.0587+0.8836*LN(AJ5)+0.284)</f>
        <v>0.52242968866386141</v>
      </c>
      <c r="AL5" s="22">
        <f t="shared" si="4"/>
        <v>2.9172207570325672</v>
      </c>
      <c r="AM5" s="62">
        <f t="shared" si="5"/>
        <v>296.25055409036588</v>
      </c>
      <c r="AN5" s="62">
        <f ca="1">AVERAGE(OFFSET($AM$3,0,0,'Données projet'!$E$10+1,1))-AVERAGE(OFFSET($H$3,0,0,'Données projet'!$E$10+1,1))</f>
        <v>174.46631997577833</v>
      </c>
      <c r="AO5" s="62">
        <f t="shared" ref="AO5:AO68" si="36">$AO$3</f>
        <v>79.07564466480153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299.88942090728119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295.8778838402435</v>
      </c>
      <c r="S6" s="62">
        <f ca="1">AVERAGE(OFFSET($R$3,0,0,'Données projet'!$E$9+1,1))-AVERAGE(OFFSET($H$3,0,0,'Données projet'!$E$9+1,1))</f>
        <v>110.90259639804435</v>
      </c>
      <c r="T6" s="62">
        <f t="shared" si="34"/>
        <v>156.34514945935405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1.6</v>
      </c>
      <c r="AI6" s="14">
        <f>IF('Données projet'!$A$62&gt;35,AI5+AH6-AQ5,IF(A6&lt;'Données projet'!$A$62,$AF$205^A6,IF(A6='Données projet'!$A$62,'Données projet'!$B$62,AI5+AH6-AQ5)))</f>
        <v>1.5568515341151439</v>
      </c>
      <c r="AJ6" s="14">
        <f>AI6*VLOOKUP('Données projet'!$B$10,Paramètres!$A$1:$I$89,3,0)*VLOOKUP('Données projet'!$B$10,Paramètres!$A$1:$I$89,5,0)</f>
        <v>1.3357786162707936</v>
      </c>
      <c r="AK6" s="14">
        <f t="shared" si="35"/>
        <v>0.5951837390848197</v>
      </c>
      <c r="AL6" s="22">
        <f t="shared" si="4"/>
        <v>3.3630927689110268</v>
      </c>
      <c r="AM6" s="62">
        <f t="shared" si="5"/>
        <v>296.69642610224435</v>
      </c>
      <c r="AN6" s="62">
        <f ca="1">AVERAGE(OFFSET($AM$3,0,0,'Données projet'!$E$10+1,1))-AVERAGE(OFFSET($H$3,0,0,'Données projet'!$E$10+1,1))</f>
        <v>174.46631997577833</v>
      </c>
      <c r="AO6" s="62">
        <f t="shared" si="36"/>
        <v>79.07564466480153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301.9909165039561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296.58082314457886</v>
      </c>
      <c r="S7" s="62">
        <f ca="1">AVERAGE(OFFSET($R$3,0,0,'Données projet'!$E$9+1,1))-AVERAGE(OFFSET($H$3,0,0,'Données projet'!$E$9+1,1))</f>
        <v>110.90259639804435</v>
      </c>
      <c r="T7" s="62">
        <f t="shared" si="34"/>
        <v>156.34514945935405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1.6</v>
      </c>
      <c r="AI7" s="14">
        <f>IF('Données projet'!$A$62&gt;35,AI6+AH7-AQ6,IF(A7&lt;'Données projet'!$A$62,$AF$205^A7,IF(A7='Données projet'!$A$62,'Données projet'!$B$62,AI6+AH7-AQ6)))</f>
        <v>1.8043866224194838</v>
      </c>
      <c r="AJ7" s="14">
        <f>AI7*VLOOKUP('Données projet'!$B$10,Paramètres!$A$1:$I$89,3,0)*VLOOKUP('Données projet'!$B$10,Paramètres!$A$1:$I$89,5,0)</f>
        <v>1.5481637220359172</v>
      </c>
      <c r="AK7" s="14">
        <f t="shared" si="35"/>
        <v>0.67806958708066833</v>
      </c>
      <c r="AL7" s="22">
        <f t="shared" si="4"/>
        <v>3.8773563467113861</v>
      </c>
      <c r="AM7" s="62">
        <f t="shared" si="5"/>
        <v>297.21068968004471</v>
      </c>
      <c r="AN7" s="62">
        <f ca="1">AVERAGE(OFFSET($AM$3,0,0,'Données projet'!$E$10+1,1))-AVERAGE(OFFSET($H$3,0,0,'Données projet'!$E$10+1,1))</f>
        <v>174.46631997577833</v>
      </c>
      <c r="AO7" s="62">
        <f t="shared" si="36"/>
        <v>79.07564466480153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304.07638038697939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297.47871993550461</v>
      </c>
      <c r="S8" s="62">
        <f ca="1">AVERAGE(OFFSET($R$3,0,0,'Données projet'!$E$9+1,1))-AVERAGE(OFFSET($H$3,0,0,'Données projet'!$E$9+1,1))</f>
        <v>110.90259639804435</v>
      </c>
      <c r="T8" s="62">
        <f t="shared" si="34"/>
        <v>156.34514945935405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1.6</v>
      </c>
      <c r="AI8" s="14">
        <f>IF('Données projet'!$A$62&gt;35,AI7+AH8-AQ7,IF(A8&lt;'Données projet'!$A$62,$AF$205^A8,IF(A8='Données projet'!$A$62,'Données projet'!$B$62,AI7+AH8-AQ7)))</f>
        <v>2.0912791051825463</v>
      </c>
      <c r="AJ8" s="14">
        <f>AI8*VLOOKUP('Données projet'!$B$10,Paramètres!$A$1:$I$89,3,0)*VLOOKUP('Données projet'!$B$10,Paramètres!$A$1:$I$89,5,0)</f>
        <v>1.7943174722466249</v>
      </c>
      <c r="AK8" s="14">
        <f t="shared" si="35"/>
        <v>0.77249819632290906</v>
      </c>
      <c r="AL8" s="22">
        <f t="shared" si="4"/>
        <v>4.4705372894252715</v>
      </c>
      <c r="AM8" s="62">
        <f t="shared" si="5"/>
        <v>297.80387062275861</v>
      </c>
      <c r="AN8" s="62">
        <f ca="1">AVERAGE(OFFSET($AM$3,0,0,'Données projet'!$E$10+1,1))-AVERAGE(OFFSET($H$3,0,0,'Données projet'!$E$10+1,1))</f>
        <v>174.46631997577833</v>
      </c>
      <c r="AO8" s="62">
        <f t="shared" si="36"/>
        <v>79.07564466480153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306.1494049109736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298.62584576955311</v>
      </c>
      <c r="S9" s="62">
        <f ca="1">AVERAGE(OFFSET($R$3,0,0,'Données projet'!$E$9+1,1))-AVERAGE(OFFSET($H$3,0,0,'Données projet'!$E$9+1,1))</f>
        <v>110.90259639804435</v>
      </c>
      <c r="T9" s="62">
        <f t="shared" si="34"/>
        <v>156.34514945935405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1.6</v>
      </c>
      <c r="AI9" s="14">
        <f>IF('Données projet'!$A$62&gt;35,AI8+AH9-AQ8,IF(A9&lt;'Données projet'!$A$62,$AF$205^A9,IF(A9='Données projet'!$A$62,'Données projet'!$B$62,AI8+AH9-AQ8)))</f>
        <v>2.4237866992766768</v>
      </c>
      <c r="AJ9" s="14">
        <f>AI9*VLOOKUP('Données projet'!$B$10,Paramètres!$A$1:$I$89,3,0)*VLOOKUP('Données projet'!$B$10,Paramètres!$A$1:$I$89,5,0)</f>
        <v>2.0796089879793889</v>
      </c>
      <c r="AK9" s="14">
        <f t="shared" si="35"/>
        <v>0.88007702261265608</v>
      </c>
      <c r="AL9" s="22">
        <f t="shared" si="4"/>
        <v>5.1547864684478117</v>
      </c>
      <c r="AM9" s="62">
        <f t="shared" si="5"/>
        <v>298.48811980178112</v>
      </c>
      <c r="AN9" s="62">
        <f ca="1">AVERAGE(OFFSET($AM$3,0,0,'Données projet'!$E$10+1,1))-AVERAGE(OFFSET($H$3,0,0,'Données projet'!$E$10+1,1))</f>
        <v>174.46631997577833</v>
      </c>
      <c r="AO9" s="62">
        <f t="shared" si="36"/>
        <v>79.07564466480153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308.2123059280633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300.09163240970821</v>
      </c>
      <c r="S10" s="62">
        <f ca="1">AVERAGE(OFFSET($R$3,0,0,'Données projet'!$E$9+1,1))-AVERAGE(OFFSET($H$3,0,0,'Données projet'!$E$9+1,1))</f>
        <v>110.90259639804435</v>
      </c>
      <c r="T10" s="62">
        <f t="shared" si="34"/>
        <v>156.34514945935405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1.6</v>
      </c>
      <c r="AI10" s="14">
        <f>IF('Données projet'!$A$62&gt;35,AI9+AH10-AQ9,IF(A10&lt;'Données projet'!$A$62,$AF$205^A10,IF(A10='Données projet'!$A$62,'Données projet'!$B$62,AI9+AH10-AQ9)))</f>
        <v>2.8091620812506162</v>
      </c>
      <c r="AJ10" s="14">
        <f>AI10*VLOOKUP('Données projet'!$B$10,Paramètres!$A$1:$I$89,3,0)*VLOOKUP('Données projet'!$B$10,Paramètres!$A$1:$I$89,5,0)</f>
        <v>2.410261065713029</v>
      </c>
      <c r="AK10" s="14">
        <f t="shared" si="35"/>
        <v>1.0026373775596455</v>
      </c>
      <c r="AL10" s="22">
        <f t="shared" si="4"/>
        <v>5.9441314553665761</v>
      </c>
      <c r="AM10" s="62">
        <f t="shared" si="5"/>
        <v>299.27746478869989</v>
      </c>
      <c r="AN10" s="62">
        <f ca="1">AVERAGE(OFFSET($AM$3,0,0,'Données projet'!$E$10+1,1))-AVERAGE(OFFSET($H$3,0,0,'Données projet'!$E$10+1,1))</f>
        <v>174.46631997577833</v>
      </c>
      <c r="AO10" s="62">
        <f t="shared" si="36"/>
        <v>79.07564466480153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310.26669652068324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301.96492023616713</v>
      </c>
      <c r="S11" s="62">
        <f ca="1">AVERAGE(OFFSET($R$3,0,0,'Données projet'!$E$9+1,1))-AVERAGE(OFFSET($H$3,0,0,'Données projet'!$E$9+1,1))</f>
        <v>110.90259639804435</v>
      </c>
      <c r="T11" s="62">
        <f t="shared" si="34"/>
        <v>156.34514945935405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1.6</v>
      </c>
      <c r="AI11" s="14">
        <f>IF('Données projet'!$A$62&gt;35,AI10+AH11-AQ10,IF(A11&lt;'Données projet'!$A$62,$AF$205^A11,IF(A11='Données projet'!$A$62,'Données projet'!$B$62,AI10+AH11-AQ10)))</f>
        <v>3.2558110831663929</v>
      </c>
      <c r="AJ11" s="14">
        <f>AI11*VLOOKUP('Données projet'!$B$10,Paramètres!$A$1:$I$89,3,0)*VLOOKUP('Données projet'!$B$10,Paramètres!$A$1:$I$89,5,0)</f>
        <v>2.7934859093567654</v>
      </c>
      <c r="AK11" s="14">
        <f t="shared" si="35"/>
        <v>1.1422656029529505</v>
      </c>
      <c r="AL11" s="22">
        <f t="shared" si="4"/>
        <v>6.8547672172727552</v>
      </c>
      <c r="AM11" s="62">
        <f t="shared" si="5"/>
        <v>300.18810055060607</v>
      </c>
      <c r="AN11" s="62">
        <f ca="1">AVERAGE(OFFSET($AM$3,0,0,'Données projet'!$E$10+1,1))-AVERAGE(OFFSET($H$3,0,0,'Données projet'!$E$10+1,1))</f>
        <v>174.46631997577833</v>
      </c>
      <c r="AO11" s="62">
        <f t="shared" si="36"/>
        <v>79.07564466480153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312.31376232494284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304.35940071300303</v>
      </c>
      <c r="S12" s="62">
        <f ca="1">AVERAGE(OFFSET($R$3,0,0,'Données projet'!$E$9+1,1))-AVERAGE(OFFSET($H$3,0,0,'Données projet'!$E$9+1,1))</f>
        <v>110.90259639804435</v>
      </c>
      <c r="T12" s="62">
        <f t="shared" si="34"/>
        <v>156.34514945935405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1.6</v>
      </c>
      <c r="AI12" s="14">
        <f>IF('Données projet'!$A$62&gt;35,AI11+AH12-AQ11,IF(A12&lt;'Données projet'!$A$62,$AF$205^A12,IF(A12='Données projet'!$A$62,'Données projet'!$B$62,AI11+AH12-AQ11)))</f>
        <v>3.7734760411367758</v>
      </c>
      <c r="AJ12" s="14">
        <f>AI12*VLOOKUP('Données projet'!$B$10,Paramètres!$A$1:$I$89,3,0)*VLOOKUP('Données projet'!$B$10,Paramètres!$A$1:$I$89,5,0)</f>
        <v>3.2376424432953543</v>
      </c>
      <c r="AK12" s="14">
        <f t="shared" si="35"/>
        <v>1.3013385865039213</v>
      </c>
      <c r="AL12" s="22">
        <f t="shared" si="4"/>
        <v>7.9053919602337386</v>
      </c>
      <c r="AM12" s="62">
        <f t="shared" si="5"/>
        <v>301.23872529356703</v>
      </c>
      <c r="AN12" s="62">
        <f ca="1">AVERAGE(OFFSET($AM$3,0,0,'Données projet'!$E$10+1,1))-AVERAGE(OFFSET($H$3,0,0,'Données projet'!$E$10+1,1))</f>
        <v>174.46631997577833</v>
      </c>
      <c r="AO12" s="62">
        <f t="shared" si="36"/>
        <v>79.07564466480153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314.35441004548358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307.42058941449875</v>
      </c>
      <c r="S13" s="62">
        <f ca="1">AVERAGE(OFFSET($R$3,0,0,'Données projet'!$E$9+1,1))-AVERAGE(OFFSET($H$3,0,0,'Données projet'!$E$9+1,1))</f>
        <v>110.90259639804435</v>
      </c>
      <c r="T13" s="62">
        <f t="shared" si="34"/>
        <v>156.34514945935405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1.6</v>
      </c>
      <c r="AI13" s="14">
        <f>IF('Données projet'!$A$62&gt;35,AI12+AH13-AQ12,IF(A13&lt;'Données projet'!$A$62,$AF$205^A13,IF(A13='Données projet'!$A$62,'Données projet'!$B$62,AI12+AH13-AQ12)))</f>
        <v>4.3734482957731124</v>
      </c>
      <c r="AJ13" s="14">
        <f>AI13*VLOOKUP('Données projet'!$B$10,Paramètres!$A$1:$I$89,3,0)*VLOOKUP('Données projet'!$B$10,Paramètres!$A$1:$I$89,5,0)</f>
        <v>3.7524186377733306</v>
      </c>
      <c r="AK13" s="14">
        <f t="shared" si="35"/>
        <v>1.482564223544931</v>
      </c>
      <c r="AL13" s="22">
        <f t="shared" si="4"/>
        <v>9.117595150129306</v>
      </c>
      <c r="AM13" s="62">
        <f t="shared" si="5"/>
        <v>302.45092848346263</v>
      </c>
      <c r="AN13" s="62">
        <f ca="1">AVERAGE(OFFSET($AM$3,0,0,'Données projet'!$E$10+1,1))-AVERAGE(OFFSET($H$3,0,0,'Données projet'!$E$10+1,1))</f>
        <v>174.46631997577833</v>
      </c>
      <c r="AO13" s="62">
        <f t="shared" si="36"/>
        <v>79.07564466480153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316.3893545523037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311.33476117897868</v>
      </c>
      <c r="S14" s="62">
        <f ca="1">AVERAGE(OFFSET($R$3,0,0,'Données projet'!$E$9+1,1))-AVERAGE(OFFSET($H$3,0,0,'Données projet'!$E$9+1,1))</f>
        <v>110.90259639804435</v>
      </c>
      <c r="T14" s="62">
        <f t="shared" si="34"/>
        <v>156.34514945935405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1.6</v>
      </c>
      <c r="AI14" s="14">
        <f>IF('Données projet'!$A$62&gt;35,AI13+AH14-AQ13,IF(A14&lt;'Données projet'!$A$62,$AF$205^A14,IF(A14='Données projet'!$A$62,'Données projet'!$B$62,AI13+AH14-AQ13)))</f>
        <v>5.0688144796166874</v>
      </c>
      <c r="AJ14" s="14">
        <f>AI14*VLOOKUP('Données projet'!$B$10,Paramètres!$A$1:$I$89,3,0)*VLOOKUP('Données projet'!$B$10,Paramètres!$A$1:$I$89,5,0)</f>
        <v>4.3490428235111187</v>
      </c>
      <c r="AK14" s="14">
        <f t="shared" si="35"/>
        <v>1.6890275134623942</v>
      </c>
      <c r="AL14" s="22">
        <f t="shared" si="4"/>
        <v>10.516305836895535</v>
      </c>
      <c r="AM14" s="62">
        <f t="shared" si="5"/>
        <v>303.84963917022884</v>
      </c>
      <c r="AN14" s="62">
        <f ca="1">AVERAGE(OFFSET($AM$3,0,0,'Données projet'!$E$10+1,1))-AVERAGE(OFFSET($H$3,0,0,'Données projet'!$E$10+1,1))</f>
        <v>174.46631997577833</v>
      </c>
      <c r="AO14" s="62">
        <f t="shared" si="36"/>
        <v>79.07564466480153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318.4191732840215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316.3404009375538</v>
      </c>
      <c r="S15" s="62">
        <f ca="1">AVERAGE(OFFSET($R$3,0,0,'Données projet'!$E$9+1,1))-AVERAGE(OFFSET($H$3,0,0,'Données projet'!$E$9+1,1))</f>
        <v>110.90259639804435</v>
      </c>
      <c r="T15" s="62">
        <f t="shared" si="34"/>
        <v>156.34514945935405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1.6</v>
      </c>
      <c r="AI15" s="14">
        <f>IF('Données projet'!$A$62&gt;35,AI14+AH15-AQ14,IF(A15&lt;'Données projet'!$A$62,$AF$205^A15,IF(A15='Données projet'!$A$62,'Données projet'!$B$62,AI14+AH15-AQ14)))</f>
        <v>5.8747419635905285</v>
      </c>
      <c r="AJ15" s="14">
        <f>AI15*VLOOKUP('Données projet'!$B$10,Paramètres!$A$1:$I$89,3,0)*VLOOKUP('Données projet'!$B$10,Paramètres!$A$1:$I$89,5,0)</f>
        <v>5.0405286047606745</v>
      </c>
      <c r="AK15" s="14">
        <f t="shared" si="35"/>
        <v>1.9242430755624527</v>
      </c>
      <c r="AL15" s="22">
        <f t="shared" si="4"/>
        <v>12.130310676562779</v>
      </c>
      <c r="AM15" s="62">
        <f t="shared" si="5"/>
        <v>305.46364400989609</v>
      </c>
      <c r="AN15" s="62">
        <f ca="1">AVERAGE(OFFSET($AM$3,0,0,'Données projet'!$E$10+1,1))-AVERAGE(OFFSET($H$3,0,0,'Données projet'!$E$10+1,1))</f>
        <v>174.46631997577833</v>
      </c>
      <c r="AO15" s="62">
        <f t="shared" si="36"/>
        <v>79.07564466480153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320.4443419514879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322.74288029609767</v>
      </c>
      <c r="S16" s="62">
        <f ca="1">AVERAGE(OFFSET($R$3,0,0,'Données projet'!$E$9+1,1))-AVERAGE(OFFSET($H$3,0,0,'Données projet'!$E$9+1,1))</f>
        <v>110.90259639804435</v>
      </c>
      <c r="T16" s="62">
        <f t="shared" si="34"/>
        <v>156.34514945935405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1.6</v>
      </c>
      <c r="AI16" s="14">
        <f>IF('Données projet'!$A$62&gt;35,AI15+AH16-AQ15,IF(A16&lt;'Données projet'!$A$62,$AF$205^A16,IF(A16='Données projet'!$A$62,'Données projet'!$B$62,AI15+AH16-AQ15)))</f>
        <v>6.8088096886476315</v>
      </c>
      <c r="AJ16" s="14">
        <f>AI16*VLOOKUP('Données projet'!$B$10,Paramètres!$A$1:$I$89,3,0)*VLOOKUP('Données projet'!$B$10,Paramètres!$A$1:$I$89,5,0)</f>
        <v>5.8419587128596682</v>
      </c>
      <c r="AK16" s="14">
        <f t="shared" si="35"/>
        <v>2.1922149783455773</v>
      </c>
      <c r="AL16" s="22">
        <f t="shared" si="4"/>
        <v>13.992852512182466</v>
      </c>
      <c r="AM16" s="62">
        <f t="shared" si="5"/>
        <v>307.32618584551579</v>
      </c>
      <c r="AN16" s="62">
        <f ca="1">AVERAGE(OFFSET($AM$3,0,0,'Données projet'!$E$10+1,1))-AVERAGE(OFFSET($H$3,0,0,'Données projet'!$E$10+1,1))</f>
        <v>174.46631997577833</v>
      </c>
      <c r="AO16" s="62">
        <f t="shared" si="36"/>
        <v>79.07564466480153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322.46525892181711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330.93327083690383</v>
      </c>
      <c r="S17" s="62">
        <f ca="1">AVERAGE(OFFSET($R$3,0,0,'Données projet'!$E$9+1,1))-AVERAGE(OFFSET($H$3,0,0,'Données projet'!$E$9+1,1))</f>
        <v>110.90259639804435</v>
      </c>
      <c r="T17" s="62">
        <f t="shared" si="34"/>
        <v>156.34514945935405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1.6</v>
      </c>
      <c r="AI17" s="14">
        <f>IF('Données projet'!$A$62&gt;35,AI16+AH17-AQ16,IF(A17&lt;'Données projet'!$A$62,$AF$205^A17,IF(A17='Données projet'!$A$62,'Données projet'!$B$62,AI16+AH17-AQ16)))</f>
        <v>7.891391598736293</v>
      </c>
      <c r="AJ17" s="14">
        <f>AI17*VLOOKUP('Données projet'!$B$10,Paramètres!$A$1:$I$89,3,0)*VLOOKUP('Données projet'!$B$10,Paramètres!$A$1:$I$89,5,0)</f>
        <v>6.7708139917157402</v>
      </c>
      <c r="AK17" s="14">
        <f t="shared" si="35"/>
        <v>2.4975049006622885</v>
      </c>
      <c r="AL17" s="22">
        <f t="shared" si="4"/>
        <v>16.142322070891733</v>
      </c>
      <c r="AM17" s="62">
        <f t="shared" si="5"/>
        <v>309.47565540422505</v>
      </c>
      <c r="AN17" s="62">
        <f ca="1">AVERAGE(OFFSET($AM$3,0,0,'Données projet'!$E$10+1,1))-AVERAGE(OFFSET($H$3,0,0,'Données projet'!$E$10+1,1))</f>
        <v>174.46631997577833</v>
      </c>
      <c r="AO17" s="62">
        <f t="shared" si="36"/>
        <v>79.07564466480153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324.48226242776991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341.41246294557129</v>
      </c>
      <c r="S18" s="62">
        <f ca="1">AVERAGE(OFFSET($R$3,0,0,'Données projet'!$E$9+1,1))-AVERAGE(OFFSET($H$3,0,0,'Données projet'!$E$9+1,1))</f>
        <v>110.90259639804435</v>
      </c>
      <c r="T18" s="62">
        <f t="shared" si="34"/>
        <v>156.34514945935405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1.6</v>
      </c>
      <c r="AI18" s="14">
        <f>IF('Données projet'!$A$62&gt;35,AI17+AH18-AQ17,IF(A18&lt;'Données projet'!$A$62,$AF$205^A18,IF(A18='Données projet'!$A$62,'Données projet'!$B$62,AI17+AH18-AQ17)))</f>
        <v>9.1461010385465276</v>
      </c>
      <c r="AJ18" s="14">
        <f>AI18*VLOOKUP('Données projet'!$B$10,Paramètres!$A$1:$I$89,3,0)*VLOOKUP('Données projet'!$B$10,Paramètres!$A$1:$I$89,5,0)</f>
        <v>7.8473546910729226</v>
      </c>
      <c r="AK18" s="14">
        <f t="shared" si="35"/>
        <v>2.8453097850556128</v>
      </c>
      <c r="AL18" s="22">
        <f t="shared" si="4"/>
        <v>18.623057295923864</v>
      </c>
      <c r="AM18" s="62">
        <f t="shared" si="5"/>
        <v>311.95639062925716</v>
      </c>
      <c r="AN18" s="62">
        <f ca="1">AVERAGE(OFFSET($AM$3,0,0,'Données projet'!$E$10+1,1))-AVERAGE(OFFSET($H$3,0,0,'Données projet'!$E$10+1,1))</f>
        <v>174.46631997577833</v>
      </c>
      <c r="AO18" s="62">
        <f t="shared" si="36"/>
        <v>79.07564466480153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326.49564305302061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354.82208993415543</v>
      </c>
      <c r="S19" s="62">
        <f ca="1">AVERAGE(OFFSET($R$3,0,0,'Données projet'!$E$9+1,1))-AVERAGE(OFFSET($H$3,0,0,'Données projet'!$E$9+1,1))</f>
        <v>110.90259639804435</v>
      </c>
      <c r="T19" s="62">
        <f t="shared" si="34"/>
        <v>156.34514945935405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1.6</v>
      </c>
      <c r="AI19" s="14">
        <f>IF('Données projet'!$A$62&gt;35,AI18+AH19-AQ18,IF(A19&lt;'Données projet'!$A$62,$AF$205^A19,IF(A19='Données projet'!$A$62,'Données projet'!$B$62,AI18+AH19-AQ18)))</f>
        <v>10.60030580926912</v>
      </c>
      <c r="AJ19" s="14">
        <f>AI19*VLOOKUP('Données projet'!$B$10,Paramètres!$A$1:$I$89,3,0)*VLOOKUP('Données projet'!$B$10,Paramètres!$A$1:$I$89,5,0)</f>
        <v>9.0950623843529055</v>
      </c>
      <c r="AK19" s="14">
        <f t="shared" si="35"/>
        <v>3.2415503051811316</v>
      </c>
      <c r="AL19" s="22">
        <f t="shared" si="4"/>
        <v>21.486267100938448</v>
      </c>
      <c r="AM19" s="62">
        <f t="shared" si="5"/>
        <v>314.81960043427176</v>
      </c>
      <c r="AN19" s="62">
        <f ca="1">AVERAGE(OFFSET($AM$3,0,0,'Données projet'!$E$10+1,1))-AVERAGE(OFFSET($H$3,0,0,'Données projet'!$E$10+1,1))</f>
        <v>174.46631997577833</v>
      </c>
      <c r="AO19" s="62">
        <f t="shared" si="36"/>
        <v>79.07564466480153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328.50565300530388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371.98418210076898</v>
      </c>
      <c r="S20" s="62">
        <f ca="1">AVERAGE(OFFSET($R$3,0,0,'Données projet'!$E$9+1,1))-AVERAGE(OFFSET($H$3,0,0,'Données projet'!$E$9+1,1))</f>
        <v>110.90259639804435</v>
      </c>
      <c r="T20" s="62">
        <f t="shared" si="34"/>
        <v>156.34514945935405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1.6</v>
      </c>
      <c r="AI20" s="14">
        <f>IF('Données projet'!$A$62&gt;35,AI19+AH20-AQ19,IF(A20&lt;'Données projet'!$A$62,$AF$205^A20,IF(A20='Données projet'!$A$62,'Données projet'!$B$62,AI19+AH20-AQ19)))</f>
        <v>12.285725116795957</v>
      </c>
      <c r="AJ20" s="14">
        <f>AI20*VLOOKUP('Données projet'!$B$10,Paramètres!$A$1:$I$89,3,0)*VLOOKUP('Données projet'!$B$10,Paramètres!$A$1:$I$89,5,0)</f>
        <v>10.541152150210932</v>
      </c>
      <c r="AK20" s="14">
        <f t="shared" si="35"/>
        <v>3.6929716532832697</v>
      </c>
      <c r="AL20" s="22">
        <f t="shared" si="4"/>
        <v>24.7910989577524</v>
      </c>
      <c r="AM20" s="62">
        <f t="shared" si="5"/>
        <v>318.12443229108572</v>
      </c>
      <c r="AN20" s="62">
        <f ca="1">AVERAGE(OFFSET($AM$3,0,0,'Données projet'!$E$10+1,1))-AVERAGE(OFFSET($H$3,0,0,'Données projet'!$E$10+1,1))</f>
        <v>174.46631997577833</v>
      </c>
      <c r="AO20" s="62">
        <f t="shared" si="36"/>
        <v>79.07564466480153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330.51251314469152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393.95202082891387</v>
      </c>
      <c r="S21" s="62">
        <f ca="1">AVERAGE(OFFSET($R$3,0,0,'Données projet'!$E$9+1,1))-AVERAGE(OFFSET($H$3,0,0,'Données projet'!$E$9+1,1))</f>
        <v>110.90259639804435</v>
      </c>
      <c r="T21" s="62">
        <f t="shared" si="34"/>
        <v>156.34514945935405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1.6</v>
      </c>
      <c r="AI21" s="14">
        <f>IF('Données projet'!$A$62&gt;35,AI20+AH21-AQ20,IF(A21&lt;'Données projet'!$A$62,$AF$205^A21,IF(A21='Données projet'!$A$62,'Données projet'!$B$62,AI20+AH21-AQ20)))</f>
        <v>14.23912143303327</v>
      </c>
      <c r="AJ21" s="14">
        <f>AI21*VLOOKUP('Données projet'!$B$10,Paramètres!$A$1:$I$89,3,0)*VLOOKUP('Données projet'!$B$10,Paramètres!$A$1:$I$89,5,0)</f>
        <v>12.217166189542548</v>
      </c>
      <c r="AK21" s="14">
        <f t="shared" si="35"/>
        <v>4.2072583634304257</v>
      </c>
      <c r="AL21" s="22">
        <f t="shared" si="4"/>
        <v>28.605872763094592</v>
      </c>
      <c r="AM21" s="62">
        <f t="shared" si="5"/>
        <v>321.93920609642788</v>
      </c>
      <c r="AN21" s="62">
        <f ca="1">AVERAGE(OFFSET($AM$3,0,0,'Données projet'!$E$10+1,1))-AVERAGE(OFFSET($H$3,0,0,'Données projet'!$E$10+1,1))</f>
        <v>174.46631997577833</v>
      </c>
      <c r="AO21" s="62">
        <f t="shared" si="36"/>
        <v>79.07564466480153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332.51641840525372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422.07536317537841</v>
      </c>
      <c r="S22" s="62">
        <f ca="1">AVERAGE(OFFSET($R$3,0,0,'Données projet'!$E$9+1,1))-AVERAGE(OFFSET($H$3,0,0,'Données projet'!$E$9+1,1))</f>
        <v>110.90259639804435</v>
      </c>
      <c r="T22" s="62">
        <f t="shared" si="34"/>
        <v>156.34514945935405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1.6</v>
      </c>
      <c r="AI22" s="14">
        <f>IF('Données projet'!$A$62&gt;35,AI21+AH22-AQ21,IF(A22&lt;'Données projet'!$A$62,$AF$205^A22,IF(A22='Données projet'!$A$62,'Données projet'!$B$62,AI21+AH22-AQ21)))</f>
        <v>16.503102361250299</v>
      </c>
      <c r="AJ22" s="14">
        <f>AI22*VLOOKUP('Données projet'!$B$10,Paramètres!$A$1:$I$89,3,0)*VLOOKUP('Données projet'!$B$10,Paramètres!$A$1:$I$89,5,0)</f>
        <v>14.159661825952757</v>
      </c>
      <c r="AK22" s="14">
        <f t="shared" si="35"/>
        <v>4.7931651251419742</v>
      </c>
      <c r="AL22" s="22">
        <f t="shared" si="4"/>
        <v>33.009506939823325</v>
      </c>
      <c r="AM22" s="62">
        <f t="shared" si="5"/>
        <v>326.34284027315664</v>
      </c>
      <c r="AN22" s="62">
        <f ca="1">AVERAGE(OFFSET($AM$3,0,0,'Données projet'!$E$10+1,1))-AVERAGE(OFFSET($H$3,0,0,'Données projet'!$E$10+1,1))</f>
        <v>174.46631997577833</v>
      </c>
      <c r="AO22" s="62">
        <f t="shared" si="36"/>
        <v>79.07564466480153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334.51754204275585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458.08410667645524</v>
      </c>
      <c r="S23" s="62">
        <f ca="1">AVERAGE(OFFSET($R$3,0,0,'Données projet'!$E$9+1,1))-AVERAGE(OFFSET($H$3,0,0,'Données projet'!$E$9+1,1))</f>
        <v>110.90259639804435</v>
      </c>
      <c r="T23" s="62">
        <f t="shared" si="34"/>
        <v>156.34514945935405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39.5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20.930446252074244</v>
      </c>
      <c r="AC23" s="24">
        <f t="shared" si="3"/>
        <v>20.930446252074244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1.6</v>
      </c>
      <c r="AI23" s="14">
        <f>IF('Données projet'!$A$62&gt;35,AI22+AH23-AQ22,IF(A23&lt;'Données projet'!$A$62,$AF$205^A23,IF(A23='Données projet'!$A$62,'Données projet'!$B$62,AI22+AH23-AQ22)))</f>
        <v>19.127049995800739</v>
      </c>
      <c r="AJ23" s="14">
        <f>AI23*VLOOKUP('Données projet'!$B$10,Paramètres!$A$1:$I$89,3,0)*VLOOKUP('Données projet'!$B$10,Paramètres!$A$1:$I$89,5,0)</f>
        <v>16.411008896397036</v>
      </c>
      <c r="AK23" s="14">
        <f t="shared" si="35"/>
        <v>5.4606658142441402</v>
      </c>
      <c r="AL23" s="22">
        <f t="shared" si="4"/>
        <v>38.093166787700049</v>
      </c>
      <c r="AM23" s="62">
        <f t="shared" si="5"/>
        <v>331.42650012103337</v>
      </c>
      <c r="AN23" s="62">
        <f ca="1">AVERAGE(OFFSET($AM$3,0,0,'Données projet'!$E$10+1,1))-AVERAGE(OFFSET($H$3,0,0,'Données projet'!$E$10+1,1))</f>
        <v>174.46631997577833</v>
      </c>
      <c r="AO23" s="62">
        <f t="shared" si="36"/>
        <v>79.07564466480153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336.51603900867377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9.15</v>
      </c>
      <c r="N24" s="14">
        <f>IF('Données projet'!$A$36&gt;35,N23+M24-V23,IF(A24&lt;'Données projet'!$A$36,$K$205^A24,IF(A24='Données projet'!$A$36,'Données projet'!$B$36,N23+M24-V23)))</f>
        <v>127.65</v>
      </c>
      <c r="O24" s="14">
        <f>N24*VLOOKUP('Données projet'!$B$9,Paramètres!$A$1:$I$89,3,0)*VLOOKUP('Données projet'!$B$9,Paramètres!$A$1:$I$89,5,0)</f>
        <v>59.740200000000002</v>
      </c>
      <c r="P24" s="14">
        <f t="shared" si="33"/>
        <v>17.10256684137762</v>
      </c>
      <c r="Q24" s="22">
        <f t="shared" si="2"/>
        <v>133.83448558206604</v>
      </c>
      <c r="R24" s="62">
        <f t="shared" si="0"/>
        <v>427.16781891539938</v>
      </c>
      <c r="S24" s="62">
        <f ca="1">AVERAGE(OFFSET($R$3,0,0,'Données projet'!$E$9+1,1))-AVERAGE(OFFSET($H$3,0,0,'Données projet'!$E$9+1,1))</f>
        <v>110.90259639804435</v>
      </c>
      <c r="T24" s="62">
        <f t="shared" si="34"/>
        <v>156.34514945935405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14.800060478102257</v>
      </c>
      <c r="AC24" s="24">
        <f t="shared" si="3"/>
        <v>14.800060478102257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1.6</v>
      </c>
      <c r="AI24" s="14">
        <f>IF('Données projet'!$A$62&gt;35,AI23+AH24-AQ23,IF(A24&lt;'Données projet'!$A$62,$AF$205^A24,IF(A24='Données projet'!$A$62,'Données projet'!$B$62,AI23+AH24-AQ23)))</f>
        <v>22.168198047469673</v>
      </c>
      <c r="AJ24" s="14">
        <f>AI24*VLOOKUP('Données projet'!$B$10,Paramètres!$A$1:$I$89,3,0)*VLOOKUP('Données projet'!$B$10,Paramètres!$A$1:$I$89,5,0)</f>
        <v>19.020313924728981</v>
      </c>
      <c r="AK24" s="14">
        <f t="shared" si="35"/>
        <v>6.2211232779032164</v>
      </c>
      <c r="AL24" s="22">
        <f t="shared" si="4"/>
        <v>43.962169794584405</v>
      </c>
      <c r="AM24" s="62">
        <f t="shared" si="5"/>
        <v>337.2955031279177</v>
      </c>
      <c r="AN24" s="62">
        <f ca="1">AVERAGE(OFFSET($AM$3,0,0,'Données projet'!$E$10+1,1))-AVERAGE(OFFSET($H$3,0,0,'Données projet'!$E$10+1,1))</f>
        <v>174.46631997577833</v>
      </c>
      <c r="AO24" s="62">
        <f t="shared" si="36"/>
        <v>79.07564466480153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338.51204866333012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9.15</v>
      </c>
      <c r="N25" s="14">
        <f>IF('Données projet'!$A$36&gt;35,N24+M25-V24,IF(A25&lt;'Données projet'!$A$36,$K$205^A25,IF(A25='Données projet'!$A$36,'Données projet'!$B$36,N24+M25-V24)))</f>
        <v>136.80000000000001</v>
      </c>
      <c r="O25" s="14">
        <f>N25*VLOOKUP('Données projet'!$B$9,Paramètres!$A$1:$I$89,3,0)*VLOOKUP('Données projet'!$B$9,Paramètres!$A$1:$I$89,5,0)</f>
        <v>64.022400000000005</v>
      </c>
      <c r="P25" s="14">
        <f t="shared" si="33"/>
        <v>18.181385543312242</v>
      </c>
      <c r="Q25" s="22">
        <f t="shared" si="2"/>
        <v>143.17159315460216</v>
      </c>
      <c r="R25" s="62">
        <f t="shared" si="0"/>
        <v>436.50492648793545</v>
      </c>
      <c r="S25" s="62">
        <f ca="1">AVERAGE(OFFSET($R$3,0,0,'Données projet'!$E$9+1,1))-AVERAGE(OFFSET($H$3,0,0,'Données projet'!$E$9+1,1))</f>
        <v>110.90259639804435</v>
      </c>
      <c r="T25" s="62">
        <f t="shared" si="34"/>
        <v>156.34514945935405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10.465223126037124</v>
      </c>
      <c r="AC25" s="24">
        <f t="shared" si="3"/>
        <v>10.465223126037124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1.6</v>
      </c>
      <c r="AI25" s="14">
        <f>IF('Données projet'!$A$62&gt;35,AI24+AH25-AQ24,IF(A25&lt;'Données projet'!$A$62,$AF$205^A25,IF(A25='Données projet'!$A$62,'Données projet'!$B$62,AI24+AH25-AQ24)))</f>
        <v>25.692880228771781</v>
      </c>
      <c r="AJ25" s="14">
        <f>AI25*VLOOKUP('Données projet'!$B$10,Paramètres!$A$1:$I$89,3,0)*VLOOKUP('Données projet'!$B$10,Paramètres!$A$1:$I$89,5,0)</f>
        <v>22.044491236286191</v>
      </c>
      <c r="AK25" s="14">
        <f t="shared" si="35"/>
        <v>7.0874827640823872</v>
      </c>
      <c r="AL25" s="22">
        <f t="shared" si="4"/>
        <v>50.738188050641945</v>
      </c>
      <c r="AM25" s="62">
        <f t="shared" si="5"/>
        <v>344.07152138397527</v>
      </c>
      <c r="AN25" s="62">
        <f ca="1">AVERAGE(OFFSET($AM$3,0,0,'Données projet'!$E$10+1,1))-AVERAGE(OFFSET($H$3,0,0,'Données projet'!$E$10+1,1))</f>
        <v>174.46631997577833</v>
      </c>
      <c r="AO25" s="62">
        <f t="shared" si="36"/>
        <v>79.07564466480153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340.5056969817893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9.15</v>
      </c>
      <c r="N26" s="14">
        <f>IF('Données projet'!$A$36&gt;35,N25+M26-V25,IF(A26&lt;'Données projet'!$A$36,$K$205^A26,IF(A26='Données projet'!$A$36,'Données projet'!$B$36,N25+M26-V25)))</f>
        <v>145.95000000000002</v>
      </c>
      <c r="O26" s="14">
        <f>N26*VLOOKUP('Données projet'!$B$9,Paramètres!$A$1:$I$89,3,0)*VLOOKUP('Données projet'!$B$9,Paramètres!$A$1:$I$89,5,0)</f>
        <v>68.304600000000008</v>
      </c>
      <c r="P26" s="14">
        <f t="shared" si="33"/>
        <v>19.251831097125873</v>
      </c>
      <c r="Q26" s="22">
        <f t="shared" si="2"/>
        <v>152.49411749416092</v>
      </c>
      <c r="R26" s="62">
        <f t="shared" si="0"/>
        <v>445.8274508274942</v>
      </c>
      <c r="S26" s="62">
        <f ca="1">AVERAGE(OFFSET($R$3,0,0,'Données projet'!$E$9+1,1))-AVERAGE(OFFSET($H$3,0,0,'Données projet'!$E$9+1,1))</f>
        <v>110.90259639804435</v>
      </c>
      <c r="T26" s="62">
        <f t="shared" si="34"/>
        <v>156.34514945935405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7.4000302390511301</v>
      </c>
      <c r="AC26" s="24">
        <f t="shared" si="3"/>
        <v>7.4000302390511301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1.6</v>
      </c>
      <c r="AI26" s="14">
        <f>IF('Données projet'!$A$62&gt;35,AI25+AH26-AQ25,IF(A26&lt;'Données projet'!$A$62,$AF$205^A26,IF(A26='Données projet'!$A$62,'Données projet'!$B$62,AI25+AH26-AQ25)))</f>
        <v>29.777977129059437</v>
      </c>
      <c r="AJ26" s="14">
        <f>AI26*VLOOKUP('Données projet'!$B$10,Paramètres!$A$1:$I$89,3,0)*VLOOKUP('Données projet'!$B$10,Paramètres!$A$1:$I$89,5,0)</f>
        <v>25.549504376733001</v>
      </c>
      <c r="AK26" s="14">
        <f t="shared" si="35"/>
        <v>8.074492288166871</v>
      </c>
      <c r="AL26" s="22">
        <f t="shared" si="4"/>
        <v>58.561794191367277</v>
      </c>
      <c r="AM26" s="62">
        <f t="shared" si="5"/>
        <v>351.89512752470057</v>
      </c>
      <c r="AN26" s="62">
        <f ca="1">AVERAGE(OFFSET($AM$3,0,0,'Données projet'!$E$10+1,1))-AVERAGE(OFFSET($H$3,0,0,'Données projet'!$E$10+1,1))</f>
        <v>174.46631997577833</v>
      </c>
      <c r="AO26" s="62">
        <f t="shared" si="36"/>
        <v>79.07564466480153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342.49709836529308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9.15</v>
      </c>
      <c r="N27" s="14">
        <f>IF('Données projet'!$A$36&gt;35,N26+M27-V26,IF(A27&lt;'Données projet'!$A$36,$K$205^A27,IF(A27='Données projet'!$A$36,'Données projet'!$B$36,N26+M27-V26)))</f>
        <v>155.10000000000002</v>
      </c>
      <c r="O27" s="14">
        <f>N27*VLOOKUP('Données projet'!$B$9,Paramètres!$A$1:$I$89,3,0)*VLOOKUP('Données projet'!$B$9,Paramètres!$A$1:$I$89,5,0)</f>
        <v>72.586800000000011</v>
      </c>
      <c r="P27" s="14">
        <f t="shared" si="33"/>
        <v>20.314488197199065</v>
      </c>
      <c r="Q27" s="22">
        <f t="shared" si="2"/>
        <v>161.80307694345507</v>
      </c>
      <c r="R27" s="62">
        <f t="shared" si="0"/>
        <v>455.13641027678841</v>
      </c>
      <c r="S27" s="62">
        <f ca="1">AVERAGE(OFFSET($R$3,0,0,'Données projet'!$E$9+1,1))-AVERAGE(OFFSET($H$3,0,0,'Données projet'!$E$9+1,1))</f>
        <v>110.90259639804435</v>
      </c>
      <c r="T27" s="62">
        <f t="shared" si="34"/>
        <v>156.34514945935405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5.2326115630185628</v>
      </c>
      <c r="AC27" s="24">
        <f t="shared" si="3"/>
        <v>5.2326115630185628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1.6</v>
      </c>
      <c r="AI27" s="14">
        <f>IF('Données projet'!$A$62&gt;35,AI26+AH27-AQ26,IF(A27&lt;'Données projet'!$A$62,$AF$205^A27,IF(A27='Données projet'!$A$62,'Données projet'!$B$62,AI26+AH27-AQ26)))</f>
        <v>34.5125931387715</v>
      </c>
      <c r="AJ27" s="14">
        <f>AI27*VLOOKUP('Données projet'!$B$10,Paramètres!$A$1:$I$89,3,0)*VLOOKUP('Données projet'!$B$10,Paramètres!$A$1:$I$89,5,0)</f>
        <v>29.611804913065949</v>
      </c>
      <c r="AK27" s="14">
        <f t="shared" si="35"/>
        <v>9.1989536880527911</v>
      </c>
      <c r="AL27" s="22">
        <f t="shared" si="4"/>
        <v>67.595404563615133</v>
      </c>
      <c r="AM27" s="62">
        <f t="shared" si="5"/>
        <v>360.92873789694846</v>
      </c>
      <c r="AN27" s="62">
        <f ca="1">AVERAGE(OFFSET($AM$3,0,0,'Données projet'!$E$10+1,1))-AVERAGE(OFFSET($H$3,0,0,'Données projet'!$E$10+1,1))</f>
        <v>174.46631997577833</v>
      </c>
      <c r="AO27" s="62">
        <f t="shared" si="36"/>
        <v>79.07564466480153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344.4863571422834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9.15</v>
      </c>
      <c r="N28" s="14">
        <f>IF('Données projet'!$A$36&gt;35,N27+M28-V27,IF(A28&lt;'Données projet'!$A$36,$K$205^A28,IF(A28='Données projet'!$A$36,'Données projet'!$B$36,N27+M28-V27)))</f>
        <v>164.25000000000003</v>
      </c>
      <c r="O28" s="14">
        <f>N28*VLOOKUP('Données projet'!$B$9,Paramètres!$A$1:$I$89,3,0)*VLOOKUP('Données projet'!$B$9,Paramètres!$A$1:$I$89,5,0)</f>
        <v>76.869000000000014</v>
      </c>
      <c r="P28" s="14">
        <f t="shared" si="33"/>
        <v>21.36986865355864</v>
      </c>
      <c r="Q28" s="22">
        <f t="shared" si="2"/>
        <v>171.09936290494795</v>
      </c>
      <c r="R28" s="62">
        <f t="shared" si="0"/>
        <v>464.43269623828127</v>
      </c>
      <c r="S28" s="62">
        <f ca="1">AVERAGE(OFFSET($R$3,0,0,'Données projet'!$E$9+1,1))-AVERAGE(OFFSET($H$3,0,0,'Données projet'!$E$9+1,1))</f>
        <v>110.90259639804435</v>
      </c>
      <c r="T28" s="62">
        <f t="shared" si="34"/>
        <v>156.34514945935405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3.7000151195255655</v>
      </c>
      <c r="AC28" s="24">
        <f t="shared" si="3"/>
        <v>3.7000151195255655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40</v>
      </c>
      <c r="AG28" s="13">
        <f>VLOOKUP(A28,'Données projet'!$A$61:$I$81,9,0)</f>
        <v>1.6</v>
      </c>
      <c r="AH28" s="13">
        <f t="array" ref="AH28">INDEX(AG:AG,MIN(IF(ISNUMBER(AG28:AG224),ROW(AG28:AG224),"")))</f>
        <v>1.6</v>
      </c>
      <c r="AI28" s="14">
        <f>IF('Données projet'!$A$62&gt;35,AI27+AH28-AQ27,IF(A28&lt;'Données projet'!$A$62,$AF$205^A28,IF(A28='Données projet'!$A$62,'Données projet'!$B$62,AI27+AH28-AQ27)))</f>
        <v>40</v>
      </c>
      <c r="AJ28" s="14">
        <f>AI28*VLOOKUP('Données projet'!$B$10,Paramètres!$A$1:$I$89,3,0)*VLOOKUP('Données projet'!$B$10,Paramètres!$A$1:$I$89,5,0)</f>
        <v>34.32</v>
      </c>
      <c r="AK28" s="14">
        <f t="shared" si="35"/>
        <v>10.480008641404153</v>
      </c>
      <c r="AL28" s="22">
        <f t="shared" si="4"/>
        <v>78.026681717112226</v>
      </c>
      <c r="AM28" s="62">
        <f t="shared" si="5"/>
        <v>371.36001505044555</v>
      </c>
      <c r="AN28" s="62">
        <f ca="1">AVERAGE(OFFSET($AM$3,0,0,'Données projet'!$E$10+1,1))-AVERAGE(OFFSET($H$3,0,0,'Données projet'!$E$10+1,1))</f>
        <v>174.46631997577833</v>
      </c>
      <c r="AO28" s="62">
        <f t="shared" si="36"/>
        <v>79.07564466480153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346.47356882250091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9.15</v>
      </c>
      <c r="N29" s="14">
        <f>IF('Données projet'!$A$36&gt;35,N28+M29-V28,IF(A29&lt;'Données projet'!$A$36,$K$205^A29,IF(A29='Données projet'!$A$36,'Données projet'!$B$36,N28+M29-V28)))</f>
        <v>173.40000000000003</v>
      </c>
      <c r="O29" s="14">
        <f>N29*VLOOKUP('Données projet'!$B$9,Paramètres!$A$1:$I$89,3,0)*VLOOKUP('Données projet'!$B$9,Paramètres!$A$1:$I$89,5,0)</f>
        <v>81.151200000000017</v>
      </c>
      <c r="P29" s="14">
        <f t="shared" si="33"/>
        <v>22.418424032002342</v>
      </c>
      <c r="Q29" s="22">
        <f t="shared" si="2"/>
        <v>180.38376185573745</v>
      </c>
      <c r="R29" s="62">
        <f t="shared" si="0"/>
        <v>473.71709518907073</v>
      </c>
      <c r="S29" s="62">
        <f ca="1">AVERAGE(OFFSET($R$3,0,0,'Données projet'!$E$9+1,1))-AVERAGE(OFFSET($H$3,0,0,'Données projet'!$E$9+1,1))</f>
        <v>110.90259639804435</v>
      </c>
      <c r="T29" s="62">
        <f t="shared" si="34"/>
        <v>156.34514945935405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2.6163057815092818</v>
      </c>
      <c r="AC29" s="24">
        <f t="shared" si="3"/>
        <v>2.6163057815092818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6.6</v>
      </c>
      <c r="AI29" s="14">
        <f>IF('Données projet'!$A$62&gt;35,AI28+AH29-AQ28,IF(A29&lt;'Données projet'!$A$62,$AF$205^A29,IF(A29='Données projet'!$A$62,'Données projet'!$B$62,AI28+AH29-AQ28)))</f>
        <v>46.6</v>
      </c>
      <c r="AJ29" s="14">
        <f>AI29*VLOOKUP('Données projet'!$B$10,Paramètres!$A$1:$I$89,3,0)*VLOOKUP('Données projet'!$B$10,Paramètres!$A$1:$I$89,5,0)</f>
        <v>39.982800000000005</v>
      </c>
      <c r="AK29" s="14">
        <f t="shared" si="35"/>
        <v>11.994087930693277</v>
      </c>
      <c r="AL29" s="22">
        <f t="shared" si="4"/>
        <v>90.526413145957463</v>
      </c>
      <c r="AM29" s="62">
        <f t="shared" si="5"/>
        <v>383.85974647929078</v>
      </c>
      <c r="AN29" s="62">
        <f ca="1">AVERAGE(OFFSET($AM$3,0,0,'Données projet'!$E$10+1,1))-AVERAGE(OFFSET($H$3,0,0,'Données projet'!$E$10+1,1))</f>
        <v>174.46631997577833</v>
      </c>
      <c r="AO29" s="62">
        <f t="shared" si="36"/>
        <v>79.07564466480153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348.45882115271871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9.15</v>
      </c>
      <c r="N30" s="14">
        <f>IF('Données projet'!$A$36&gt;35,N29+M30-V29,IF(A30&lt;'Données projet'!$A$36,$K$205^A30,IF(A30='Données projet'!$A$36,'Données projet'!$B$36,N29+M30-V29)))</f>
        <v>182.55000000000004</v>
      </c>
      <c r="O30" s="14">
        <f>N30*VLOOKUP('Données projet'!$B$9,Paramètres!$A$1:$I$89,3,0)*VLOOKUP('Données projet'!$B$9,Paramètres!$A$1:$I$89,5,0)</f>
        <v>85.43340000000002</v>
      </c>
      <c r="P30" s="14">
        <f t="shared" si="33"/>
        <v>23.460555550110801</v>
      </c>
      <c r="Q30" s="22">
        <f t="shared" si="2"/>
        <v>189.65697258310968</v>
      </c>
      <c r="R30" s="62">
        <f t="shared" si="0"/>
        <v>482.99030591644299</v>
      </c>
      <c r="S30" s="62">
        <f ca="1">AVERAGE(OFFSET($R$3,0,0,'Données projet'!$E$9+1,1))-AVERAGE(OFFSET($H$3,0,0,'Données projet'!$E$9+1,1))</f>
        <v>110.90259639804435</v>
      </c>
      <c r="T30" s="62">
        <f t="shared" si="34"/>
        <v>156.34514945935405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1.8500075597627832</v>
      </c>
      <c r="AC30" s="24">
        <f t="shared" si="3"/>
        <v>1.8500075597627832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6.6</v>
      </c>
      <c r="AI30" s="14">
        <f>IF('Données projet'!$A$62&gt;35,AI29+AH30-AQ29,IF(A30&lt;'Données projet'!$A$62,$AF$205^A30,IF(A30='Données projet'!$A$62,'Données projet'!$B$62,AI29+AH30-AQ29)))</f>
        <v>53.2</v>
      </c>
      <c r="AJ30" s="14">
        <f>AI30*VLOOKUP('Données projet'!$B$10,Paramètres!$A$1:$I$89,3,0)*VLOOKUP('Données projet'!$B$10,Paramètres!$A$1:$I$89,5,0)</f>
        <v>45.645600000000009</v>
      </c>
      <c r="AK30" s="14">
        <f t="shared" si="35"/>
        <v>13.483323382303894</v>
      </c>
      <c r="AL30" s="22">
        <f t="shared" si="4"/>
        <v>102.98287489084596</v>
      </c>
      <c r="AM30" s="62">
        <f t="shared" si="5"/>
        <v>396.31620822417926</v>
      </c>
      <c r="AN30" s="62">
        <f ca="1">AVERAGE(OFFSET($AM$3,0,0,'Données projet'!$E$10+1,1))-AVERAGE(OFFSET($H$3,0,0,'Données projet'!$E$10+1,1))</f>
        <v>174.46631997577833</v>
      </c>
      <c r="AO30" s="62">
        <f t="shared" si="36"/>
        <v>79.07564466480153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350.44219501167436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9.15</v>
      </c>
      <c r="N31" s="14">
        <f>IF('Données projet'!$A$36&gt;35,N30+M31-V30,IF(A31&lt;'Données projet'!$A$36,$K$205^A31,IF(A31='Données projet'!$A$36,'Données projet'!$B$36,N30+M31-V30)))</f>
        <v>191.70000000000005</v>
      </c>
      <c r="O31" s="14">
        <f>N31*VLOOKUP('Données projet'!$B$9,Paramètres!$A$1:$I$89,3,0)*VLOOKUP('Données projet'!$B$9,Paramètres!$A$1:$I$89,5,0)</f>
        <v>89.715600000000023</v>
      </c>
      <c r="P31" s="14">
        <f t="shared" si="33"/>
        <v>24.496621932784496</v>
      </c>
      <c r="Q31" s="22">
        <f t="shared" si="2"/>
        <v>198.91961986626634</v>
      </c>
      <c r="R31" s="62">
        <f t="shared" si="0"/>
        <v>492.25295319959969</v>
      </c>
      <c r="S31" s="62">
        <f ca="1">AVERAGE(OFFSET($R$3,0,0,'Données projet'!$E$9+1,1))-AVERAGE(OFFSET($H$3,0,0,'Données projet'!$E$9+1,1))</f>
        <v>110.90259639804435</v>
      </c>
      <c r="T31" s="62">
        <f t="shared" si="34"/>
        <v>156.34514945935405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1.3081528907546411</v>
      </c>
      <c r="AC31" s="24">
        <f t="shared" si="3"/>
        <v>1.3081528907546411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6.6</v>
      </c>
      <c r="AI31" s="14">
        <f>IF('Données projet'!$A$62&gt;35,AI30+AH31-AQ30,IF(A31&lt;'Données projet'!$A$62,$AF$205^A31,IF(A31='Données projet'!$A$62,'Données projet'!$B$62,AI30+AH31-AQ30)))</f>
        <v>59.800000000000004</v>
      </c>
      <c r="AJ31" s="14">
        <f>AI31*VLOOKUP('Données projet'!$B$10,Paramètres!$A$1:$I$89,3,0)*VLOOKUP('Données projet'!$B$10,Paramètres!$A$1:$I$89,5,0)</f>
        <v>51.308400000000013</v>
      </c>
      <c r="AK31" s="14">
        <f t="shared" si="35"/>
        <v>14.95114999798154</v>
      </c>
      <c r="AL31" s="22">
        <f t="shared" si="4"/>
        <v>115.40204957981786</v>
      </c>
      <c r="AM31" s="62">
        <f t="shared" si="5"/>
        <v>408.73538291315117</v>
      </c>
      <c r="AN31" s="62">
        <f ca="1">AVERAGE(OFFSET($AM$3,0,0,'Données projet'!$E$10+1,1))-AVERAGE(OFFSET($H$3,0,0,'Données projet'!$E$10+1,1))</f>
        <v>174.46631997577833</v>
      </c>
      <c r="AO31" s="62">
        <f t="shared" si="36"/>
        <v>79.07564466480153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352.42376517356132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9.15</v>
      </c>
      <c r="N32" s="14">
        <f>IF('Données projet'!$A$36&gt;35,N31+M32-V31,IF(A32&lt;'Données projet'!$A$36,$K$205^A32,IF(A32='Données projet'!$A$36,'Données projet'!$B$36,N31+M32-V31)))</f>
        <v>200.85000000000005</v>
      </c>
      <c r="O32" s="14">
        <f>N32*VLOOKUP('Données projet'!$B$9,Paramètres!$A$1:$I$89,3,0)*VLOOKUP('Données projet'!$B$9,Paramètres!$A$1:$I$89,5,0)</f>
        <v>93.997800000000012</v>
      </c>
      <c r="P32" s="14">
        <f t="shared" si="33"/>
        <v>25.526945725475453</v>
      </c>
      <c r="Q32" s="22">
        <f t="shared" si="2"/>
        <v>208.17226547186976</v>
      </c>
      <c r="R32" s="62">
        <f t="shared" si="0"/>
        <v>501.50559880520308</v>
      </c>
      <c r="S32" s="62">
        <f ca="1">AVERAGE(OFFSET($R$3,0,0,'Données projet'!$E$9+1,1))-AVERAGE(OFFSET($H$3,0,0,'Données projet'!$E$9+1,1))</f>
        <v>110.90259639804435</v>
      </c>
      <c r="T32" s="62">
        <f t="shared" si="34"/>
        <v>156.34514945935405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0.92500377988139171</v>
      </c>
      <c r="AC32" s="24">
        <f t="shared" si="3"/>
        <v>0.92500377988139171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6.6</v>
      </c>
      <c r="AI32" s="14">
        <f>IF('Données projet'!$A$62&gt;35,AI31+AH32-AQ31,IF(A32&lt;'Données projet'!$A$62,$AF$205^A32,IF(A32='Données projet'!$A$62,'Données projet'!$B$62,AI31+AH32-AQ31)))</f>
        <v>66.400000000000006</v>
      </c>
      <c r="AJ32" s="14">
        <f>AI32*VLOOKUP('Données projet'!$B$10,Paramètres!$A$1:$I$89,3,0)*VLOOKUP('Données projet'!$B$10,Paramètres!$A$1:$I$89,5,0)</f>
        <v>56.97120000000001</v>
      </c>
      <c r="AK32" s="14">
        <f t="shared" si="35"/>
        <v>16.400200115277677</v>
      </c>
      <c r="AL32" s="22">
        <f t="shared" si="4"/>
        <v>127.78852186744196</v>
      </c>
      <c r="AM32" s="62">
        <f t="shared" si="5"/>
        <v>421.12185520077526</v>
      </c>
      <c r="AN32" s="62">
        <f ca="1">AVERAGE(OFFSET($AM$3,0,0,'Données projet'!$E$10+1,1))-AVERAGE(OFFSET($H$3,0,0,'Données projet'!$E$10+1,1))</f>
        <v>174.46631997577833</v>
      </c>
      <c r="AO32" s="62">
        <f t="shared" si="36"/>
        <v>79.07564466480153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354.40360096325321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210</v>
      </c>
      <c r="L33" s="13">
        <f>VLOOKUP(A33,'Données projet'!$A$35:$I$55,9,0)</f>
        <v>9.15</v>
      </c>
      <c r="M33" s="13">
        <f t="array" ref="M33">INDEX(L:L,MIN(IF(ISNUMBER(L33:L229),ROW(L33:L229),"")))</f>
        <v>9.15</v>
      </c>
      <c r="N33" s="14">
        <f>IF('Données projet'!$A$36&gt;35,N32+M33-V32,IF(A33&lt;'Données projet'!$A$36,$K$205^A33,IF(A33='Données projet'!$A$36,'Données projet'!$B$36,N32+M33-V32)))</f>
        <v>210.00000000000006</v>
      </c>
      <c r="O33" s="14">
        <f>N33*VLOOKUP('Données projet'!$B$9,Paramètres!$A$1:$I$89,3,0)*VLOOKUP('Données projet'!$B$9,Paramètres!$A$1:$I$89,5,0)</f>
        <v>98.28000000000003</v>
      </c>
      <c r="P33" s="14">
        <f t="shared" si="33"/>
        <v>26.551818424463473</v>
      </c>
      <c r="Q33" s="22">
        <f t="shared" si="2"/>
        <v>217.41541708927392</v>
      </c>
      <c r="R33" s="62">
        <f t="shared" si="0"/>
        <v>510.74875042260726</v>
      </c>
      <c r="S33" s="62">
        <f ca="1">AVERAGE(OFFSET($R$3,0,0,'Données projet'!$E$9+1,1))-AVERAGE(OFFSET($H$3,0,0,'Données projet'!$E$9+1,1))</f>
        <v>110.90259639804435</v>
      </c>
      <c r="T33" s="62">
        <f t="shared" si="34"/>
        <v>156.34514945935405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53</v>
      </c>
      <c r="W33" s="17">
        <f>IF(ISNA(VLOOKUP(A33,'Données projet'!$A$35:$I$55,5,0)),0%,VLOOKUP(A33,'Données projet'!$A$35:$I$55,5,0)*VLOOKUP('Données projet'!$B$9,Paramètres!$A$1:$I$89,7,0))</f>
        <v>8.2500000000000004E-2</v>
      </c>
      <c r="X33" s="17">
        <f>IF(ISNA(VLOOKUP(A33,'Données projet'!$A$35:$I$55,6,0)),0%,VLOOKUP(A33,'Données projet'!$A$35:$I$55,6,0)*VLOOKUP('Données projet'!$B$9,Paramètres!$A$1:$I$89,7,0))</f>
        <v>8.2500000000000004E-2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2.7145886420995944</v>
      </c>
      <c r="AA33" s="23">
        <f>EXP(-LN(2)/25)*AA32+(1-EXP(-LN(2)/25))/(LN(2)/25)*Calculateur!V33*Calculateur!X33*VLOOKUP('Données projet'!$B$9,Paramètres!$A$1:$I$89,3,0)*0.475*44/12</f>
        <v>2.7039002722762846</v>
      </c>
      <c r="AB33" s="23">
        <f>EXP(-LN(2)/2)*AB32+(1-EXP(-LN(2)/2))/(LN(2)/2)*V33*Y33*VLOOKUP('Données projet'!$B$9,Paramètres!$A$1:$I$89,3,0)*0.475*44/12</f>
        <v>20.312799380869837</v>
      </c>
      <c r="AC33" s="24">
        <f t="shared" si="3"/>
        <v>25.731288295245715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73</v>
      </c>
      <c r="AG33" s="13">
        <f>VLOOKUP(A33,'Données projet'!$A$61:$I$81,9,0)</f>
        <v>6.6</v>
      </c>
      <c r="AH33" s="13">
        <f t="array" ref="AH33">INDEX(AG:AG,MIN(IF(ISNUMBER(AG33:AG229),ROW(AG33:AG229),"")))</f>
        <v>6.6</v>
      </c>
      <c r="AI33" s="14">
        <f>IF('Données projet'!$A$62&gt;35,AI32+AH33-AQ32,IF(A33&lt;'Données projet'!$A$62,$AF$205^A33,IF(A33='Données projet'!$A$62,'Données projet'!$B$62,AI32+AH33-AQ32)))</f>
        <v>73</v>
      </c>
      <c r="AJ33" s="14">
        <f>AI33*VLOOKUP('Données projet'!$B$10,Paramètres!$A$1:$I$89,3,0)*VLOOKUP('Données projet'!$B$10,Paramètres!$A$1:$I$89,5,0)</f>
        <v>62.634000000000015</v>
      </c>
      <c r="AK33" s="14">
        <f t="shared" si="35"/>
        <v>17.832552513715669</v>
      </c>
      <c r="AL33" s="22">
        <f t="shared" si="4"/>
        <v>140.14591229472146</v>
      </c>
      <c r="AM33" s="62">
        <f t="shared" si="5"/>
        <v>433.47924562805474</v>
      </c>
      <c r="AN33" s="62">
        <f ca="1">AVERAGE(OFFSET($AM$3,0,0,'Données projet'!$E$10+1,1))-AVERAGE(OFFSET($H$3,0,0,'Données projet'!$E$10+1,1))</f>
        <v>174.46631997577833</v>
      </c>
      <c r="AO33" s="62">
        <f t="shared" si="36"/>
        <v>79.07564466480153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12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356.38176682171019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167.00000000000006</v>
      </c>
      <c r="O34" s="14">
        <f>N34*VLOOKUP('Données projet'!$B$9,Paramètres!$A$1:$I$89,3,0)*VLOOKUP('Données projet'!$B$9,Paramètres!$A$1:$I$89,5,0)</f>
        <v>78.15600000000002</v>
      </c>
      <c r="P34" s="14">
        <f t="shared" si="33"/>
        <v>21.685706446534809</v>
      </c>
      <c r="Q34" s="22">
        <f t="shared" si="2"/>
        <v>173.89097206104816</v>
      </c>
      <c r="R34" s="62">
        <f t="shared" si="0"/>
        <v>467.22430539438147</v>
      </c>
      <c r="S34" s="62">
        <f ca="1">AVERAGE(OFFSET($R$3,0,0,'Données projet'!$E$9+1,1))-AVERAGE(OFFSET($H$3,0,0,'Données projet'!$E$9+1,1))</f>
        <v>110.90259639804435</v>
      </c>
      <c r="T34" s="62">
        <f t="shared" si="34"/>
        <v>156.34514945935405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2.6613572145636026</v>
      </c>
      <c r="AA34" s="23">
        <f>EXP(-LN(2)/25)*AA33+(1-EXP(-LN(2)/25))/(LN(2)/25)*Calculateur!V34*Calculateur!X34*VLOOKUP('Données projet'!$B$9,Paramètres!$A$1:$I$89,3,0)*0.475*44/12</f>
        <v>2.629961977138954</v>
      </c>
      <c r="AB34" s="23">
        <f>EXP(-LN(2)/2)*AB33+(1-EXP(-LN(2)/2))/(LN(2)/2)*V34*Y34*VLOOKUP('Données projet'!$B$9,Paramètres!$A$1:$I$89,3,0)*0.475*44/12</f>
        <v>14.363318187094967</v>
      </c>
      <c r="AC34" s="24">
        <f t="shared" si="3"/>
        <v>19.654637378797524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7.2</v>
      </c>
      <c r="AI34" s="14">
        <f>IF('Données projet'!$A$62&gt;35,AI33+AH34-AQ33,IF(A34&lt;'Données projet'!$A$62,$AF$205^A34,IF(A34='Données projet'!$A$62,'Données projet'!$B$62,AI33+AH34-AQ33)))</f>
        <v>68.2</v>
      </c>
      <c r="AJ34" s="14">
        <f>AI34*VLOOKUP('Données projet'!$B$10,Paramètres!$A$1:$I$89,3,0)*VLOOKUP('Données projet'!$B$10,Paramètres!$A$1:$I$89,5,0)</f>
        <v>58.515600000000013</v>
      </c>
      <c r="AK34" s="14">
        <f t="shared" si="35"/>
        <v>16.792420691577682</v>
      </c>
      <c r="AL34" s="22">
        <f t="shared" si="4"/>
        <v>131.16146937116449</v>
      </c>
      <c r="AM34" s="62">
        <f t="shared" si="5"/>
        <v>424.49480270449783</v>
      </c>
      <c r="AN34" s="62">
        <f ca="1">AVERAGE(OFFSET($AM$3,0,0,'Données projet'!$E$10+1,1))-AVERAGE(OFFSET($H$3,0,0,'Données projet'!$E$10+1,1))</f>
        <v>174.46631997577833</v>
      </c>
      <c r="AO34" s="62">
        <f t="shared" si="36"/>
        <v>79.07564466480153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358.35832279638072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177.00000000000006</v>
      </c>
      <c r="O35" s="14">
        <f>N35*VLOOKUP('Données projet'!$B$9,Paramètres!$A$1:$I$89,3,0)*VLOOKUP('Données projet'!$B$9,Paramètres!$A$1:$I$89,5,0)</f>
        <v>82.836000000000027</v>
      </c>
      <c r="P35" s="14">
        <f t="shared" si="33"/>
        <v>22.829188748646022</v>
      </c>
      <c r="Q35" s="22">
        <f t="shared" ref="Q35:Q66" si="53">(O35+P35)*0.475*44/12</f>
        <v>184.03353707055851</v>
      </c>
      <c r="R35" s="62">
        <f t="shared" si="0"/>
        <v>477.36687040389182</v>
      </c>
      <c r="S35" s="62">
        <f ca="1">AVERAGE(OFFSET($R$3,0,0,'Données projet'!$E$9+1,1))-AVERAGE(OFFSET($H$3,0,0,'Données projet'!$E$9+1,1))</f>
        <v>110.90259639804435</v>
      </c>
      <c r="T35" s="62">
        <f t="shared" si="34"/>
        <v>156.34514945935405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2.609169622853627</v>
      </c>
      <c r="AA35" s="23">
        <f>EXP(-LN(2)/25)*AA34+(1-EXP(-LN(2)/25))/(LN(2)/25)*Calculateur!V35*Calculateur!X35*VLOOKUP('Données projet'!$B$9,Paramètres!$A$1:$I$89,3,0)*0.475*44/12</f>
        <v>2.5580455285703998</v>
      </c>
      <c r="AB35" s="23">
        <f>EXP(-LN(2)/2)*AB34+(1-EXP(-LN(2)/2))/(LN(2)/2)*V35*Y35*VLOOKUP('Données projet'!$B$9,Paramètres!$A$1:$I$89,3,0)*0.475*44/12</f>
        <v>10.15639969043492</v>
      </c>
      <c r="AC35" s="24">
        <f t="shared" si="3"/>
        <v>15.323614841858948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7.2</v>
      </c>
      <c r="AI35" s="14">
        <f>IF('Données projet'!$A$62&gt;35,AI34+AH35-AQ34,IF(A35&lt;'Données projet'!$A$62,$AF$205^A35,IF(A35='Données projet'!$A$62,'Données projet'!$B$62,AI34+AH35-AQ34)))</f>
        <v>75.400000000000006</v>
      </c>
      <c r="AJ35" s="14">
        <f>AI35*VLOOKUP('Données projet'!$B$10,Paramètres!$A$1:$I$89,3,0)*VLOOKUP('Données projet'!$B$10,Paramètres!$A$1:$I$89,5,0)</f>
        <v>64.693200000000004</v>
      </c>
      <c r="AK35" s="14">
        <f t="shared" si="35"/>
        <v>18.349606424257921</v>
      </c>
      <c r="AL35" s="22">
        <f t="shared" si="4"/>
        <v>144.63288785558254</v>
      </c>
      <c r="AM35" s="62">
        <f t="shared" si="5"/>
        <v>437.96622118891582</v>
      </c>
      <c r="AN35" s="62">
        <f ca="1">AVERAGE(OFFSET($AM$3,0,0,'Données projet'!$E$10+1,1))-AVERAGE(OFFSET($H$3,0,0,'Données projet'!$E$10+1,1))</f>
        <v>174.46631997577833</v>
      </c>
      <c r="AO35" s="62">
        <f t="shared" si="36"/>
        <v>79.07564466480153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360.33332496858065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187.00000000000006</v>
      </c>
      <c r="O36" s="14">
        <f>N36*VLOOKUP('Données projet'!$B$9,Paramètres!$A$1:$I$89,3,0)*VLOOKUP('Données projet'!$B$9,Paramètres!$A$1:$I$89,5,0)</f>
        <v>87.516000000000034</v>
      </c>
      <c r="P36" s="14">
        <f t="shared" si="33"/>
        <v>23.965171662037665</v>
      </c>
      <c r="Q36" s="22">
        <f t="shared" si="53"/>
        <v>194.16304064471566</v>
      </c>
      <c r="R36" s="62">
        <f t="shared" si="0"/>
        <v>487.49637397804895</v>
      </c>
      <c r="S36" s="62">
        <f ca="1">AVERAGE(OFFSET($R$3,0,0,'Données projet'!$E$9+1,1))-AVERAGE(OFFSET($H$3,0,0,'Données projet'!$E$9+1,1))</f>
        <v>110.90259639804435</v>
      </c>
      <c r="T36" s="62">
        <f t="shared" si="34"/>
        <v>156.34514945935405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2.558005397985796</v>
      </c>
      <c r="AA36" s="23">
        <f>EXP(-LN(2)/25)*AA35+(1-EXP(-LN(2)/25))/(LN(2)/25)*Calculateur!V36*Calculateur!X36*VLOOKUP('Données projet'!$B$9,Paramètres!$A$1:$I$89,3,0)*0.475*44/12</f>
        <v>2.4880956390698743</v>
      </c>
      <c r="AB36" s="23">
        <f>EXP(-LN(2)/2)*AB35+(1-EXP(-LN(2)/2))/(LN(2)/2)*V36*Y36*VLOOKUP('Données projet'!$B$9,Paramètres!$A$1:$I$89,3,0)*0.475*44/12</f>
        <v>7.1816590935474851</v>
      </c>
      <c r="AC36" s="24">
        <f t="shared" si="3"/>
        <v>12.227760130603155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7.2</v>
      </c>
      <c r="AI36" s="14">
        <f>IF('Données projet'!$A$62&gt;35,AI35+AH36-AQ35,IF(A36&lt;'Données projet'!$A$62,$AF$205^A36,IF(A36='Données projet'!$A$62,'Données projet'!$B$62,AI35+AH36-AQ35)))</f>
        <v>82.600000000000009</v>
      </c>
      <c r="AJ36" s="14">
        <f>AI36*VLOOKUP('Données projet'!$B$10,Paramètres!$A$1:$I$89,3,0)*VLOOKUP('Données projet'!$B$10,Paramètres!$A$1:$I$89,5,0)</f>
        <v>70.870800000000017</v>
      </c>
      <c r="AK36" s="14">
        <f t="shared" si="35"/>
        <v>19.88955205532633</v>
      </c>
      <c r="AL36" s="22">
        <f t="shared" si="4"/>
        <v>158.07427982969338</v>
      </c>
      <c r="AM36" s="62">
        <f t="shared" si="5"/>
        <v>451.40761316302667</v>
      </c>
      <c r="AN36" s="62">
        <f ca="1">AVERAGE(OFFSET($AM$3,0,0,'Données projet'!$E$10+1,1))-AVERAGE(OFFSET($H$3,0,0,'Données projet'!$E$10+1,1))</f>
        <v>174.46631997577833</v>
      </c>
      <c r="AO36" s="62">
        <f t="shared" si="36"/>
        <v>79.07564466480153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362.30682582761347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197.00000000000006</v>
      </c>
      <c r="O37" s="14">
        <f>N37*VLOOKUP('Données projet'!$B$9,Paramètres!$A$1:$I$89,3,0)*VLOOKUP('Données projet'!$B$9,Paramètres!$A$1:$I$89,5,0)</f>
        <v>92.196000000000026</v>
      </c>
      <c r="P37" s="14">
        <f t="shared" si="33"/>
        <v>25.09410195059451</v>
      </c>
      <c r="Q37" s="22">
        <f t="shared" si="53"/>
        <v>204.2802608972855</v>
      </c>
      <c r="R37" s="62">
        <f t="shared" si="0"/>
        <v>497.61359423061879</v>
      </c>
      <c r="S37" s="62">
        <f ca="1">AVERAGE(OFFSET($R$3,0,0,'Données projet'!$E$9+1,1))-AVERAGE(OFFSET($H$3,0,0,'Données projet'!$E$9+1,1))</f>
        <v>110.90259639804435</v>
      </c>
      <c r="T37" s="62">
        <f t="shared" si="34"/>
        <v>156.34514945935405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2.5078444723605275</v>
      </c>
      <c r="AA37" s="23">
        <f>EXP(-LN(2)/25)*AA36+(1-EXP(-LN(2)/25))/(LN(2)/25)*Calculateur!V37*Calculateur!X37*VLOOKUP('Données projet'!$B$9,Paramètres!$A$1:$I$89,3,0)*0.475*44/12</f>
        <v>2.4200585329762454</v>
      </c>
      <c r="AB37" s="23">
        <f>EXP(-LN(2)/2)*AB36+(1-EXP(-LN(2)/2))/(LN(2)/2)*V37*Y37*VLOOKUP('Données projet'!$B$9,Paramètres!$A$1:$I$89,3,0)*0.475*44/12</f>
        <v>5.078199845217461</v>
      </c>
      <c r="AC37" s="24">
        <f t="shared" si="3"/>
        <v>10.006102850554235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7.2</v>
      </c>
      <c r="AI37" s="14">
        <f>IF('Données projet'!$A$62&gt;35,AI36+AH37-AQ36,IF(A37&lt;'Données projet'!$A$62,$AF$205^A37,IF(A37='Données projet'!$A$62,'Données projet'!$B$62,AI36+AH37-AQ36)))</f>
        <v>89.800000000000011</v>
      </c>
      <c r="AJ37" s="14">
        <f>AI37*VLOOKUP('Données projet'!$B$10,Paramètres!$A$1:$I$89,3,0)*VLOOKUP('Données projet'!$B$10,Paramètres!$A$1:$I$89,5,0)</f>
        <v>77.048400000000015</v>
      </c>
      <c r="AK37" s="14">
        <f t="shared" si="35"/>
        <v>21.413931223592172</v>
      </c>
      <c r="AL37" s="22">
        <f t="shared" si="4"/>
        <v>171.48856021442305</v>
      </c>
      <c r="AM37" s="62">
        <f t="shared" si="5"/>
        <v>464.82189354775636</v>
      </c>
      <c r="AN37" s="62">
        <f ca="1">AVERAGE(OFFSET($AM$3,0,0,'Données projet'!$E$10+1,1))-AVERAGE(OFFSET($H$3,0,0,'Données projet'!$E$10+1,1))</f>
        <v>174.46631997577833</v>
      </c>
      <c r="AO37" s="62">
        <f t="shared" si="36"/>
        <v>79.07564466480153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364.27887459963966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207.00000000000006</v>
      </c>
      <c r="O38" s="14">
        <f>N38*VLOOKUP('Données projet'!$B$9,Paramètres!$A$1:$I$89,3,0)*VLOOKUP('Données projet'!$B$9,Paramètres!$A$1:$I$89,5,0)</f>
        <v>96.876000000000033</v>
      </c>
      <c r="P38" s="14">
        <f t="shared" si="33"/>
        <v>26.21637845945024</v>
      </c>
      <c r="Q38" s="22">
        <f t="shared" si="53"/>
        <v>214.38589248354256</v>
      </c>
      <c r="R38" s="62">
        <f t="shared" si="0"/>
        <v>507.71922581687591</v>
      </c>
      <c r="S38" s="62">
        <f ca="1">AVERAGE(OFFSET($R$3,0,0,'Données projet'!$E$9+1,1))-AVERAGE(OFFSET($H$3,0,0,'Données projet'!$E$9+1,1))</f>
        <v>110.90259639804435</v>
      </c>
      <c r="T38" s="62">
        <f t="shared" si="34"/>
        <v>156.34514945935405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2.4586671718916269</v>
      </c>
      <c r="AA38" s="23">
        <f>EXP(-LN(2)/25)*AA37+(1-EXP(-LN(2)/25))/(LN(2)/25)*Calculateur!V38*Calculateur!X38*VLOOKUP('Données projet'!$B$9,Paramètres!$A$1:$I$89,3,0)*0.475*44/12</f>
        <v>2.3538819051266628</v>
      </c>
      <c r="AB38" s="23">
        <f>EXP(-LN(2)/2)*AB37+(1-EXP(-LN(2)/2))/(LN(2)/2)*V38*Y38*VLOOKUP('Données projet'!$B$9,Paramètres!$A$1:$I$89,3,0)*0.475*44/12</f>
        <v>3.590829546773743</v>
      </c>
      <c r="AC38" s="24">
        <f t="shared" si="3"/>
        <v>8.4033786237920332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97</v>
      </c>
      <c r="AG38" s="13">
        <f>VLOOKUP(A38,'Données projet'!$A$61:$I$81,9,0)</f>
        <v>7.2</v>
      </c>
      <c r="AH38" s="13">
        <f t="array" ref="AH38">INDEX(AG:AG,MIN(IF(ISNUMBER(AG38:AG234),ROW(AG38:AG234),"")))</f>
        <v>7.2</v>
      </c>
      <c r="AI38" s="14">
        <f>IF('Données projet'!$A$62&gt;35,AI37+AH38-AQ37,IF(A38&lt;'Données projet'!$A$62,$AF$205^A38,IF(A38='Données projet'!$A$62,'Données projet'!$B$62,AI37+AH38-AQ37)))</f>
        <v>97.000000000000014</v>
      </c>
      <c r="AJ38" s="14">
        <f>AI38*VLOOKUP('Données projet'!$B$10,Paramètres!$A$1:$I$89,3,0)*VLOOKUP('Données projet'!$B$10,Paramètres!$A$1:$I$89,5,0)</f>
        <v>83.226000000000028</v>
      </c>
      <c r="AK38" s="14">
        <f t="shared" si="35"/>
        <v>22.924133915866854</v>
      </c>
      <c r="AL38" s="22">
        <f t="shared" si="4"/>
        <v>184.87814990346817</v>
      </c>
      <c r="AM38" s="62">
        <f t="shared" si="5"/>
        <v>478.21148323680148</v>
      </c>
      <c r="AN38" s="62">
        <f ca="1">AVERAGE(OFFSET($AM$3,0,0,'Données projet'!$E$10+1,1))-AVERAGE(OFFSET($H$3,0,0,'Données projet'!$E$10+1,1))</f>
        <v>174.46631997577833</v>
      </c>
      <c r="AO38" s="62">
        <f t="shared" si="36"/>
        <v>79.07564466480153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366.24951753790458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217.00000000000006</v>
      </c>
      <c r="O39" s="14">
        <f>N39*VLOOKUP('Données projet'!$B$9,Paramètres!$A$1:$I$89,3,0)*VLOOKUP('Données projet'!$B$9,Paramètres!$A$1:$I$89,5,0)</f>
        <v>101.55600000000003</v>
      </c>
      <c r="P39" s="14">
        <f t="shared" si="33"/>
        <v>27.332359320696909</v>
      </c>
      <c r="Q39" s="22">
        <f t="shared" si="53"/>
        <v>224.48055915021382</v>
      </c>
      <c r="R39" s="62">
        <f t="shared" si="0"/>
        <v>517.81389248354708</v>
      </c>
      <c r="S39" s="62">
        <f ca="1">AVERAGE(OFFSET($R$3,0,0,'Données projet'!$E$9+1,1))-AVERAGE(OFFSET($H$3,0,0,'Données projet'!$E$9+1,1))</f>
        <v>110.90259639804435</v>
      </c>
      <c r="T39" s="62">
        <f t="shared" si="34"/>
        <v>156.34514945935405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2.41045420828973</v>
      </c>
      <c r="AA39" s="23">
        <f>EXP(-LN(2)/25)*AA38+(1-EXP(-LN(2)/25))/(LN(2)/25)*Calculateur!V39*Calculateur!X39*VLOOKUP('Données projet'!$B$9,Paramètres!$A$1:$I$89,3,0)*0.475*44/12</f>
        <v>2.2895148806457049</v>
      </c>
      <c r="AB39" s="23">
        <f>EXP(-LN(2)/2)*AB38+(1-EXP(-LN(2)/2))/(LN(2)/2)*V39*Y39*VLOOKUP('Données projet'!$B$9,Paramètres!$A$1:$I$89,3,0)*0.475*44/12</f>
        <v>2.539099922608731</v>
      </c>
      <c r="AC39" s="24">
        <f t="shared" si="3"/>
        <v>7.2390690115441654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7.8</v>
      </c>
      <c r="AI39" s="14">
        <f>IF('Données projet'!$A$62&gt;35,AI38+AH39-AQ38,IF(A39&lt;'Données projet'!$A$62,$AF$205^A39,IF(A39='Données projet'!$A$62,'Données projet'!$B$62,AI38+AH39-AQ38)))</f>
        <v>83.800000000000011</v>
      </c>
      <c r="AJ39" s="14">
        <f>AI39*VLOOKUP('Données projet'!$B$10,Paramètres!$A$1:$I$89,3,0)*VLOOKUP('Données projet'!$B$10,Paramètres!$A$1:$I$89,5,0)</f>
        <v>71.900400000000019</v>
      </c>
      <c r="AK39" s="14">
        <f t="shared" si="35"/>
        <v>20.144655615547983</v>
      </c>
      <c r="AL39" s="22">
        <f t="shared" si="4"/>
        <v>160.31180519707939</v>
      </c>
      <c r="AM39" s="62">
        <f t="shared" si="5"/>
        <v>453.64513853041274</v>
      </c>
      <c r="AN39" s="62">
        <f ca="1">AVERAGE(OFFSET($AM$3,0,0,'Données projet'!$E$10+1,1))-AVERAGE(OFFSET($H$3,0,0,'Données projet'!$E$10+1,1))</f>
        <v>174.46631997577833</v>
      </c>
      <c r="AO39" s="62">
        <f t="shared" si="36"/>
        <v>79.07564466480153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368.21879817981187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227.00000000000006</v>
      </c>
      <c r="O40" s="14">
        <f>N40*VLOOKUP('Données projet'!$B$9,Paramètres!$A$1:$I$89,3,0)*VLOOKUP('Données projet'!$B$9,Paramètres!$A$1:$I$89,5,0)</f>
        <v>106.23600000000002</v>
      </c>
      <c r="P40" s="14">
        <f t="shared" si="33"/>
        <v>28.442367793282877</v>
      </c>
      <c r="Q40" s="22">
        <f t="shared" si="53"/>
        <v>234.56482390663436</v>
      </c>
      <c r="R40" s="62">
        <f t="shared" si="0"/>
        <v>527.89815723996765</v>
      </c>
      <c r="S40" s="62">
        <f ca="1">AVERAGE(OFFSET($R$3,0,0,'Données projet'!$E$9+1,1))-AVERAGE(OFFSET($H$3,0,0,'Données projet'!$E$9+1,1))</f>
        <v>110.90259639804435</v>
      </c>
      <c r="T40" s="62">
        <f t="shared" si="34"/>
        <v>156.34514945935405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2.3631866714970622</v>
      </c>
      <c r="AA40" s="23">
        <f>EXP(-LN(2)/25)*AA39+(1-EXP(-LN(2)/25))/(LN(2)/25)*Calculateur!V40*Calculateur!X40*VLOOKUP('Données projet'!$B$9,Paramètres!$A$1:$I$89,3,0)*0.475*44/12</f>
        <v>2.2269079758340933</v>
      </c>
      <c r="AB40" s="23">
        <f>EXP(-LN(2)/2)*AB39+(1-EXP(-LN(2)/2))/(LN(2)/2)*V40*Y40*VLOOKUP('Données projet'!$B$9,Paramètres!$A$1:$I$89,3,0)*0.475*44/12</f>
        <v>1.7954147733868717</v>
      </c>
      <c r="AC40" s="24">
        <f t="shared" si="3"/>
        <v>6.3855094207180274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7.8</v>
      </c>
      <c r="AI40" s="14">
        <f>IF('Données projet'!$A$62&gt;35,AI39+AH40-AQ39,IF(A40&lt;'Données projet'!$A$62,$AF$205^A40,IF(A40='Données projet'!$A$62,'Données projet'!$B$62,AI39+AH40-AQ39)))</f>
        <v>91.600000000000009</v>
      </c>
      <c r="AJ40" s="14">
        <f>AI40*VLOOKUP('Données projet'!$B$10,Paramètres!$A$1:$I$89,3,0)*VLOOKUP('Données projet'!$B$10,Paramètres!$A$1:$I$89,5,0)</f>
        <v>78.592800000000011</v>
      </c>
      <c r="AK40" s="14">
        <f t="shared" si="35"/>
        <v>21.792761850487381</v>
      </c>
      <c r="AL40" s="22">
        <f t="shared" si="4"/>
        <v>174.83818688959886</v>
      </c>
      <c r="AM40" s="62">
        <f t="shared" si="5"/>
        <v>468.17152022293214</v>
      </c>
      <c r="AN40" s="62">
        <f ca="1">AVERAGE(OFFSET($AM$3,0,0,'Données projet'!$E$10+1,1))-AVERAGE(OFFSET($H$3,0,0,'Données projet'!$E$10+1,1))</f>
        <v>174.46631997577833</v>
      </c>
      <c r="AO40" s="62">
        <f t="shared" si="36"/>
        <v>79.07564466480153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370.18675757542417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237.00000000000006</v>
      </c>
      <c r="O41" s="14">
        <f>N41*VLOOKUP('Données projet'!$B$9,Paramètres!$A$1:$I$89,3,0)*VLOOKUP('Données projet'!$B$9,Paramètres!$A$1:$I$89,5,0)</f>
        <v>110.91600000000003</v>
      </c>
      <c r="P41" s="14">
        <f t="shared" si="33"/>
        <v>29.546697044802634</v>
      </c>
      <c r="Q41" s="22">
        <f t="shared" si="53"/>
        <v>244.63919735303134</v>
      </c>
      <c r="R41" s="62">
        <f t="shared" si="0"/>
        <v>537.97253068636462</v>
      </c>
      <c r="S41" s="62">
        <f ca="1">AVERAGE(OFFSET($R$3,0,0,'Données projet'!$E$9+1,1))-AVERAGE(OFFSET($H$3,0,0,'Données projet'!$E$9+1,1))</f>
        <v>110.90259639804435</v>
      </c>
      <c r="T41" s="62">
        <f t="shared" si="34"/>
        <v>156.34514945935405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2.316846022270548</v>
      </c>
      <c r="AA41" s="23">
        <f>EXP(-LN(2)/25)*AA40+(1-EXP(-LN(2)/25))/(LN(2)/25)*Calculateur!V41*Calculateur!X41*VLOOKUP('Données projet'!$B$9,Paramètres!$A$1:$I$89,3,0)*0.475*44/12</f>
        <v>2.1660130601269092</v>
      </c>
      <c r="AB41" s="23">
        <f>EXP(-LN(2)/2)*AB40+(1-EXP(-LN(2)/2))/(LN(2)/2)*V41*Y41*VLOOKUP('Données projet'!$B$9,Paramètres!$A$1:$I$89,3,0)*0.475*44/12</f>
        <v>1.2695499613043657</v>
      </c>
      <c r="AC41" s="24">
        <f t="shared" si="3"/>
        <v>5.7524090437018227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7.8</v>
      </c>
      <c r="AI41" s="14">
        <f>IF('Données projet'!$A$62&gt;35,AI40+AH41-AQ40,IF(A41&lt;'Données projet'!$A$62,$AF$205^A41,IF(A41='Données projet'!$A$62,'Données projet'!$B$62,AI40+AH41-AQ40)))</f>
        <v>99.4</v>
      </c>
      <c r="AJ41" s="14">
        <f>AI41*VLOOKUP('Données projet'!$B$10,Paramètres!$A$1:$I$89,3,0)*VLOOKUP('Données projet'!$B$10,Paramètres!$A$1:$I$89,5,0)</f>
        <v>85.285200000000017</v>
      </c>
      <c r="AK41" s="14">
        <f t="shared" si="35"/>
        <v>23.424592345455938</v>
      </c>
      <c r="AL41" s="22">
        <f t="shared" si="4"/>
        <v>189.33622166833575</v>
      </c>
      <c r="AM41" s="62">
        <f t="shared" si="5"/>
        <v>482.6695550016691</v>
      </c>
      <c r="AN41" s="62">
        <f ca="1">AVERAGE(OFFSET($AM$3,0,0,'Données projet'!$E$10+1,1))-AVERAGE(OFFSET($H$3,0,0,'Données projet'!$E$10+1,1))</f>
        <v>174.46631997577833</v>
      </c>
      <c r="AO41" s="62">
        <f t="shared" si="36"/>
        <v>79.07564466480153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372.15343449123395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247.00000000000006</v>
      </c>
      <c r="O42" s="14">
        <f>N42*VLOOKUP('Données projet'!$B$9,Paramètres!$A$1:$I$89,3,0)*VLOOKUP('Données projet'!$B$9,Paramètres!$A$1:$I$89,5,0)</f>
        <v>115.59600000000002</v>
      </c>
      <c r="P42" s="14">
        <f t="shared" si="33"/>
        <v>30.645614103483879</v>
      </c>
      <c r="Q42" s="22">
        <f t="shared" si="53"/>
        <v>254.70414456356778</v>
      </c>
      <c r="R42" s="62">
        <f t="shared" si="0"/>
        <v>548.03747789690112</v>
      </c>
      <c r="S42" s="62">
        <f ca="1">AVERAGE(OFFSET($R$3,0,0,'Données projet'!$E$9+1,1))-AVERAGE(OFFSET($H$3,0,0,'Données projet'!$E$9+1,1))</f>
        <v>110.90259639804435</v>
      </c>
      <c r="T42" s="62">
        <f t="shared" si="34"/>
        <v>156.34514945935405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2.2714140849103606</v>
      </c>
      <c r="AA42" s="23">
        <f>EXP(-LN(2)/25)*AA41+(1-EXP(-LN(2)/25))/(LN(2)/25)*Calculateur!V42*Calculateur!X42*VLOOKUP('Données projet'!$B$9,Paramètres!$A$1:$I$89,3,0)*0.475*44/12</f>
        <v>2.1067833190920626</v>
      </c>
      <c r="AB42" s="23">
        <f>EXP(-LN(2)/2)*AB41+(1-EXP(-LN(2)/2))/(LN(2)/2)*V42*Y42*VLOOKUP('Données projet'!$B$9,Paramètres!$A$1:$I$89,3,0)*0.475*44/12</f>
        <v>0.89770738669343608</v>
      </c>
      <c r="AC42" s="24">
        <f t="shared" si="3"/>
        <v>5.2759047906958587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7.8</v>
      </c>
      <c r="AI42" s="14">
        <f>IF('Données projet'!$A$62&gt;35,AI41+AH42-AQ41,IF(A42&lt;'Données projet'!$A$62,$AF$205^A42,IF(A42='Données projet'!$A$62,'Données projet'!$B$62,AI41+AH42-AQ41)))</f>
        <v>107.2</v>
      </c>
      <c r="AJ42" s="14">
        <f>AI42*VLOOKUP('Données projet'!$B$10,Paramètres!$A$1:$I$89,3,0)*VLOOKUP('Données projet'!$B$10,Paramètres!$A$1:$I$89,5,0)</f>
        <v>91.97760000000001</v>
      </c>
      <c r="AK42" s="14">
        <f t="shared" si="35"/>
        <v>25.041569477819937</v>
      </c>
      <c r="AL42" s="22">
        <f t="shared" si="4"/>
        <v>203.8083868405364</v>
      </c>
      <c r="AM42" s="62">
        <f t="shared" si="5"/>
        <v>497.14172017386971</v>
      </c>
      <c r="AN42" s="62">
        <f ca="1">AVERAGE(OFFSET($AM$3,0,0,'Données projet'!$E$10+1,1))-AVERAGE(OFFSET($H$3,0,0,'Données projet'!$E$10+1,1))</f>
        <v>174.46631997577833</v>
      </c>
      <c r="AO42" s="62">
        <f t="shared" si="36"/>
        <v>79.07564466480153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374.11886559244715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257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257.00000000000006</v>
      </c>
      <c r="O43" s="14">
        <f>N43*VLOOKUP('Données projet'!$B$9,Paramètres!$A$1:$I$89,3,0)*VLOOKUP('Données projet'!$B$9,Paramètres!$A$1:$I$89,5,0)</f>
        <v>120.27600000000001</v>
      </c>
      <c r="P43" s="14">
        <f t="shared" si="33"/>
        <v>31.739363152156315</v>
      </c>
      <c r="Q43" s="22">
        <f t="shared" si="53"/>
        <v>264.76009082333894</v>
      </c>
      <c r="R43" s="62">
        <f t="shared" si="0"/>
        <v>558.0934241566722</v>
      </c>
      <c r="S43" s="62">
        <f ca="1">AVERAGE(OFFSET($R$3,0,0,'Données projet'!$E$9+1,1))-AVERAGE(OFFSET($H$3,0,0,'Données projet'!$E$9+1,1))</f>
        <v>110.90259639804435</v>
      </c>
      <c r="T43" s="62">
        <f t="shared" si="34"/>
        <v>156.34514945935405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64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2.2268730401310606</v>
      </c>
      <c r="AA43" s="23">
        <f>EXP(-LN(2)/25)*AA42+(1-EXP(-LN(2)/25))/(LN(2)/25)*Calculateur!V43*Calculateur!X43*VLOOKUP('Données projet'!$B$9,Paramètres!$A$1:$I$89,3,0)*0.475*44/12</f>
        <v>2.0491732184405707</v>
      </c>
      <c r="AB43" s="23">
        <f>EXP(-LN(2)/2)*AB42+(1-EXP(-LN(2)/2))/(LN(2)/2)*V43*Y43*VLOOKUP('Données projet'!$B$9,Paramètres!$A$1:$I$89,3,0)*0.475*44/12</f>
        <v>0.63477498065218296</v>
      </c>
      <c r="AC43" s="24">
        <f t="shared" si="3"/>
        <v>4.9108212392238135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115</v>
      </c>
      <c r="AG43" s="13">
        <f>VLOOKUP(A43,'Données projet'!$A$61:$I$81,9,0)</f>
        <v>7.8</v>
      </c>
      <c r="AH43" s="13">
        <f t="array" ref="AH43">INDEX(AG:AG,MIN(IF(ISNUMBER(AG43:AG239),ROW(AG43:AG239),"")))</f>
        <v>7.8</v>
      </c>
      <c r="AI43" s="14">
        <f>IF('Données projet'!$A$62&gt;35,AI42+AH43-AQ42,IF(A43&lt;'Données projet'!$A$62,$AF$205^A43,IF(A43='Données projet'!$A$62,'Données projet'!$B$62,AI42+AH43-AQ42)))</f>
        <v>115</v>
      </c>
      <c r="AJ43" s="14">
        <f>AI43*VLOOKUP('Données projet'!$B$10,Paramètres!$A$1:$I$89,3,0)*VLOOKUP('Données projet'!$B$10,Paramètres!$A$1:$I$89,5,0)</f>
        <v>98.670000000000016</v>
      </c>
      <c r="AK43" s="14">
        <f t="shared" si="35"/>
        <v>26.644896901954091</v>
      </c>
      <c r="AL43" s="22">
        <f t="shared" si="4"/>
        <v>218.25677877090342</v>
      </c>
      <c r="AM43" s="62">
        <f t="shared" si="5"/>
        <v>511.59011210423671</v>
      </c>
      <c r="AN43" s="62">
        <f ca="1">AVERAGE(OFFSET($AM$3,0,0,'Données projet'!$E$10+1,1))-AVERAGE(OFFSET($H$3,0,0,'Données projet'!$E$10+1,1))</f>
        <v>174.46631997577833</v>
      </c>
      <c r="AO43" s="62">
        <f t="shared" si="36"/>
        <v>79.07564466480153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376.08308560652495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204.50000000000006</v>
      </c>
      <c r="O44" s="14">
        <f>N44*VLOOKUP('Données projet'!$B$9,Paramètres!$A$1:$I$89,3,0)*VLOOKUP('Données projet'!$B$9,Paramètres!$A$1:$I$89,5,0)</f>
        <v>95.706000000000031</v>
      </c>
      <c r="P44" s="14">
        <f t="shared" si="33"/>
        <v>25.936412902008851</v>
      </c>
      <c r="Q44" s="22">
        <f t="shared" si="53"/>
        <v>211.86053580433213</v>
      </c>
      <c r="R44" s="62">
        <f t="shared" si="0"/>
        <v>505.19386913766544</v>
      </c>
      <c r="S44" s="62">
        <f ca="1">AVERAGE(OFFSET($R$3,0,0,'Données projet'!$E$9+1,1))-AVERAGE(OFFSET($H$3,0,0,'Données projet'!$E$9+1,1))</f>
        <v>110.90259639804435</v>
      </c>
      <c r="T44" s="62">
        <f t="shared" si="34"/>
        <v>156.34514945935405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2.1832054180725282</v>
      </c>
      <c r="AA44" s="23">
        <f>EXP(-LN(2)/25)*AA43+(1-EXP(-LN(2)/25))/(LN(2)/25)*Calculateur!V44*Calculateur!X44*VLOOKUP('Données projet'!$B$9,Paramètres!$A$1:$I$89,3,0)*0.475*44/12</f>
        <v>1.9931384690209772</v>
      </c>
      <c r="AB44" s="23">
        <f>EXP(-LN(2)/2)*AB43+(1-EXP(-LN(2)/2))/(LN(2)/2)*V44*Y44*VLOOKUP('Données projet'!$B$9,Paramètres!$A$1:$I$89,3,0)*0.475*44/12</f>
        <v>0.4488536933467181</v>
      </c>
      <c r="AC44" s="24">
        <f t="shared" si="3"/>
        <v>4.6251975804402239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</v>
      </c>
      <c r="AI44" s="14">
        <f>IF('Données projet'!$A$62&gt;35,AI43+AH44-AQ43,IF(A44&lt;'Données projet'!$A$62,$AF$205^A44,IF(A44='Données projet'!$A$62,'Données projet'!$B$62,AI43+AH44-AQ43)))</f>
        <v>102</v>
      </c>
      <c r="AJ44" s="14">
        <f>AI44*VLOOKUP('Données projet'!$B$10,Paramètres!$A$1:$I$89,3,0)*VLOOKUP('Données projet'!$B$10,Paramètres!$A$1:$I$89,5,0)</f>
        <v>87.516000000000005</v>
      </c>
      <c r="AK44" s="14">
        <f t="shared" si="35"/>
        <v>23.965171662037644</v>
      </c>
      <c r="AL44" s="22">
        <f t="shared" si="4"/>
        <v>194.16304064471558</v>
      </c>
      <c r="AM44" s="62">
        <f t="shared" si="5"/>
        <v>487.49637397804889</v>
      </c>
      <c r="AN44" s="62">
        <f ca="1">AVERAGE(OFFSET($AM$3,0,0,'Données projet'!$E$10+1,1))-AVERAGE(OFFSET($H$3,0,0,'Données projet'!$E$10+1,1))</f>
        <v>174.46631997577833</v>
      </c>
      <c r="AO44" s="62">
        <f t="shared" si="36"/>
        <v>79.07564466480153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378.04612747032132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216.00000000000006</v>
      </c>
      <c r="O45" s="14">
        <f>N45*VLOOKUP('Données projet'!$B$9,Paramètres!$A$1:$I$89,3,0)*VLOOKUP('Données projet'!$B$9,Paramètres!$A$1:$I$89,5,0)</f>
        <v>101.08800000000002</v>
      </c>
      <c r="P45" s="14">
        <f t="shared" si="33"/>
        <v>27.221035075711939</v>
      </c>
      <c r="Q45" s="22">
        <f t="shared" si="53"/>
        <v>223.47156942353163</v>
      </c>
      <c r="R45" s="62">
        <f t="shared" si="0"/>
        <v>516.80490275686498</v>
      </c>
      <c r="S45" s="62">
        <f ca="1">AVERAGE(OFFSET($R$3,0,0,'Données projet'!$E$9+1,1))-AVERAGE(OFFSET($H$3,0,0,'Données projet'!$E$9+1,1))</f>
        <v>110.90259639804435</v>
      </c>
      <c r="T45" s="62">
        <f t="shared" si="34"/>
        <v>156.34514945935405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2.140394091447944</v>
      </c>
      <c r="AA45" s="23">
        <f>EXP(-LN(2)/25)*AA44+(1-EXP(-LN(2)/25))/(LN(2)/25)*Calculateur!V45*Calculateur!X45*VLOOKUP('Données projet'!$B$9,Paramètres!$A$1:$I$89,3,0)*0.475*44/12</f>
        <v>1.938635992771002</v>
      </c>
      <c r="AB45" s="23">
        <f>EXP(-LN(2)/2)*AB44+(1-EXP(-LN(2)/2))/(LN(2)/2)*V45*Y45*VLOOKUP('Données projet'!$B$9,Paramètres!$A$1:$I$89,3,0)*0.475*44/12</f>
        <v>0.31738749032609154</v>
      </c>
      <c r="AC45" s="24">
        <f t="shared" si="3"/>
        <v>4.3964175745450378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</v>
      </c>
      <c r="AI45" s="14">
        <f>IF('Données projet'!$A$62&gt;35,AI44+AH45-AQ44,IF(A45&lt;'Données projet'!$A$62,$AF$205^A45,IF(A45='Données projet'!$A$62,'Données projet'!$B$62,AI44+AH45-AQ44)))</f>
        <v>110</v>
      </c>
      <c r="AJ45" s="14">
        <f>AI45*VLOOKUP('Données projet'!$B$10,Paramètres!$A$1:$I$89,3,0)*VLOOKUP('Données projet'!$B$10,Paramètres!$A$1:$I$89,5,0)</f>
        <v>94.38000000000001</v>
      </c>
      <c r="AK45" s="14">
        <f t="shared" si="35"/>
        <v>25.618636348883211</v>
      </c>
      <c r="AL45" s="22">
        <f t="shared" si="4"/>
        <v>208.99762497430493</v>
      </c>
      <c r="AM45" s="62">
        <f t="shared" si="5"/>
        <v>502.33095830763824</v>
      </c>
      <c r="AN45" s="62">
        <f ca="1">AVERAGE(OFFSET($AM$3,0,0,'Données projet'!$E$10+1,1))-AVERAGE(OFFSET($H$3,0,0,'Données projet'!$E$10+1,1))</f>
        <v>174.46631997577833</v>
      </c>
      <c r="AO45" s="62">
        <f t="shared" si="36"/>
        <v>79.07564466480153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380.00802246281268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227.50000000000006</v>
      </c>
      <c r="O46" s="14">
        <f>N46*VLOOKUP('Données projet'!$B$9,Paramètres!$A$1:$I$89,3,0)*VLOOKUP('Données projet'!$B$9,Paramètres!$A$1:$I$89,5,0)</f>
        <v>106.47000000000003</v>
      </c>
      <c r="P46" s="14">
        <f t="shared" si="33"/>
        <v>28.49771681771891</v>
      </c>
      <c r="Q46" s="22">
        <f t="shared" si="53"/>
        <v>235.06877345752716</v>
      </c>
      <c r="R46" s="62">
        <f t="shared" si="0"/>
        <v>528.40210679086044</v>
      </c>
      <c r="S46" s="62">
        <f ca="1">AVERAGE(OFFSET($R$3,0,0,'Données projet'!$E$9+1,1))-AVERAGE(OFFSET($H$3,0,0,'Données projet'!$E$9+1,1))</f>
        <v>110.90259639804435</v>
      </c>
      <c r="T46" s="62">
        <f t="shared" si="34"/>
        <v>156.34514945935405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2.0984222688261371</v>
      </c>
      <c r="AA46" s="23">
        <f>EXP(-LN(2)/25)*AA45+(1-EXP(-LN(2)/25))/(LN(2)/25)*Calculateur!V46*Calculateur!X46*VLOOKUP('Données projet'!$B$9,Paramètres!$A$1:$I$89,3,0)*0.475*44/12</f>
        <v>1.8856238896002429</v>
      </c>
      <c r="AB46" s="23">
        <f>EXP(-LN(2)/2)*AB45+(1-EXP(-LN(2)/2))/(LN(2)/2)*V46*Y46*VLOOKUP('Données projet'!$B$9,Paramètres!$A$1:$I$89,3,0)*0.475*44/12</f>
        <v>0.2244268466733591</v>
      </c>
      <c r="AC46" s="24">
        <f t="shared" si="3"/>
        <v>4.208473005099739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</v>
      </c>
      <c r="AI46" s="14">
        <f>IF('Données projet'!$A$62&gt;35,AI45+AH46-AQ45,IF(A46&lt;'Données projet'!$A$62,$AF$205^A46,IF(A46='Données projet'!$A$62,'Données projet'!$B$62,AI45+AH46-AQ45)))</f>
        <v>118</v>
      </c>
      <c r="AJ46" s="14">
        <f>AI46*VLOOKUP('Données projet'!$B$10,Paramètres!$A$1:$I$89,3,0)*VLOOKUP('Données projet'!$B$10,Paramètres!$A$1:$I$89,5,0)</f>
        <v>101.24400000000001</v>
      </c>
      <c r="AK46" s="14">
        <f t="shared" si="35"/>
        <v>27.258149809602468</v>
      </c>
      <c r="AL46" s="22">
        <f t="shared" si="4"/>
        <v>223.807910918391</v>
      </c>
      <c r="AM46" s="62">
        <f t="shared" si="5"/>
        <v>517.14124425172429</v>
      </c>
      <c r="AN46" s="62">
        <f ca="1">AVERAGE(OFFSET($AM$3,0,0,'Données projet'!$E$10+1,1))-AVERAGE(OFFSET($H$3,0,0,'Données projet'!$E$10+1,1))</f>
        <v>174.46631997577833</v>
      </c>
      <c r="AO46" s="62">
        <f t="shared" si="36"/>
        <v>79.07564466480153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381.96880032513235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239.00000000000006</v>
      </c>
      <c r="O47" s="14">
        <f>N47*VLOOKUP('Données projet'!$B$9,Paramètres!$A$1:$I$89,3,0)*VLOOKUP('Données projet'!$B$9,Paramètres!$A$1:$I$89,5,0)</f>
        <v>111.85200000000003</v>
      </c>
      <c r="P47" s="14">
        <f t="shared" si="33"/>
        <v>29.766905308078066</v>
      </c>
      <c r="Q47" s="22">
        <f t="shared" si="53"/>
        <v>246.65292674490271</v>
      </c>
      <c r="R47" s="62">
        <f t="shared" si="0"/>
        <v>539.986260078236</v>
      </c>
      <c r="S47" s="62">
        <f ca="1">AVERAGE(OFFSET($R$3,0,0,'Données projet'!$E$9+1,1))-AVERAGE(OFFSET($H$3,0,0,'Données projet'!$E$9+1,1))</f>
        <v>110.90259639804435</v>
      </c>
      <c r="T47" s="62">
        <f t="shared" si="34"/>
        <v>156.34514945935405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2.0572734880456598</v>
      </c>
      <c r="AA47" s="23">
        <f>EXP(-LN(2)/25)*AA46+(1-EXP(-LN(2)/25))/(LN(2)/25)*Calculateur!V47*Calculateur!X47*VLOOKUP('Données projet'!$B$9,Paramètres!$A$1:$I$89,3,0)*0.475*44/12</f>
        <v>1.8340614051784736</v>
      </c>
      <c r="AB47" s="23">
        <f>EXP(-LN(2)/2)*AB46+(1-EXP(-LN(2)/2))/(LN(2)/2)*V47*Y47*VLOOKUP('Données projet'!$B$9,Paramètres!$A$1:$I$89,3,0)*0.475*44/12</f>
        <v>0.1586937451630458</v>
      </c>
      <c r="AC47" s="24">
        <f t="shared" si="3"/>
        <v>4.0500286383871789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</v>
      </c>
      <c r="AI47" s="14">
        <f>IF('Données projet'!$A$62&gt;35,AI46+AH47-AQ46,IF(A47&lt;'Données projet'!$A$62,$AF$205^A47,IF(A47='Données projet'!$A$62,'Données projet'!$B$62,AI46+AH47-AQ46)))</f>
        <v>126</v>
      </c>
      <c r="AJ47" s="14">
        <f>AI47*VLOOKUP('Données projet'!$B$10,Paramètres!$A$1:$I$89,3,0)*VLOOKUP('Données projet'!$B$10,Paramètres!$A$1:$I$89,5,0)</f>
        <v>108.10800000000002</v>
      </c>
      <c r="AK47" s="14">
        <f t="shared" si="35"/>
        <v>28.884765499467161</v>
      </c>
      <c r="AL47" s="22">
        <f t="shared" si="4"/>
        <v>238.59573324490532</v>
      </c>
      <c r="AM47" s="62">
        <f t="shared" si="5"/>
        <v>531.92906657823869</v>
      </c>
      <c r="AN47" s="62">
        <f ca="1">AVERAGE(OFFSET($AM$3,0,0,'Données projet'!$E$10+1,1))-AVERAGE(OFFSET($H$3,0,0,'Données projet'!$E$10+1,1))</f>
        <v>174.46631997577833</v>
      </c>
      <c r="AO47" s="62">
        <f t="shared" si="36"/>
        <v>79.07564466480153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383.92848936938583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250.50000000000006</v>
      </c>
      <c r="O48" s="14">
        <f>N48*VLOOKUP('Données projet'!$B$9,Paramètres!$A$1:$I$89,3,0)*VLOOKUP('Données projet'!$B$9,Paramètres!$A$1:$I$89,5,0)</f>
        <v>117.23400000000004</v>
      </c>
      <c r="P48" s="14">
        <f t="shared" si="33"/>
        <v>31.029002261277544</v>
      </c>
      <c r="Q48" s="22">
        <f t="shared" si="53"/>
        <v>258.22472893839176</v>
      </c>
      <c r="R48" s="62">
        <f t="shared" si="0"/>
        <v>551.55806227172502</v>
      </c>
      <c r="S48" s="62">
        <f ca="1">AVERAGE(OFFSET($R$3,0,0,'Données projet'!$E$9+1,1))-AVERAGE(OFFSET($H$3,0,0,'Données projet'!$E$9+1,1))</f>
        <v>110.90259639804435</v>
      </c>
      <c r="T48" s="62">
        <f t="shared" si="34"/>
        <v>156.34514945935405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2.0169316097580094</v>
      </c>
      <c r="AA48" s="23">
        <f>EXP(-LN(2)/25)*AA47+(1-EXP(-LN(2)/25))/(LN(2)/25)*Calculateur!V48*Calculateur!X48*VLOOKUP('Données projet'!$B$9,Paramètres!$A$1:$I$89,3,0)*0.475*44/12</f>
        <v>1.7839088996047707</v>
      </c>
      <c r="AB48" s="23">
        <f>EXP(-LN(2)/2)*AB47+(1-EXP(-LN(2)/2))/(LN(2)/2)*V48*Y48*VLOOKUP('Données projet'!$B$9,Paramètres!$A$1:$I$89,3,0)*0.475*44/12</f>
        <v>0.11221342333667957</v>
      </c>
      <c r="AC48" s="24">
        <f t="shared" si="3"/>
        <v>3.91305393269946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134</v>
      </c>
      <c r="AG48" s="13">
        <f>VLOOKUP(A48,'Données projet'!$A$61:$I$81,9,0)</f>
        <v>8</v>
      </c>
      <c r="AH48" s="13">
        <f t="array" ref="AH48">INDEX(AG:AG,MIN(IF(ISNUMBER(AG48:AG244),ROW(AG48:AG244),"")))</f>
        <v>8</v>
      </c>
      <c r="AI48" s="14">
        <f>IF('Données projet'!$A$62&gt;35,AI47+AH48-AQ47,IF(A48&lt;'Données projet'!$A$62,$AF$205^A48,IF(A48='Données projet'!$A$62,'Données projet'!$B$62,AI47+AH48-AQ47)))</f>
        <v>134</v>
      </c>
      <c r="AJ48" s="14">
        <f>AI48*VLOOKUP('Données projet'!$B$10,Paramètres!$A$1:$I$89,3,0)*VLOOKUP('Données projet'!$B$10,Paramètres!$A$1:$I$89,5,0)</f>
        <v>114.97200000000001</v>
      </c>
      <c r="AK48" s="14">
        <f t="shared" si="35"/>
        <v>30.499395539367107</v>
      </c>
      <c r="AL48" s="22">
        <f t="shared" si="4"/>
        <v>253.36268056439769</v>
      </c>
      <c r="AM48" s="62">
        <f t="shared" si="5"/>
        <v>546.69601389773106</v>
      </c>
      <c r="AN48" s="62">
        <f ca="1">AVERAGE(OFFSET($AM$3,0,0,'Données projet'!$E$10+1,1))-AVERAGE(OFFSET($H$3,0,0,'Données projet'!$E$10+1,1))</f>
        <v>174.46631997577833</v>
      </c>
      <c r="AO48" s="62">
        <f t="shared" si="36"/>
        <v>79.07564466480153</v>
      </c>
      <c r="AP48" s="16">
        <f>IF(ISNA(VLOOKUP(A48,'Données projet'!$A$61:$I$81,3,0)),0,VLOOKUP(A48,'Données projet'!$A$61:$I$81,3,0))</f>
        <v>4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385.88711657752037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262.00000000000006</v>
      </c>
      <c r="O49" s="14">
        <f>N49*VLOOKUP('Données projet'!$B$9,Paramètres!$A$1:$I$89,3,0)*VLOOKUP('Données projet'!$B$9,Paramètres!$A$1:$I$89,5,0)</f>
        <v>122.61600000000003</v>
      </c>
      <c r="P49" s="14">
        <f t="shared" si="33"/>
        <v>32.284370423104164</v>
      </c>
      <c r="Q49" s="22">
        <f t="shared" si="53"/>
        <v>269.78481182023978</v>
      </c>
      <c r="R49" s="62">
        <f t="shared" si="0"/>
        <v>563.1181451535731</v>
      </c>
      <c r="S49" s="62">
        <f ca="1">AVERAGE(OFFSET($R$3,0,0,'Données projet'!$E$9+1,1))-AVERAGE(OFFSET($H$3,0,0,'Données projet'!$E$9+1,1))</f>
        <v>110.90259639804435</v>
      </c>
      <c r="T49" s="62">
        <f t="shared" si="34"/>
        <v>156.34514945935405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1.977380811097464</v>
      </c>
      <c r="AA49" s="23">
        <f>EXP(-LN(2)/25)*AA48+(1-EXP(-LN(2)/25))/(LN(2)/25)*Calculateur!V49*Calculateur!X49*VLOOKUP('Données projet'!$B$9,Paramètres!$A$1:$I$89,3,0)*0.475*44/12</f>
        <v>1.7351278169333864</v>
      </c>
      <c r="AB49" s="23">
        <f>EXP(-LN(2)/2)*AB48+(1-EXP(-LN(2)/2))/(LN(2)/2)*V49*Y49*VLOOKUP('Données projet'!$B$9,Paramètres!$A$1:$I$89,3,0)*0.475*44/12</f>
        <v>7.9346872581522912E-2</v>
      </c>
      <c r="AC49" s="24">
        <f t="shared" si="3"/>
        <v>3.7918555006123729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121.19999999999999</v>
      </c>
      <c r="AJ49" s="14">
        <f>AI49*VLOOKUP('Données projet'!$B$10,Paramètres!$A$1:$I$89,3,0)*VLOOKUP('Données projet'!$B$10,Paramètres!$A$1:$I$89,5,0)</f>
        <v>103.9896</v>
      </c>
      <c r="AK49" s="14">
        <f t="shared" si="35"/>
        <v>27.91028988913331</v>
      </c>
      <c r="AL49" s="22">
        <f t="shared" si="4"/>
        <v>229.72564155690716</v>
      </c>
      <c r="AM49" s="62">
        <f t="shared" si="5"/>
        <v>523.05897489024051</v>
      </c>
      <c r="AN49" s="62">
        <f ca="1">AVERAGE(OFFSET($AM$3,0,0,'Données projet'!$E$10+1,1))-AVERAGE(OFFSET($H$3,0,0,'Données projet'!$E$10+1,1))</f>
        <v>174.46631997577833</v>
      </c>
      <c r="AO49" s="62">
        <f t="shared" si="36"/>
        <v>79.07564466480153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387.84470769135481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273.50000000000006</v>
      </c>
      <c r="O50" s="14">
        <f>N50*VLOOKUP('Données projet'!$B$9,Paramètres!$A$1:$I$89,3,0)*VLOOKUP('Données projet'!$B$9,Paramètres!$A$1:$I$89,5,0)</f>
        <v>127.99800000000003</v>
      </c>
      <c r="P50" s="14">
        <f t="shared" si="33"/>
        <v>33.533338894635342</v>
      </c>
      <c r="Q50" s="22">
        <f t="shared" si="53"/>
        <v>281.33374857482323</v>
      </c>
      <c r="R50" s="62">
        <f t="shared" si="0"/>
        <v>574.66708190815655</v>
      </c>
      <c r="S50" s="62">
        <f ca="1">AVERAGE(OFFSET($R$3,0,0,'Données projet'!$E$9+1,1))-AVERAGE(OFFSET($H$3,0,0,'Données projet'!$E$9+1,1))</f>
        <v>110.90259639804435</v>
      </c>
      <c r="T50" s="62">
        <f t="shared" si="34"/>
        <v>156.34514945935405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1.9386055794750467</v>
      </c>
      <c r="AA50" s="23">
        <f>EXP(-LN(2)/25)*AA49+(1-EXP(-LN(2)/25))/(LN(2)/25)*Calculateur!V50*Calculateur!X50*VLOOKUP('Données projet'!$B$9,Paramètres!$A$1:$I$89,3,0)*0.475*44/12</f>
        <v>1.6876806555329367</v>
      </c>
      <c r="AB50" s="23">
        <f>EXP(-LN(2)/2)*AB49+(1-EXP(-LN(2)/2))/(LN(2)/2)*V50*Y50*VLOOKUP('Données projet'!$B$9,Paramètres!$A$1:$I$89,3,0)*0.475*44/12</f>
        <v>5.610671166833979E-2</v>
      </c>
      <c r="AC50" s="24">
        <f t="shared" si="3"/>
        <v>3.6823929466763228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129.39999999999998</v>
      </c>
      <c r="AJ50" s="14">
        <f>AI50*VLOOKUP('Données projet'!$B$10,Paramètres!$A$1:$I$89,3,0)*VLOOKUP('Données projet'!$B$10,Paramètres!$A$1:$I$89,5,0)</f>
        <v>111.02519999999998</v>
      </c>
      <c r="AK50" s="14">
        <f t="shared" si="35"/>
        <v>29.572399121141618</v>
      </c>
      <c r="AL50" s="22">
        <f t="shared" si="4"/>
        <v>244.87415180265498</v>
      </c>
      <c r="AM50" s="62">
        <f t="shared" si="5"/>
        <v>538.20748513598824</v>
      </c>
      <c r="AN50" s="62">
        <f ca="1">AVERAGE(OFFSET($AM$3,0,0,'Données projet'!$E$10+1,1))-AVERAGE(OFFSET($H$3,0,0,'Données projet'!$E$10+1,1))</f>
        <v>174.46631997577833</v>
      </c>
      <c r="AO50" s="62">
        <f t="shared" si="36"/>
        <v>79.07564466480153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389.80128729473108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285.00000000000006</v>
      </c>
      <c r="O51" s="14">
        <f>N51*VLOOKUP('Données projet'!$B$9,Paramètres!$A$1:$I$89,3,0)*VLOOKUP('Données projet'!$B$9,Paramètres!$A$1:$I$89,5,0)</f>
        <v>133.38000000000002</v>
      </c>
      <c r="P51" s="14">
        <f t="shared" si="33"/>
        <v>34.776207535548991</v>
      </c>
      <c r="Q51" s="22">
        <f t="shared" si="53"/>
        <v>292.87206145774786</v>
      </c>
      <c r="R51" s="62">
        <f t="shared" si="0"/>
        <v>586.20539479108118</v>
      </c>
      <c r="S51" s="62">
        <f ca="1">AVERAGE(OFFSET($R$3,0,0,'Données projet'!$E$9+1,1))-AVERAGE(OFFSET($H$3,0,0,'Données projet'!$E$9+1,1))</f>
        <v>110.90259639804435</v>
      </c>
      <c r="T51" s="62">
        <f t="shared" si="34"/>
        <v>156.34514945935405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1.9005907064941889</v>
      </c>
      <c r="AA51" s="23">
        <f>EXP(-LN(2)/25)*AA50+(1-EXP(-LN(2)/25))/(LN(2)/25)*Calculateur!V51*Calculateur!X51*VLOOKUP('Données projet'!$B$9,Paramètres!$A$1:$I$89,3,0)*0.475*44/12</f>
        <v>1.6415309392561201</v>
      </c>
      <c r="AB51" s="23">
        <f>EXP(-LN(2)/2)*AB50+(1-EXP(-LN(2)/2))/(LN(2)/2)*V51*Y51*VLOOKUP('Données projet'!$B$9,Paramètres!$A$1:$I$89,3,0)*0.475*44/12</f>
        <v>3.9673436290761456E-2</v>
      </c>
      <c r="AC51" s="24">
        <f t="shared" si="3"/>
        <v>3.5817950820410704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137.59999999999997</v>
      </c>
      <c r="AJ51" s="14">
        <f>AI51*VLOOKUP('Données projet'!$B$10,Paramètres!$A$1:$I$89,3,0)*VLOOKUP('Données projet'!$B$10,Paramètres!$A$1:$I$89,5,0)</f>
        <v>118.06079999999999</v>
      </c>
      <c r="AK51" s="14">
        <f t="shared" si="35"/>
        <v>31.222284778272353</v>
      </c>
      <c r="AL51" s="22">
        <f t="shared" si="4"/>
        <v>260.00137265549091</v>
      </c>
      <c r="AM51" s="62">
        <f t="shared" si="5"/>
        <v>553.33470598882423</v>
      </c>
      <c r="AN51" s="62">
        <f ca="1">AVERAGE(OFFSET($AM$3,0,0,'Données projet'!$E$10+1,1))-AVERAGE(OFFSET($H$3,0,0,'Données projet'!$E$10+1,1))</f>
        <v>174.46631997577833</v>
      </c>
      <c r="AO51" s="62">
        <f t="shared" si="36"/>
        <v>79.07564466480153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391.75687888862672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296.50000000000006</v>
      </c>
      <c r="O52" s="14">
        <f>N52*VLOOKUP('Données projet'!$B$9,Paramètres!$A$1:$I$89,3,0)*VLOOKUP('Données projet'!$B$9,Paramètres!$A$1:$I$89,5,0)</f>
        <v>138.76200000000003</v>
      </c>
      <c r="P52" s="14">
        <f t="shared" si="33"/>
        <v>36.01325063671441</v>
      </c>
      <c r="Q52" s="22">
        <f t="shared" si="53"/>
        <v>304.40022819227767</v>
      </c>
      <c r="R52" s="62">
        <f t="shared" si="0"/>
        <v>597.73356152561098</v>
      </c>
      <c r="S52" s="62">
        <f ca="1">AVERAGE(OFFSET($R$3,0,0,'Données projet'!$E$9+1,1))-AVERAGE(OFFSET($H$3,0,0,'Données projet'!$E$9+1,1))</f>
        <v>110.90259639804435</v>
      </c>
      <c r="T52" s="62">
        <f t="shared" si="34"/>
        <v>156.34514945935405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1.8633212819857028</v>
      </c>
      <c r="AA52" s="23">
        <f>EXP(-LN(2)/25)*AA51+(1-EXP(-LN(2)/25))/(LN(2)/25)*Calculateur!V52*Calculateur!X52*VLOOKUP('Données projet'!$B$9,Paramètres!$A$1:$I$89,3,0)*0.475*44/12</f>
        <v>1.5966431893978013</v>
      </c>
      <c r="AB52" s="23">
        <f>EXP(-LN(2)/2)*AB51+(1-EXP(-LN(2)/2))/(LN(2)/2)*V52*Y52*VLOOKUP('Données projet'!$B$9,Paramètres!$A$1:$I$89,3,0)*0.475*44/12</f>
        <v>2.8053355834169895E-2</v>
      </c>
      <c r="AC52" s="24">
        <f t="shared" si="3"/>
        <v>3.4880178272176741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145.79999999999995</v>
      </c>
      <c r="AJ52" s="14">
        <f>AI52*VLOOKUP('Données projet'!$B$10,Paramètres!$A$1:$I$89,3,0)*VLOOKUP('Données projet'!$B$10,Paramètres!$A$1:$I$89,5,0)</f>
        <v>125.09639999999997</v>
      </c>
      <c r="AK52" s="14">
        <f t="shared" si="35"/>
        <v>32.860758265272182</v>
      </c>
      <c r="AL52" s="22">
        <f t="shared" si="4"/>
        <v>275.10871731201564</v>
      </c>
      <c r="AM52" s="62">
        <f t="shared" si="5"/>
        <v>568.4420506453489</v>
      </c>
      <c r="AN52" s="62">
        <f ca="1">AVERAGE(OFFSET($AM$3,0,0,'Données projet'!$E$10+1,1))-AVERAGE(OFFSET($H$3,0,0,'Données projet'!$E$10+1,1))</f>
        <v>174.46631997577833</v>
      </c>
      <c r="AO52" s="62">
        <f t="shared" si="36"/>
        <v>79.07564466480153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393.71150495996233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308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308.00000000000006</v>
      </c>
      <c r="O53" s="14">
        <f>N53*VLOOKUP('Données projet'!$B$9,Paramètres!$A$1:$I$89,3,0)*VLOOKUP('Données projet'!$B$9,Paramètres!$A$1:$I$89,5,0)</f>
        <v>144.14400000000001</v>
      </c>
      <c r="P53" s="14">
        <f t="shared" si="33"/>
        <v>37.244720006976252</v>
      </c>
      <c r="Q53" s="22">
        <f t="shared" si="53"/>
        <v>315.91868734548365</v>
      </c>
      <c r="R53" s="62">
        <f t="shared" si="0"/>
        <v>609.25202067881696</v>
      </c>
      <c r="S53" s="62">
        <f ca="1">AVERAGE(OFFSET($R$3,0,0,'Données projet'!$E$9+1,1))-AVERAGE(OFFSET($H$3,0,0,'Données projet'!$E$9+1,1))</f>
        <v>110.90259639804435</v>
      </c>
      <c r="T53" s="62">
        <f t="shared" si="34"/>
        <v>156.34514945935405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77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1.8267826881597238</v>
      </c>
      <c r="AA53" s="23">
        <f>EXP(-LN(2)/25)*AA52+(1-EXP(-LN(2)/25))/(LN(2)/25)*Calculateur!V53*Calculateur!X53*VLOOKUP('Données projet'!$B$9,Paramètres!$A$1:$I$89,3,0)*0.475*44/12</f>
        <v>1.5529828974199023</v>
      </c>
      <c r="AB53" s="23">
        <f>EXP(-LN(2)/2)*AB52+(1-EXP(-LN(2)/2))/(LN(2)/2)*V53*Y53*VLOOKUP('Données projet'!$B$9,Paramètres!$A$1:$I$89,3,0)*0.475*44/12</f>
        <v>1.9836718145380728E-2</v>
      </c>
      <c r="AC53" s="24">
        <f t="shared" si="3"/>
        <v>3.3996023037250067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154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153.99999999999994</v>
      </c>
      <c r="AJ53" s="14">
        <f>AI53*VLOOKUP('Données projet'!$B$10,Paramètres!$A$1:$I$89,3,0)*VLOOKUP('Données projet'!$B$10,Paramètres!$A$1:$I$89,5,0)</f>
        <v>132.13199999999998</v>
      </c>
      <c r="AK53" s="14">
        <f t="shared" si="35"/>
        <v>34.488534562859115</v>
      </c>
      <c r="AL53" s="22">
        <f t="shared" si="4"/>
        <v>290.19743103031288</v>
      </c>
      <c r="AM53" s="62">
        <f t="shared" si="5"/>
        <v>583.5307643636462</v>
      </c>
      <c r="AN53" s="62">
        <f ca="1">AVERAGE(OFFSET($AM$3,0,0,'Données projet'!$E$10+1,1))-AVERAGE(OFFSET($H$3,0,0,'Données projet'!$E$10+1,1))</f>
        <v>174.46631997577833</v>
      </c>
      <c r="AO53" s="62">
        <f t="shared" si="36"/>
        <v>79.07564466480153</v>
      </c>
      <c r="AP53" s="16">
        <f>IF(ISNA(VLOOKUP(A53,'Données projet'!$A$61:$I$81,3,0)),0,VLOOKUP(A53,'Données projet'!$A$61:$I$81,3,0))</f>
        <v>5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395.66518704474902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244.50000000000006</v>
      </c>
      <c r="O54" s="14">
        <f>N54*VLOOKUP('Données projet'!$B$9,Paramètres!$A$1:$I$89,3,0)*VLOOKUP('Données projet'!$B$9,Paramètres!$A$1:$I$89,5,0)</f>
        <v>114.42600000000002</v>
      </c>
      <c r="P54" s="14">
        <f t="shared" si="33"/>
        <v>30.371378515374175</v>
      </c>
      <c r="Q54" s="22">
        <f t="shared" si="53"/>
        <v>252.18876758094336</v>
      </c>
      <c r="R54" s="62">
        <f t="shared" si="0"/>
        <v>545.52210091427673</v>
      </c>
      <c r="S54" s="62">
        <f ca="1">AVERAGE(OFFSET($R$3,0,0,'Données projet'!$E$9+1,1))-AVERAGE(OFFSET($H$3,0,0,'Données projet'!$E$9+1,1))</f>
        <v>110.90259639804435</v>
      </c>
      <c r="T54" s="62">
        <f t="shared" si="34"/>
        <v>156.34514945935405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1.7909605938723305</v>
      </c>
      <c r="AA54" s="23">
        <f>EXP(-LN(2)/25)*AA53+(1-EXP(-LN(2)/25))/(LN(2)/25)*Calculateur!V54*Calculateur!X54*VLOOKUP('Données projet'!$B$9,Paramètres!$A$1:$I$89,3,0)*0.475*44/12</f>
        <v>1.5105164984221338</v>
      </c>
      <c r="AB54" s="23">
        <f>EXP(-LN(2)/2)*AB53+(1-EXP(-LN(2)/2))/(LN(2)/2)*V54*Y54*VLOOKUP('Données projet'!$B$9,Paramètres!$A$1:$I$89,3,0)*0.475*44/12</f>
        <v>1.4026677917084947E-2</v>
      </c>
      <c r="AC54" s="24">
        <f t="shared" si="3"/>
        <v>3.3155037702115493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8.6</v>
      </c>
      <c r="AI54" s="14">
        <f>IF('Données projet'!$A$62&gt;35,AI53+AH54-AQ53,IF(A54&lt;'Données projet'!$A$62,$AF$205^A54,IF(A54='Données projet'!$A$62,'Données projet'!$B$62,AI53+AH54-AQ53)))</f>
        <v>141.59999999999994</v>
      </c>
      <c r="AJ54" s="14">
        <f>AI54*VLOOKUP('Données projet'!$B$10,Paramètres!$A$1:$I$89,3,0)*VLOOKUP('Données projet'!$B$10,Paramètres!$A$1:$I$89,5,0)</f>
        <v>121.49279999999995</v>
      </c>
      <c r="AK54" s="14">
        <f t="shared" si="35"/>
        <v>32.022919460248382</v>
      </c>
      <c r="AL54" s="22">
        <f t="shared" si="4"/>
        <v>267.37321139326588</v>
      </c>
      <c r="AM54" s="62">
        <f t="shared" si="5"/>
        <v>560.70654472659919</v>
      </c>
      <c r="AN54" s="62">
        <f ca="1">AVERAGE(OFFSET($AM$3,0,0,'Données projet'!$E$10+1,1))-AVERAGE(OFFSET($H$3,0,0,'Données projet'!$E$10+1,1))</f>
        <v>174.46631997577833</v>
      </c>
      <c r="AO54" s="62">
        <f t="shared" si="36"/>
        <v>79.07564466480153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397.61794578614325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258.00000000000006</v>
      </c>
      <c r="O55" s="14">
        <f>N55*VLOOKUP('Données projet'!$B$9,Paramètres!$A$1:$I$89,3,0)*VLOOKUP('Données projet'!$B$9,Paramètres!$A$1:$I$89,5,0)</f>
        <v>120.74400000000003</v>
      </c>
      <c r="P55" s="14">
        <f t="shared" si="33"/>
        <v>31.848462605207835</v>
      </c>
      <c r="Q55" s="22">
        <f t="shared" si="53"/>
        <v>265.76520570407035</v>
      </c>
      <c r="R55" s="62">
        <f t="shared" si="0"/>
        <v>559.09853903740373</v>
      </c>
      <c r="S55" s="62">
        <f ca="1">AVERAGE(OFFSET($R$3,0,0,'Données projet'!$E$9+1,1))-AVERAGE(OFFSET($H$3,0,0,'Données projet'!$E$9+1,1))</f>
        <v>110.90259639804435</v>
      </c>
      <c r="T55" s="62">
        <f t="shared" si="34"/>
        <v>156.34514945935405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1.755840949004593</v>
      </c>
      <c r="AA55" s="23">
        <f>EXP(-LN(2)/25)*AA54+(1-EXP(-LN(2)/25))/(LN(2)/25)*Calculateur!V55*Calculateur!X55*VLOOKUP('Données projet'!$B$9,Paramètres!$A$1:$I$89,3,0)*0.475*44/12</f>
        <v>1.4692113453381701</v>
      </c>
      <c r="AB55" s="23">
        <f>EXP(-LN(2)/2)*AB54+(1-EXP(-LN(2)/2))/(LN(2)/2)*V55*Y55*VLOOKUP('Données projet'!$B$9,Paramètres!$A$1:$I$89,3,0)*0.475*44/12</f>
        <v>9.918359072690364E-3</v>
      </c>
      <c r="AC55" s="24">
        <f t="shared" si="3"/>
        <v>3.2349706534154539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8.6</v>
      </c>
      <c r="AI55" s="14">
        <f>IF('Données projet'!$A$62&gt;35,AI54+AH55-AQ54,IF(A55&lt;'Données projet'!$A$62,$AF$205^A55,IF(A55='Données projet'!$A$62,'Données projet'!$B$62,AI54+AH55-AQ54)))</f>
        <v>150.19999999999993</v>
      </c>
      <c r="AJ55" s="14">
        <f>AI55*VLOOKUP('Données projet'!$B$10,Paramètres!$A$1:$I$89,3,0)*VLOOKUP('Données projet'!$B$10,Paramètres!$A$1:$I$89,5,0)</f>
        <v>128.87159999999997</v>
      </c>
      <c r="AK55" s="14">
        <f t="shared" si="35"/>
        <v>33.735487075909091</v>
      </c>
      <c r="AL55" s="22">
        <f t="shared" si="4"/>
        <v>283.20734332387497</v>
      </c>
      <c r="AM55" s="62">
        <f t="shared" si="5"/>
        <v>576.54067665720822</v>
      </c>
      <c r="AN55" s="62">
        <f ca="1">AVERAGE(OFFSET($AM$3,0,0,'Données projet'!$E$10+1,1))-AVERAGE(OFFSET($H$3,0,0,'Données projet'!$E$10+1,1))</f>
        <v>174.46631997577833</v>
      </c>
      <c r="AO55" s="62">
        <f t="shared" si="36"/>
        <v>79.07564466480153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399.56980098790956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271.50000000000006</v>
      </c>
      <c r="O56" s="14">
        <f>N56*VLOOKUP('Données projet'!$B$9,Paramètres!$A$1:$I$89,3,0)*VLOOKUP('Données projet'!$B$9,Paramètres!$A$1:$I$89,5,0)</f>
        <v>127.06200000000004</v>
      </c>
      <c r="P56" s="14">
        <f t="shared" si="33"/>
        <v>33.316573241426198</v>
      </c>
      <c r="Q56" s="22">
        <f t="shared" si="53"/>
        <v>279.3260150621507</v>
      </c>
      <c r="R56" s="62">
        <f t="shared" si="0"/>
        <v>572.65934839548402</v>
      </c>
      <c r="S56" s="62">
        <f ca="1">AVERAGE(OFFSET($R$3,0,0,'Données projet'!$E$9+1,1))-AVERAGE(OFFSET($H$3,0,0,'Données projet'!$E$9+1,1))</f>
        <v>110.90259639804435</v>
      </c>
      <c r="T56" s="62">
        <f t="shared" si="34"/>
        <v>156.34514945935405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1.7214099789518436</v>
      </c>
      <c r="AA56" s="23">
        <f>EXP(-LN(2)/25)*AA55+(1-EXP(-LN(2)/25))/(LN(2)/25)*Calculateur!V56*Calculateur!X56*VLOOKUP('Données projet'!$B$9,Paramètres!$A$1:$I$89,3,0)*0.475*44/12</f>
        <v>1.4290356838374312</v>
      </c>
      <c r="AB56" s="23">
        <f>EXP(-LN(2)/2)*AB55+(1-EXP(-LN(2)/2))/(LN(2)/2)*V56*Y56*VLOOKUP('Données projet'!$B$9,Paramètres!$A$1:$I$89,3,0)*0.475*44/12</f>
        <v>7.0133389585424737E-3</v>
      </c>
      <c r="AC56" s="24">
        <f t="shared" si="3"/>
        <v>3.1574590017478168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8.6</v>
      </c>
      <c r="AI56" s="14">
        <f>IF('Données projet'!$A$62&gt;35,AI55+AH56-AQ55,IF(A56&lt;'Données projet'!$A$62,$AF$205^A56,IF(A56='Données projet'!$A$62,'Données projet'!$B$62,AI55+AH56-AQ55)))</f>
        <v>158.79999999999993</v>
      </c>
      <c r="AJ56" s="14">
        <f>AI56*VLOOKUP('Données projet'!$B$10,Paramètres!$A$1:$I$89,3,0)*VLOOKUP('Données projet'!$B$10,Paramètres!$A$1:$I$89,5,0)</f>
        <v>136.25039999999996</v>
      </c>
      <c r="AK56" s="14">
        <f t="shared" si="35"/>
        <v>35.436672304560737</v>
      </c>
      <c r="AL56" s="22">
        <f t="shared" si="4"/>
        <v>299.02165093044317</v>
      </c>
      <c r="AM56" s="62">
        <f t="shared" si="5"/>
        <v>592.35498426377649</v>
      </c>
      <c r="AN56" s="62">
        <f ca="1">AVERAGE(OFFSET($AM$3,0,0,'Données projet'!$E$10+1,1))-AVERAGE(OFFSET($H$3,0,0,'Données projet'!$E$10+1,1))</f>
        <v>174.46631997577833</v>
      </c>
      <c r="AO56" s="62">
        <f t="shared" si="36"/>
        <v>79.07564466480153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401.52077166373437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285.00000000000006</v>
      </c>
      <c r="O57" s="14">
        <f>N57*VLOOKUP('Données projet'!$B$9,Paramètres!$A$1:$I$89,3,0)*VLOOKUP('Données projet'!$B$9,Paramètres!$A$1:$I$89,5,0)</f>
        <v>133.38000000000002</v>
      </c>
      <c r="P57" s="14">
        <f t="shared" si="33"/>
        <v>34.776207535548991</v>
      </c>
      <c r="Q57" s="22">
        <f t="shared" si="53"/>
        <v>292.87206145774786</v>
      </c>
      <c r="R57" s="62">
        <f t="shared" si="0"/>
        <v>586.20539479108118</v>
      </c>
      <c r="S57" s="62">
        <f ca="1">AVERAGE(OFFSET($R$3,0,0,'Données projet'!$E$9+1,1))-AVERAGE(OFFSET($H$3,0,0,'Données projet'!$E$9+1,1))</f>
        <v>110.90259639804435</v>
      </c>
      <c r="T57" s="62">
        <f t="shared" si="34"/>
        <v>156.34514945935405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1.6876541792210105</v>
      </c>
      <c r="AA57" s="23">
        <f>EXP(-LN(2)/25)*AA56+(1-EXP(-LN(2)/25))/(LN(2)/25)*Calculateur!V57*Calculateur!X57*VLOOKUP('Données projet'!$B$9,Paramètres!$A$1:$I$89,3,0)*0.475*44/12</f>
        <v>1.3899586279131761</v>
      </c>
      <c r="AB57" s="23">
        <f>EXP(-LN(2)/2)*AB56+(1-EXP(-LN(2)/2))/(LN(2)/2)*V57*Y57*VLOOKUP('Données projet'!$B$9,Paramètres!$A$1:$I$89,3,0)*0.475*44/12</f>
        <v>4.959179536345182E-3</v>
      </c>
      <c r="AC57" s="24">
        <f t="shared" si="3"/>
        <v>3.0825719866705317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8.6</v>
      </c>
      <c r="AI57" s="14">
        <f>IF('Données projet'!$A$62&gt;35,AI56+AH57-AQ56,IF(A57&lt;'Données projet'!$A$62,$AF$205^A57,IF(A57='Données projet'!$A$62,'Données projet'!$B$62,AI56+AH57-AQ56)))</f>
        <v>167.39999999999992</v>
      </c>
      <c r="AJ57" s="14">
        <f>AI57*VLOOKUP('Données projet'!$B$10,Paramètres!$A$1:$I$89,3,0)*VLOOKUP('Données projet'!$B$10,Paramètres!$A$1:$I$89,5,0)</f>
        <v>143.62919999999994</v>
      </c>
      <c r="AK57" s="14">
        <f t="shared" si="35"/>
        <v>37.127161849234348</v>
      </c>
      <c r="AL57" s="22">
        <f t="shared" si="4"/>
        <v>314.81733022074968</v>
      </c>
      <c r="AM57" s="62">
        <f t="shared" si="5"/>
        <v>608.15066355408294</v>
      </c>
      <c r="AN57" s="62">
        <f ca="1">AVERAGE(OFFSET($AM$3,0,0,'Données projet'!$E$10+1,1))-AVERAGE(OFFSET($H$3,0,0,'Données projet'!$E$10+1,1))</f>
        <v>174.46631997577833</v>
      </c>
      <c r="AO57" s="62">
        <f t="shared" si="36"/>
        <v>79.07564466480153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403.47087608278355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298.50000000000006</v>
      </c>
      <c r="O58" s="14">
        <f>N58*VLOOKUP('Données projet'!$B$9,Paramètres!$A$1:$I$89,3,0)*VLOOKUP('Données projet'!$B$9,Paramètres!$A$1:$I$89,5,0)</f>
        <v>139.69800000000004</v>
      </c>
      <c r="P58" s="14">
        <f t="shared" si="33"/>
        <v>36.227812843101411</v>
      </c>
      <c r="Q58" s="22">
        <f t="shared" si="53"/>
        <v>306.40412403506838</v>
      </c>
      <c r="R58" s="62">
        <f t="shared" si="0"/>
        <v>599.73745736840169</v>
      </c>
      <c r="S58" s="62">
        <f ca="1">AVERAGE(OFFSET($R$3,0,0,'Données projet'!$E$9+1,1))-AVERAGE(OFFSET($H$3,0,0,'Données projet'!$E$9+1,1))</f>
        <v>110.90259639804435</v>
      </c>
      <c r="T58" s="62">
        <f t="shared" si="34"/>
        <v>156.34514945935405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1.6545603101338942</v>
      </c>
      <c r="AA58" s="23">
        <f>EXP(-LN(2)/25)*AA57+(1-EXP(-LN(2)/25))/(LN(2)/25)*Calculateur!V58*Calculateur!X58*VLOOKUP('Données projet'!$B$9,Paramètres!$A$1:$I$89,3,0)*0.475*44/12</f>
        <v>1.351950136138143</v>
      </c>
      <c r="AB58" s="23">
        <f>EXP(-LN(2)/2)*AB57+(1-EXP(-LN(2)/2))/(LN(2)/2)*V58*Y58*VLOOKUP('Données projet'!$B$9,Paramètres!$A$1:$I$89,3,0)*0.475*44/12</f>
        <v>3.5066694792712369E-3</v>
      </c>
      <c r="AC58" s="24">
        <f t="shared" si="3"/>
        <v>3.0100171157513085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176</v>
      </c>
      <c r="AG58" s="13">
        <f>VLOOKUP(A58,'Données projet'!$A$61:$I$81,9,0)</f>
        <v>8.6</v>
      </c>
      <c r="AH58" s="13">
        <f t="array" ref="AH58">INDEX(AG:AG,MIN(IF(ISNUMBER(AG58:AG254),ROW(AG58:AG254),"")))</f>
        <v>8.6</v>
      </c>
      <c r="AI58" s="14">
        <f>IF('Données projet'!$A$62&gt;35,AI57+AH58-AQ57,IF(A58&lt;'Données projet'!$A$62,$AF$205^A58,IF(A58='Données projet'!$A$62,'Données projet'!$B$62,AI57+AH58-AQ57)))</f>
        <v>175.99999999999991</v>
      </c>
      <c r="AJ58" s="14">
        <f>AI58*VLOOKUP('Données projet'!$B$10,Paramètres!$A$1:$I$89,3,0)*VLOOKUP('Données projet'!$B$10,Paramètres!$A$1:$I$89,5,0)</f>
        <v>151.00799999999992</v>
      </c>
      <c r="AK58" s="14">
        <f t="shared" si="35"/>
        <v>38.807567870348514</v>
      </c>
      <c r="AL58" s="22">
        <f t="shared" si="4"/>
        <v>330.5954473741902</v>
      </c>
      <c r="AM58" s="62">
        <f t="shared" si="5"/>
        <v>623.92878070752352</v>
      </c>
      <c r="AN58" s="62">
        <f ca="1">AVERAGE(OFFSET($AM$3,0,0,'Données projet'!$E$10+1,1))-AVERAGE(OFFSET($H$3,0,0,'Données projet'!$E$10+1,1))</f>
        <v>174.46631997577833</v>
      </c>
      <c r="AO58" s="62">
        <f t="shared" si="36"/>
        <v>79.07564466480153</v>
      </c>
      <c r="AP58" s="16">
        <f>IF(ISNA(VLOOKUP(A58,'Données projet'!$A$61:$I$81,3,0)),0,VLOOKUP(A58,'Données projet'!$A$61:$I$81,3,0))</f>
        <v>6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405.42013181185314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312.00000000000006</v>
      </c>
      <c r="O59" s="14">
        <f>N59*VLOOKUP('Données projet'!$B$9,Paramètres!$A$1:$I$89,3,0)*VLOOKUP('Données projet'!$B$9,Paramètres!$A$1:$I$89,5,0)</f>
        <v>146.01600000000002</v>
      </c>
      <c r="P59" s="14">
        <f t="shared" si="33"/>
        <v>37.671793767891103</v>
      </c>
      <c r="Q59" s="22">
        <f t="shared" si="53"/>
        <v>319.92290747907703</v>
      </c>
      <c r="R59" s="62">
        <f t="shared" si="0"/>
        <v>613.2562408124104</v>
      </c>
      <c r="S59" s="62">
        <f ca="1">AVERAGE(OFFSET($R$3,0,0,'Données projet'!$E$9+1,1))-AVERAGE(OFFSET($H$3,0,0,'Données projet'!$E$9+1,1))</f>
        <v>110.90259639804435</v>
      </c>
      <c r="T59" s="62">
        <f t="shared" si="34"/>
        <v>156.34514945935405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1.6221153916343092</v>
      </c>
      <c r="AA59" s="23">
        <f>EXP(-LN(2)/25)*AA58+(1-EXP(-LN(2)/25))/(LN(2)/25)*Calculateur!V59*Calculateur!X59*VLOOKUP('Données projet'!$B$9,Paramètres!$A$1:$I$89,3,0)*0.475*44/12</f>
        <v>1.3149809885694776</v>
      </c>
      <c r="AB59" s="23">
        <f>EXP(-LN(2)/2)*AB58+(1-EXP(-LN(2)/2))/(LN(2)/2)*V59*Y59*VLOOKUP('Données projet'!$B$9,Paramètres!$A$1:$I$89,3,0)*0.475*44/12</f>
        <v>2.479589768172591E-3</v>
      </c>
      <c r="AC59" s="24">
        <f t="shared" si="3"/>
        <v>2.9395759699719597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8.4</v>
      </c>
      <c r="AI59" s="14">
        <f>IF('Données projet'!$A$62&gt;35,AI58+AH59-AQ58,IF(A59&lt;'Données projet'!$A$62,$AF$205^A59,IF(A59='Données projet'!$A$62,'Données projet'!$B$62,AI58+AH59-AQ58)))</f>
        <v>163.39999999999992</v>
      </c>
      <c r="AJ59" s="14">
        <f>AI59*VLOOKUP('Données projet'!$B$10,Paramètres!$A$1:$I$89,3,0)*VLOOKUP('Données projet'!$B$10,Paramètres!$A$1:$I$89,5,0)</f>
        <v>140.19719999999995</v>
      </c>
      <c r="AK59" s="14">
        <f t="shared" si="35"/>
        <v>36.34217754431797</v>
      </c>
      <c r="AL59" s="22">
        <f t="shared" si="4"/>
        <v>307.47274922302034</v>
      </c>
      <c r="AM59" s="62">
        <f t="shared" si="5"/>
        <v>600.80608255635366</v>
      </c>
      <c r="AN59" s="62">
        <f ca="1">AVERAGE(OFFSET($AM$3,0,0,'Données projet'!$E$10+1,1))-AVERAGE(OFFSET($H$3,0,0,'Données projet'!$E$10+1,1))</f>
        <v>174.46631997577833</v>
      </c>
      <c r="AO59" s="62">
        <f t="shared" si="36"/>
        <v>79.07564466480153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407.3685557544236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325.50000000000006</v>
      </c>
      <c r="O60" s="14">
        <f>N60*VLOOKUP('Données projet'!$B$9,Paramètres!$A$1:$I$89,3,0)*VLOOKUP('Données projet'!$B$9,Paramètres!$A$1:$I$89,5,0)</f>
        <v>152.33400000000003</v>
      </c>
      <c r="P60" s="14">
        <f t="shared" si="33"/>
        <v>39.108517919805784</v>
      </c>
      <c r="Q60" s="22">
        <f t="shared" si="53"/>
        <v>333.42905204366178</v>
      </c>
      <c r="R60" s="62">
        <f t="shared" si="0"/>
        <v>626.7623853769951</v>
      </c>
      <c r="S60" s="62">
        <f ca="1">AVERAGE(OFFSET($R$3,0,0,'Données projet'!$E$9+1,1))-AVERAGE(OFFSET($H$3,0,0,'Données projet'!$E$9+1,1))</f>
        <v>110.90259639804435</v>
      </c>
      <c r="T60" s="62">
        <f t="shared" si="34"/>
        <v>156.34514945935405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1.5903066981970548</v>
      </c>
      <c r="AA60" s="23">
        <f>EXP(-LN(2)/25)*AA59+(1-EXP(-LN(2)/25))/(LN(2)/25)*Calculateur!V60*Calculateur!X60*VLOOKUP('Données projet'!$B$9,Paramètres!$A$1:$I$89,3,0)*0.475*44/12</f>
        <v>1.2790227642852006</v>
      </c>
      <c r="AB60" s="23">
        <f>EXP(-LN(2)/2)*AB59+(1-EXP(-LN(2)/2))/(LN(2)/2)*V60*Y60*VLOOKUP('Données projet'!$B$9,Paramètres!$A$1:$I$89,3,0)*0.475*44/12</f>
        <v>1.7533347396356184E-3</v>
      </c>
      <c r="AC60" s="24">
        <f t="shared" si="3"/>
        <v>2.8710827972218911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8.4</v>
      </c>
      <c r="AI60" s="14">
        <f>IF('Données projet'!$A$62&gt;35,AI59+AH60-AQ59,IF(A60&lt;'Données projet'!$A$62,$AF$205^A60,IF(A60='Données projet'!$A$62,'Données projet'!$B$62,AI59+AH60-AQ59)))</f>
        <v>171.79999999999993</v>
      </c>
      <c r="AJ60" s="14">
        <f>AI60*VLOOKUP('Données projet'!$B$10,Paramètres!$A$1:$I$89,3,0)*VLOOKUP('Données projet'!$B$10,Paramètres!$A$1:$I$89,5,0)</f>
        <v>147.40439999999995</v>
      </c>
      <c r="AK60" s="14">
        <f t="shared" si="35"/>
        <v>37.988128303043979</v>
      </c>
      <c r="AL60" s="22">
        <f t="shared" si="4"/>
        <v>322.89198679446821</v>
      </c>
      <c r="AM60" s="62">
        <f t="shared" si="5"/>
        <v>616.22532012780152</v>
      </c>
      <c r="AN60" s="62">
        <f ca="1">AVERAGE(OFFSET($AM$3,0,0,'Données projet'!$E$10+1,1))-AVERAGE(OFFSET($H$3,0,0,'Données projet'!$E$10+1,1))</f>
        <v>174.46631997577833</v>
      </c>
      <c r="AO60" s="62">
        <f t="shared" si="36"/>
        <v>79.07564466480153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409.31616418689623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339.00000000000006</v>
      </c>
      <c r="O61" s="14">
        <f>N61*VLOOKUP('Données projet'!$B$9,Paramètres!$A$1:$I$89,3,0)*VLOOKUP('Données projet'!$B$9,Paramètres!$A$1:$I$89,5,0)</f>
        <v>158.65200000000004</v>
      </c>
      <c r="P61" s="14">
        <f t="shared" si="33"/>
        <v>40.538320690487296</v>
      </c>
      <c r="Q61" s="22">
        <f t="shared" si="53"/>
        <v>346.92314186926546</v>
      </c>
      <c r="R61" s="62">
        <f t="shared" si="0"/>
        <v>640.25647520259872</v>
      </c>
      <c r="S61" s="62">
        <f ca="1">AVERAGE(OFFSET($R$3,0,0,'Données projet'!$E$9+1,1))-AVERAGE(OFFSET($H$3,0,0,'Données projet'!$E$9+1,1))</f>
        <v>110.90259639804435</v>
      </c>
      <c r="T61" s="62">
        <f t="shared" si="34"/>
        <v>156.34514945935405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1.5591217538367177</v>
      </c>
      <c r="AA61" s="23">
        <f>EXP(-LN(2)/25)*AA60+(1-EXP(-LN(2)/25))/(LN(2)/25)*Calculateur!V61*Calculateur!X61*VLOOKUP('Données projet'!$B$9,Paramètres!$A$1:$I$89,3,0)*0.475*44/12</f>
        <v>1.2440478195349378</v>
      </c>
      <c r="AB61" s="23">
        <f>EXP(-LN(2)/2)*AB60+(1-EXP(-LN(2)/2))/(LN(2)/2)*V61*Y61*VLOOKUP('Données projet'!$B$9,Paramètres!$A$1:$I$89,3,0)*0.475*44/12</f>
        <v>1.2397948840862955E-3</v>
      </c>
      <c r="AC61" s="24">
        <f t="shared" si="3"/>
        <v>2.8044093682557416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8.4</v>
      </c>
      <c r="AI61" s="14">
        <f>IF('Données projet'!$A$62&gt;35,AI60+AH61-AQ60,IF(A61&lt;'Données projet'!$A$62,$AF$205^A61,IF(A61='Données projet'!$A$62,'Données projet'!$B$62,AI60+AH61-AQ60)))</f>
        <v>180.19999999999993</v>
      </c>
      <c r="AJ61" s="14">
        <f>AI61*VLOOKUP('Données projet'!$B$10,Paramètres!$A$1:$I$89,3,0)*VLOOKUP('Données projet'!$B$10,Paramètres!$A$1:$I$89,5,0)</f>
        <v>154.61159999999995</v>
      </c>
      <c r="AK61" s="14">
        <f t="shared" si="35"/>
        <v>39.624734188365849</v>
      </c>
      <c r="AL61" s="22">
        <f t="shared" si="4"/>
        <v>338.29494871140372</v>
      </c>
      <c r="AM61" s="62">
        <f t="shared" si="5"/>
        <v>631.62828204473703</v>
      </c>
      <c r="AN61" s="62">
        <f ca="1">AVERAGE(OFFSET($AM$3,0,0,'Données projet'!$E$10+1,1))-AVERAGE(OFFSET($H$3,0,0,'Données projet'!$E$10+1,1))</f>
        <v>174.46631997577833</v>
      </c>
      <c r="AO61" s="62">
        <f t="shared" si="36"/>
        <v>79.07564466480153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411.26297279225986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352.50000000000006</v>
      </c>
      <c r="O62" s="14">
        <f>N62*VLOOKUP('Données projet'!$B$9,Paramètres!$A$1:$I$89,3,0)*VLOOKUP('Données projet'!$B$9,Paramètres!$A$1:$I$89,5,0)</f>
        <v>164.97000000000003</v>
      </c>
      <c r="P62" s="14">
        <f t="shared" si="33"/>
        <v>41.961509246867301</v>
      </c>
      <c r="Q62" s="22">
        <f t="shared" si="53"/>
        <v>360.40571193829396</v>
      </c>
      <c r="R62" s="62">
        <f t="shared" si="0"/>
        <v>653.73904527162722</v>
      </c>
      <c r="S62" s="62">
        <f ca="1">AVERAGE(OFFSET($R$3,0,0,'Données projet'!$E$9+1,1))-AVERAGE(OFFSET($H$3,0,0,'Données projet'!$E$9+1,1))</f>
        <v>110.90259639804435</v>
      </c>
      <c r="T62" s="62">
        <f t="shared" si="34"/>
        <v>156.34514945935405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1.528548327214349</v>
      </c>
      <c r="AA62" s="23">
        <f>EXP(-LN(2)/25)*AA61+(1-EXP(-LN(2)/25))/(LN(2)/25)*Calculateur!V62*Calculateur!X62*VLOOKUP('Données projet'!$B$9,Paramètres!$A$1:$I$89,3,0)*0.475*44/12</f>
        <v>1.2100292664881234</v>
      </c>
      <c r="AB62" s="23">
        <f>EXP(-LN(2)/2)*AB61+(1-EXP(-LN(2)/2))/(LN(2)/2)*V62*Y62*VLOOKUP('Données projet'!$B$9,Paramètres!$A$1:$I$89,3,0)*0.475*44/12</f>
        <v>8.7666736981780922E-4</v>
      </c>
      <c r="AC62" s="24">
        <f t="shared" si="3"/>
        <v>2.7394542610722903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8.4</v>
      </c>
      <c r="AI62" s="14">
        <f>IF('Données projet'!$A$62&gt;35,AI61+AH62-AQ61,IF(A62&lt;'Données projet'!$A$62,$AF$205^A62,IF(A62='Données projet'!$A$62,'Données projet'!$B$62,AI61+AH62-AQ61)))</f>
        <v>188.59999999999994</v>
      </c>
      <c r="AJ62" s="14">
        <f>AI62*VLOOKUP('Données projet'!$B$10,Paramètres!$A$1:$I$89,3,0)*VLOOKUP('Données projet'!$B$10,Paramètres!$A$1:$I$89,5,0)</f>
        <v>161.81879999999995</v>
      </c>
      <c r="AK62" s="14">
        <f t="shared" si="35"/>
        <v>41.252480557795202</v>
      </c>
      <c r="AL62" s="22">
        <f t="shared" si="4"/>
        <v>353.68248030482658</v>
      </c>
      <c r="AM62" s="62">
        <f t="shared" si="5"/>
        <v>647.0158136381599</v>
      </c>
      <c r="AN62" s="62">
        <f ca="1">AVERAGE(OFFSET($AM$3,0,0,'Données projet'!$E$10+1,1))-AVERAGE(OFFSET($H$3,0,0,'Données projet'!$E$10+1,1))</f>
        <v>174.46631997577833</v>
      </c>
      <c r="AO62" s="62">
        <f t="shared" si="36"/>
        <v>79.07564466480153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413.20899669140988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366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366.00000000000006</v>
      </c>
      <c r="O63" s="14">
        <f>N63*VLOOKUP('Données projet'!$B$9,Paramètres!$A$1:$I$89,3,0)*VLOOKUP('Données projet'!$B$9,Paramètres!$A$1:$I$89,5,0)</f>
        <v>171.28800000000004</v>
      </c>
      <c r="P63" s="14">
        <f t="shared" si="33"/>
        <v>43.37836589572138</v>
      </c>
      <c r="Q63" s="22">
        <f t="shared" si="53"/>
        <v>373.87725393504815</v>
      </c>
      <c r="R63" s="62">
        <f t="shared" si="0"/>
        <v>667.21058726838146</v>
      </c>
      <c r="S63" s="62">
        <f ca="1">AVERAGE(OFFSET($R$3,0,0,'Données projet'!$E$9+1,1))-AVERAGE(OFFSET($H$3,0,0,'Données projet'!$E$9+1,1))</f>
        <v>110.90259639804435</v>
      </c>
      <c r="T63" s="62">
        <f t="shared" si="34"/>
        <v>156.34514945935405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366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1.498574426840096</v>
      </c>
      <c r="AA63" s="23">
        <f>EXP(-LN(2)/25)*AA62+(1-EXP(-LN(2)/25))/(LN(2)/25)*Calculateur!V63*Calculateur!X63*VLOOKUP('Données projet'!$B$9,Paramètres!$A$1:$I$89,3,0)*0.475*44/12</f>
        <v>1.1769409525633321</v>
      </c>
      <c r="AB63" s="23">
        <f>EXP(-LN(2)/2)*AB62+(1-EXP(-LN(2)/2))/(LN(2)/2)*V63*Y63*VLOOKUP('Données projet'!$B$9,Paramètres!$A$1:$I$89,3,0)*0.475*44/12</f>
        <v>6.1989744204314775E-4</v>
      </c>
      <c r="AC63" s="24">
        <f t="shared" si="3"/>
        <v>2.6761352768454714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197</v>
      </c>
      <c r="AG63" s="13">
        <f>VLOOKUP(A63,'Données projet'!$A$61:$I$81,9,0)</f>
        <v>8.4</v>
      </c>
      <c r="AH63" s="13">
        <f t="array" ref="AH63">INDEX(AG:AG,MIN(IF(ISNUMBER(AG63:AG259),ROW(AG63:AG259),"")))</f>
        <v>8.4</v>
      </c>
      <c r="AI63" s="14">
        <f>IF('Données projet'!$A$62&gt;35,AI62+AH63-AQ62,IF(A63&lt;'Données projet'!$A$62,$AF$205^A63,IF(A63='Données projet'!$A$62,'Données projet'!$B$62,AI62+AH63-AQ62)))</f>
        <v>196.99999999999994</v>
      </c>
      <c r="AJ63" s="14">
        <f>AI63*VLOOKUP('Données projet'!$B$10,Paramètres!$A$1:$I$89,3,0)*VLOOKUP('Données projet'!$B$10,Paramètres!$A$1:$I$89,5,0)</f>
        <v>169.02599999999998</v>
      </c>
      <c r="AK63" s="14">
        <f t="shared" si="35"/>
        <v>42.871807090122402</v>
      </c>
      <c r="AL63" s="22">
        <f t="shared" si="4"/>
        <v>369.05534734862982</v>
      </c>
      <c r="AM63" s="62">
        <f t="shared" si="5"/>
        <v>662.38868068196314</v>
      </c>
      <c r="AN63" s="62">
        <f ca="1">AVERAGE(OFFSET($AM$3,0,0,'Données projet'!$E$10+1,1))-AVERAGE(OFFSET($H$3,0,0,'Données projet'!$E$10+1,1))</f>
        <v>174.46631997577833</v>
      </c>
      <c r="AO63" s="62">
        <f t="shared" si="36"/>
        <v>79.07564466480153</v>
      </c>
      <c r="AP63" s="16">
        <f>IF(ISNA(VLOOKUP(A63,'Données projet'!$A$61:$I$81,3,0)),0,VLOOKUP(A63,'Données projet'!$A$61:$I$81,3,0))</f>
        <v>7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415.15425047232054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2.6602720026858149E-14</v>
      </c>
      <c r="P64" s="14">
        <f t="shared" si="33"/>
        <v>4.6624771586320878E-13</v>
      </c>
      <c r="Q64" s="22">
        <f t="shared" si="53"/>
        <v>8.583811758418665E-13</v>
      </c>
      <c r="R64" s="62">
        <f t="shared" si="0"/>
        <v>293.33333333333417</v>
      </c>
      <c r="S64" s="62">
        <f ca="1">AVERAGE(OFFSET($R$3,0,0,'Données projet'!$E$9+1,1))-AVERAGE(OFFSET($H$3,0,0,'Données projet'!$E$9+1,1))</f>
        <v>110.90259639804435</v>
      </c>
      <c r="T64" s="62">
        <f t="shared" si="34"/>
        <v>156.34514945935405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1.4691882963699081</v>
      </c>
      <c r="AA64" s="23">
        <f>EXP(-LN(2)/25)*AA63+(1-EXP(-LN(2)/25))/(LN(2)/25)*Calculateur!V64*Calculateur!X64*VLOOKUP('Données projet'!$B$9,Paramètres!$A$1:$I$89,3,0)*0.475*44/12</f>
        <v>1.1447574403228531</v>
      </c>
      <c r="AB64" s="23">
        <f>EXP(-LN(2)/2)*AB63+(1-EXP(-LN(2)/2))/(LN(2)/2)*V64*Y64*VLOOKUP('Données projet'!$B$9,Paramètres!$A$1:$I$89,3,0)*0.475*44/12</f>
        <v>4.3833368490890461E-4</v>
      </c>
      <c r="AC64" s="24">
        <f t="shared" si="3"/>
        <v>2.6143840703776702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8.1999999999999993</v>
      </c>
      <c r="AI64" s="14">
        <f>IF('Données projet'!$A$62&gt;35,AI63+AH64-AQ63,IF(A64&lt;'Données projet'!$A$62,$AF$205^A64,IF(A64='Données projet'!$A$62,'Données projet'!$B$62,AI63+AH64-AQ63)))</f>
        <v>184.19999999999993</v>
      </c>
      <c r="AJ64" s="14">
        <f>AI64*VLOOKUP('Données projet'!$B$10,Paramètres!$A$1:$I$89,3,0)*VLOOKUP('Données projet'!$B$10,Paramètres!$A$1:$I$89,5,0)</f>
        <v>158.04359999999997</v>
      </c>
      <c r="AK64" s="14">
        <f t="shared" si="35"/>
        <v>40.400928460855198</v>
      </c>
      <c r="AL64" s="22">
        <f t="shared" si="4"/>
        <v>345.62422040265614</v>
      </c>
      <c r="AM64" s="62">
        <f t="shared" si="5"/>
        <v>638.95755373598945</v>
      </c>
      <c r="AN64" s="62">
        <f ca="1">AVERAGE(OFFSET($AM$3,0,0,'Données projet'!$E$10+1,1))-AVERAGE(OFFSET($H$3,0,0,'Données projet'!$E$10+1,1))</f>
        <v>174.46631997577833</v>
      </c>
      <c r="AO64" s="62">
        <f t="shared" si="36"/>
        <v>79.07564466480153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417.09874821725015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2.6602720026858149E-14</v>
      </c>
      <c r="P65" s="14">
        <f t="shared" si="33"/>
        <v>4.6624771586320878E-13</v>
      </c>
      <c r="Q65" s="22">
        <f t="shared" si="53"/>
        <v>8.583811758418665E-13</v>
      </c>
      <c r="R65" s="62">
        <f t="shared" si="0"/>
        <v>293.33333333333417</v>
      </c>
      <c r="S65" s="62">
        <f ca="1">AVERAGE(OFFSET($R$3,0,0,'Données projet'!$E$9+1,1))-AVERAGE(OFFSET($H$3,0,0,'Données projet'!$E$9+1,1))</f>
        <v>110.90259639804435</v>
      </c>
      <c r="T65" s="62">
        <f t="shared" si="34"/>
        <v>156.34514945935405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1.4403784099944708</v>
      </c>
      <c r="AA65" s="23">
        <f>EXP(-LN(2)/25)*AA64+(1-EXP(-LN(2)/25))/(LN(2)/25)*Calculateur!V65*Calculateur!X65*VLOOKUP('Données projet'!$B$9,Paramètres!$A$1:$I$89,3,0)*0.475*44/12</f>
        <v>1.1134539879170473</v>
      </c>
      <c r="AB65" s="23">
        <f>EXP(-LN(2)/2)*AB64+(1-EXP(-LN(2)/2))/(LN(2)/2)*V65*Y65*VLOOKUP('Données projet'!$B$9,Paramètres!$A$1:$I$89,3,0)*0.475*44/12</f>
        <v>3.0994872102157388E-4</v>
      </c>
      <c r="AC65" s="24">
        <f t="shared" si="3"/>
        <v>2.5541423466325393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8.1999999999999993</v>
      </c>
      <c r="AI65" s="14">
        <f>IF('Données projet'!$A$62&gt;35,AI64+AH65-AQ64,IF(A65&lt;'Données projet'!$A$62,$AF$205^A65,IF(A65='Données projet'!$A$62,'Données projet'!$B$62,AI64+AH65-AQ64)))</f>
        <v>192.39999999999992</v>
      </c>
      <c r="AJ65" s="14">
        <f>AI65*VLOOKUP('Données projet'!$B$10,Paramètres!$A$1:$I$89,3,0)*VLOOKUP('Données projet'!$B$10,Paramètres!$A$1:$I$89,5,0)</f>
        <v>165.07919999999996</v>
      </c>
      <c r="AK65" s="14">
        <f t="shared" si="35"/>
        <v>41.986051122111817</v>
      </c>
      <c r="AL65" s="22">
        <f t="shared" si="4"/>
        <v>360.6386457043447</v>
      </c>
      <c r="AM65" s="62">
        <f t="shared" si="5"/>
        <v>653.97197903767801</v>
      </c>
      <c r="AN65" s="62">
        <f ca="1">AVERAGE(OFFSET($AM$3,0,0,'Données projet'!$E$10+1,1))-AVERAGE(OFFSET($H$3,0,0,'Données projet'!$E$10+1,1))</f>
        <v>174.46631997577833</v>
      </c>
      <c r="AO65" s="62">
        <f t="shared" si="36"/>
        <v>79.07564466480153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419.04250352814091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2.6602720026858149E-14</v>
      </c>
      <c r="P66" s="14">
        <f t="shared" si="33"/>
        <v>4.6624771586320878E-13</v>
      </c>
      <c r="Q66" s="22">
        <f t="shared" si="53"/>
        <v>8.583811758418665E-13</v>
      </c>
      <c r="R66" s="62">
        <f t="shared" si="0"/>
        <v>293.33333333333417</v>
      </c>
      <c r="S66" s="62">
        <f ca="1">AVERAGE(OFFSET($R$3,0,0,'Données projet'!$E$9+1,1))-AVERAGE(OFFSET($H$3,0,0,'Données projet'!$E$9+1,1))</f>
        <v>110.90259639804435</v>
      </c>
      <c r="T66" s="62">
        <f t="shared" si="34"/>
        <v>156.34514945935405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1.4121334679185602</v>
      </c>
      <c r="AA66" s="23">
        <f>EXP(-LN(2)/25)*AA65+(1-EXP(-LN(2)/25))/(LN(2)/25)*Calculateur!V66*Calculateur!X66*VLOOKUP('Données projet'!$B$9,Paramètres!$A$1:$I$89,3,0)*0.475*44/12</f>
        <v>1.0830065300634553</v>
      </c>
      <c r="AB66" s="23">
        <f>EXP(-LN(2)/2)*AB65+(1-EXP(-LN(2)/2))/(LN(2)/2)*V66*Y66*VLOOKUP('Données projet'!$B$9,Paramètres!$A$1:$I$89,3,0)*0.475*44/12</f>
        <v>2.191668424544523E-4</v>
      </c>
      <c r="AC66" s="24">
        <f t="shared" si="3"/>
        <v>2.4953591648244697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8.1999999999999993</v>
      </c>
      <c r="AI66" s="14">
        <f>IF('Données projet'!$A$62&gt;35,AI65+AH66-AQ65,IF(A66&lt;'Données projet'!$A$62,$AF$205^A66,IF(A66='Données projet'!$A$62,'Données projet'!$B$62,AI65+AH66-AQ65)))</f>
        <v>200.59999999999991</v>
      </c>
      <c r="AJ66" s="14">
        <f>AI66*VLOOKUP('Données projet'!$B$10,Paramètres!$A$1:$I$89,3,0)*VLOOKUP('Données projet'!$B$10,Paramètres!$A$1:$I$89,5,0)</f>
        <v>172.11479999999995</v>
      </c>
      <c r="AK66" s="14">
        <f t="shared" si="35"/>
        <v>43.563327089597564</v>
      </c>
      <c r="AL66" s="22">
        <f t="shared" si="4"/>
        <v>375.63940468104903</v>
      </c>
      <c r="AM66" s="62">
        <f t="shared" si="5"/>
        <v>668.97273801438234</v>
      </c>
      <c r="AN66" s="62">
        <f ca="1">AVERAGE(OFFSET($AM$3,0,0,'Données projet'!$E$10+1,1))-AVERAGE(OFFSET($H$3,0,0,'Données projet'!$E$10+1,1))</f>
        <v>174.46631997577833</v>
      </c>
      <c r="AO66" s="62">
        <f t="shared" si="36"/>
        <v>79.07564466480153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420.98552955036087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2.6602720026858149E-14</v>
      </c>
      <c r="P67" s="14">
        <f t="shared" si="33"/>
        <v>4.6624771586320878E-13</v>
      </c>
      <c r="Q67" s="22">
        <f t="shared" ref="Q67:Q98" si="54">(O67+P67)*0.475*44/12</f>
        <v>8.583811758418665E-13</v>
      </c>
      <c r="R67" s="62">
        <f t="shared" ref="R67:R130" si="55">Q67+(I67+J67)*44/12</f>
        <v>293.33333333333417</v>
      </c>
      <c r="S67" s="62">
        <f ca="1">AVERAGE(OFFSET($R$3,0,0,'Données projet'!$E$9+1,1))-AVERAGE(OFFSET($H$3,0,0,'Données projet'!$E$9+1,1))</f>
        <v>110.90259639804435</v>
      </c>
      <c r="T67" s="62">
        <f t="shared" si="34"/>
        <v>156.34514945935405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1.3844423919290447</v>
      </c>
      <c r="AA67" s="23">
        <f>EXP(-LN(2)/25)*AA66+(1-EXP(-LN(2)/25))/(LN(2)/25)*Calculateur!V67*Calculateur!X67*VLOOKUP('Données projet'!$B$9,Paramètres!$A$1:$I$89,3,0)*0.475*44/12</f>
        <v>1.053391659546032</v>
      </c>
      <c r="AB67" s="23">
        <f>EXP(-LN(2)/2)*AB66+(1-EXP(-LN(2)/2))/(LN(2)/2)*V67*Y67*VLOOKUP('Données projet'!$B$9,Paramètres!$A$1:$I$89,3,0)*0.475*44/12</f>
        <v>1.5497436051078694E-4</v>
      </c>
      <c r="AC67" s="24">
        <f t="shared" si="3"/>
        <v>2.4379890258355874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8.1999999999999993</v>
      </c>
      <c r="AI67" s="14">
        <f>IF('Données projet'!$A$62&gt;35,AI66+AH67-AQ66,IF(A67&lt;'Données projet'!$A$62,$AF$205^A67,IF(A67='Données projet'!$A$62,'Données projet'!$B$62,AI66+AH67-AQ66)))</f>
        <v>208.7999999999999</v>
      </c>
      <c r="AJ67" s="14">
        <f>AI67*VLOOKUP('Données projet'!$B$10,Paramètres!$A$1:$I$89,3,0)*VLOOKUP('Données projet'!$B$10,Paramètres!$A$1:$I$89,5,0)</f>
        <v>179.15039999999993</v>
      </c>
      <c r="AK67" s="14">
        <f t="shared" si="35"/>
        <v>45.133113803437304</v>
      </c>
      <c r="AL67" s="22">
        <f t="shared" si="4"/>
        <v>390.62711987431982</v>
      </c>
      <c r="AM67" s="62">
        <f t="shared" si="5"/>
        <v>683.96045320765313</v>
      </c>
      <c r="AN67" s="62">
        <f ca="1">AVERAGE(OFFSET($AM$3,0,0,'Données projet'!$E$10+1,1))-AVERAGE(OFFSET($H$3,0,0,'Données projet'!$E$10+1,1))</f>
        <v>174.46631997577833</v>
      </c>
      <c r="AO67" s="62">
        <f t="shared" si="36"/>
        <v>79.07564466480153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422.92783899491928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2.6602720026858149E-14</v>
      </c>
      <c r="P68" s="14">
        <f t="shared" si="33"/>
        <v>4.6624771586320878E-13</v>
      </c>
      <c r="Q68" s="22">
        <f t="shared" si="54"/>
        <v>8.583811758418665E-13</v>
      </c>
      <c r="R68" s="62">
        <f t="shared" si="55"/>
        <v>293.33333333333417</v>
      </c>
      <c r="S68" s="62">
        <f ca="1">AVERAGE(OFFSET($R$3,0,0,'Données projet'!$E$9+1,1))-AVERAGE(OFFSET($H$3,0,0,'Données projet'!$E$9+1,1))</f>
        <v>110.90259639804435</v>
      </c>
      <c r="T68" s="62">
        <f t="shared" si="34"/>
        <v>156.34514945935405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1.357294321049795</v>
      </c>
      <c r="AA68" s="23">
        <f>EXP(-LN(2)/25)*AA67+(1-EXP(-LN(2)/25))/(LN(2)/25)*Calculateur!V68*Calculateur!X68*VLOOKUP('Données projet'!$B$9,Paramètres!$A$1:$I$89,3,0)*0.475*44/12</f>
        <v>1.024586609220286</v>
      </c>
      <c r="AB68" s="23">
        <f>EXP(-LN(2)/2)*AB67+(1-EXP(-LN(2)/2))/(LN(2)/2)*V68*Y68*VLOOKUP('Données projet'!$B$9,Paramètres!$A$1:$I$89,3,0)*0.475*44/12</f>
        <v>1.0958342122722615E-4</v>
      </c>
      <c r="AC68" s="24">
        <f t="shared" ref="AC68:AC131" si="57">SUM(Z68:AB68)</f>
        <v>2.3819905136913082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217</v>
      </c>
      <c r="AG68" s="13">
        <f>VLOOKUP(A68,'Données projet'!$A$61:$I$81,9,0)</f>
        <v>8.1999999999999993</v>
      </c>
      <c r="AH68" s="13">
        <f t="array" ref="AH68">INDEX(AG:AG,MIN(IF(ISNUMBER(AG68:AG264),ROW(AG68:AG264),"")))</f>
        <v>8.1999999999999993</v>
      </c>
      <c r="AI68" s="14">
        <f>IF('Données projet'!$A$62&gt;35,AI67+AH68-AQ67,IF(A68&lt;'Données projet'!$A$62,$AF$205^A68,IF(A68='Données projet'!$A$62,'Données projet'!$B$62,AI67+AH68-AQ67)))</f>
        <v>216.99999999999989</v>
      </c>
      <c r="AJ68" s="14">
        <f>AI68*VLOOKUP('Données projet'!$B$10,Paramètres!$A$1:$I$89,3,0)*VLOOKUP('Données projet'!$B$10,Paramètres!$A$1:$I$89,5,0)</f>
        <v>186.18599999999992</v>
      </c>
      <c r="AK68" s="14">
        <f t="shared" si="35"/>
        <v>46.695739039470418</v>
      </c>
      <c r="AL68" s="22">
        <f t="shared" ref="AL68:AL131" si="58">(AJ68+AK68)*0.475*44/12</f>
        <v>405.60236216041085</v>
      </c>
      <c r="AM68" s="62">
        <f t="shared" ref="AM68:AM131" si="59">AL68+(AD68+AE68)*44/12</f>
        <v>698.93569549374411</v>
      </c>
      <c r="AN68" s="62">
        <f ca="1">AVERAGE(OFFSET($AM$3,0,0,'Données projet'!$E$10+1,1))-AVERAGE(OFFSET($H$3,0,0,'Données projet'!$E$10+1,1))</f>
        <v>174.46631997577833</v>
      </c>
      <c r="AO68" s="62">
        <f t="shared" si="36"/>
        <v>79.07564466480153</v>
      </c>
      <c r="AP68" s="16">
        <f>IF(ISNA(VLOOKUP(A68,'Données projet'!$A$61:$I$81,3,0)),0,VLOOKUP(A68,'Données projet'!$A$61:$I$81,3,0))</f>
        <v>8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424.86944415927678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2.6602720026858149E-14</v>
      </c>
      <c r="P69" s="14">
        <f t="shared" ref="P69:P132" si="87">EXP(-1.0587+0.8836*LN(O69)+0.284)</f>
        <v>4.6624771586320878E-13</v>
      </c>
      <c r="Q69" s="22">
        <f t="shared" si="54"/>
        <v>8.583811758418665E-13</v>
      </c>
      <c r="R69" s="62">
        <f t="shared" si="55"/>
        <v>293.33333333333417</v>
      </c>
      <c r="S69" s="62">
        <f ca="1">AVERAGE(OFFSET($R$3,0,0,'Données projet'!$E$9+1,1))-AVERAGE(OFFSET($H$3,0,0,'Données projet'!$E$9+1,1))</f>
        <v>110.90259639804435</v>
      </c>
      <c r="T69" s="62">
        <f t="shared" ref="T69:T132" si="88">$T$3</f>
        <v>156.34514945935405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1.3306786072817991</v>
      </c>
      <c r="AA69" s="23">
        <f>EXP(-LN(2)/25)*AA68+(1-EXP(-LN(2)/25))/(LN(2)/25)*Calculateur!V69*Calculateur!X69*VLOOKUP('Données projet'!$B$9,Paramètres!$A$1:$I$89,3,0)*0.475*44/12</f>
        <v>0.99656923451048918</v>
      </c>
      <c r="AB69" s="23">
        <f>EXP(-LN(2)/2)*AB68+(1-EXP(-LN(2)/2))/(LN(2)/2)*V69*Y69*VLOOKUP('Données projet'!$B$9,Paramètres!$A$1:$I$89,3,0)*0.475*44/12</f>
        <v>7.7487180255393469E-5</v>
      </c>
      <c r="AC69" s="24">
        <f t="shared" si="57"/>
        <v>2.3273253289725435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204.19999999999987</v>
      </c>
      <c r="AJ69" s="14">
        <f>AI69*VLOOKUP('Données projet'!$B$10,Paramètres!$A$1:$I$89,3,0)*VLOOKUP('Données projet'!$B$10,Paramètres!$A$1:$I$89,5,0)</f>
        <v>175.20359999999991</v>
      </c>
      <c r="AK69" s="14">
        <f t="shared" ref="AK69:AK132" si="89">EXP(-1.0587+0.8836*LN(AJ69)+0.284)</f>
        <v>44.253403975818124</v>
      </c>
      <c r="AL69" s="22">
        <f t="shared" si="58"/>
        <v>382.22094859121631</v>
      </c>
      <c r="AM69" s="62">
        <f t="shared" si="59"/>
        <v>675.55428192454963</v>
      </c>
      <c r="AN69" s="62">
        <f ca="1">AVERAGE(OFFSET($AM$3,0,0,'Données projet'!$E$10+1,1))-AVERAGE(OFFSET($H$3,0,0,'Données projet'!$E$10+1,1))</f>
        <v>174.46631997577833</v>
      </c>
      <c r="AO69" s="62">
        <f t="shared" ref="AO69:AO132" si="90">$AO$3</f>
        <v>79.07564466480153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426.81035694685789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2.6602720026858149E-14</v>
      </c>
      <c r="P70" s="14">
        <f t="shared" si="87"/>
        <v>4.6624771586320878E-13</v>
      </c>
      <c r="Q70" s="22">
        <f t="shared" si="54"/>
        <v>8.583811758418665E-13</v>
      </c>
      <c r="R70" s="62">
        <f t="shared" si="55"/>
        <v>293.33333333333417</v>
      </c>
      <c r="S70" s="62">
        <f ca="1">AVERAGE(OFFSET($R$3,0,0,'Données projet'!$E$9+1,1))-AVERAGE(OFFSET($H$3,0,0,'Données projet'!$E$9+1,1))</f>
        <v>110.90259639804435</v>
      </c>
      <c r="T70" s="62">
        <f t="shared" si="88"/>
        <v>156.34514945935405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1.3045848114268113</v>
      </c>
      <c r="AA70" s="23">
        <f>EXP(-LN(2)/25)*AA69+(1-EXP(-LN(2)/25))/(LN(2)/25)*Calculateur!V70*Calculateur!X70*VLOOKUP('Données projet'!$B$9,Paramètres!$A$1:$I$89,3,0)*0.475*44/12</f>
        <v>0.96931799638550153</v>
      </c>
      <c r="AB70" s="23">
        <f>EXP(-LN(2)/2)*AB69+(1-EXP(-LN(2)/2))/(LN(2)/2)*V70*Y70*VLOOKUP('Données projet'!$B$9,Paramètres!$A$1:$I$89,3,0)*0.475*44/12</f>
        <v>5.4791710613613076E-5</v>
      </c>
      <c r="AC70" s="24">
        <f t="shared" si="57"/>
        <v>2.2739575995229262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212.39999999999986</v>
      </c>
      <c r="AJ70" s="14">
        <f>AI70*VLOOKUP('Données projet'!$B$10,Paramètres!$A$1:$I$89,3,0)*VLOOKUP('Données projet'!$B$10,Paramètres!$A$1:$I$89,5,0)</f>
        <v>182.2391999999999</v>
      </c>
      <c r="AK70" s="14">
        <f t="shared" si="89"/>
        <v>45.820007883742726</v>
      </c>
      <c r="AL70" s="22">
        <f t="shared" si="58"/>
        <v>397.20312039751838</v>
      </c>
      <c r="AM70" s="62">
        <f t="shared" si="59"/>
        <v>690.53645373085169</v>
      </c>
      <c r="AN70" s="62">
        <f ca="1">AVERAGE(OFFSET($AM$3,0,0,'Données projet'!$E$10+1,1))-AVERAGE(OFFSET($H$3,0,0,'Données projet'!$E$10+1,1))</f>
        <v>174.46631997577833</v>
      </c>
      <c r="AO70" s="62">
        <f t="shared" si="90"/>
        <v>79.07564466480153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428.75058888536569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2.6602720026858149E-14</v>
      </c>
      <c r="P71" s="14">
        <f t="shared" si="87"/>
        <v>4.6624771586320878E-13</v>
      </c>
      <c r="Q71" s="22">
        <f t="shared" si="54"/>
        <v>8.583811758418665E-13</v>
      </c>
      <c r="R71" s="62">
        <f t="shared" si="55"/>
        <v>293.33333333333417</v>
      </c>
      <c r="S71" s="62">
        <f ca="1">AVERAGE(OFFSET($R$3,0,0,'Données projet'!$E$9+1,1))-AVERAGE(OFFSET($H$3,0,0,'Données projet'!$E$9+1,1))</f>
        <v>110.90259639804435</v>
      </c>
      <c r="T71" s="62">
        <f t="shared" si="88"/>
        <v>156.34514945935405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1.2790026989928958</v>
      </c>
      <c r="AA71" s="23">
        <f>EXP(-LN(2)/25)*AA70+(1-EXP(-LN(2)/25))/(LN(2)/25)*Calculateur!V71*Calculateur!X71*VLOOKUP('Données projet'!$B$9,Paramètres!$A$1:$I$89,3,0)*0.475*44/12</f>
        <v>0.94281194480012198</v>
      </c>
      <c r="AB71" s="23">
        <f>EXP(-LN(2)/2)*AB70+(1-EXP(-LN(2)/2))/(LN(2)/2)*V71*Y71*VLOOKUP('Données projet'!$B$9,Paramètres!$A$1:$I$89,3,0)*0.475*44/12</f>
        <v>3.8743590127696734E-5</v>
      </c>
      <c r="AC71" s="24">
        <f t="shared" si="57"/>
        <v>2.2218533873831454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220.59999999999985</v>
      </c>
      <c r="AJ71" s="14">
        <f>AI71*VLOOKUP('Données projet'!$B$10,Paramètres!$A$1:$I$89,3,0)*VLOOKUP('Données projet'!$B$10,Paramètres!$A$1:$I$89,5,0)</f>
        <v>189.27479999999989</v>
      </c>
      <c r="AK71" s="14">
        <f t="shared" si="89"/>
        <v>47.3795857610261</v>
      </c>
      <c r="AL71" s="22">
        <f t="shared" si="58"/>
        <v>412.17305520045358</v>
      </c>
      <c r="AM71" s="62">
        <f t="shared" si="59"/>
        <v>705.50638853378689</v>
      </c>
      <c r="AN71" s="62">
        <f ca="1">AVERAGE(OFFSET($AM$3,0,0,'Données projet'!$E$10+1,1))-AVERAGE(OFFSET($H$3,0,0,'Données projet'!$E$10+1,1))</f>
        <v>174.46631997577833</v>
      </c>
      <c r="AO71" s="62">
        <f t="shared" si="90"/>
        <v>79.07564466480153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430.69015114398906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2.6602720026858149E-14</v>
      </c>
      <c r="P72" s="14">
        <f t="shared" si="87"/>
        <v>4.6624771586320878E-13</v>
      </c>
      <c r="Q72" s="22">
        <f t="shared" si="54"/>
        <v>8.583811758418665E-13</v>
      </c>
      <c r="R72" s="62">
        <f t="shared" si="55"/>
        <v>293.33333333333417</v>
      </c>
      <c r="S72" s="62">
        <f ca="1">AVERAGE(OFFSET($R$3,0,0,'Données projet'!$E$9+1,1))-AVERAGE(OFFSET($H$3,0,0,'Données projet'!$E$9+1,1))</f>
        <v>110.90259639804435</v>
      </c>
      <c r="T72" s="62">
        <f t="shared" si="88"/>
        <v>156.34514945935405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1.2539222361802616</v>
      </c>
      <c r="AA72" s="23">
        <f>EXP(-LN(2)/25)*AA71+(1-EXP(-LN(2)/25))/(LN(2)/25)*Calculateur!V72*Calculateur!X72*VLOOKUP('Données projet'!$B$9,Paramètres!$A$1:$I$89,3,0)*0.475*44/12</f>
        <v>0.91703070258923725</v>
      </c>
      <c r="AB72" s="23">
        <f>EXP(-LN(2)/2)*AB71+(1-EXP(-LN(2)/2))/(LN(2)/2)*V72*Y72*VLOOKUP('Données projet'!$B$9,Paramètres!$A$1:$I$89,3,0)*0.475*44/12</f>
        <v>2.7395855306806538E-5</v>
      </c>
      <c r="AC72" s="24">
        <f t="shared" si="57"/>
        <v>2.1709803346248058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228.79999999999984</v>
      </c>
      <c r="AJ72" s="14">
        <f>AI72*VLOOKUP('Données projet'!$B$10,Paramètres!$A$1:$I$89,3,0)*VLOOKUP('Données projet'!$B$10,Paramètres!$A$1:$I$89,5,0)</f>
        <v>196.31039999999987</v>
      </c>
      <c r="AK72" s="14">
        <f t="shared" si="89"/>
        <v>48.932428681108931</v>
      </c>
      <c r="AL72" s="22">
        <f t="shared" si="58"/>
        <v>427.13125995293109</v>
      </c>
      <c r="AM72" s="62">
        <f t="shared" si="59"/>
        <v>720.4645932862644</v>
      </c>
      <c r="AN72" s="62">
        <f ca="1">AVERAGE(OFFSET($AM$3,0,0,'Données projet'!$E$10+1,1))-AVERAGE(OFFSET($H$3,0,0,'Données projet'!$E$10+1,1))</f>
        <v>174.46631997577833</v>
      </c>
      <c r="AO72" s="62">
        <f t="shared" si="90"/>
        <v>79.07564466480153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432.62905454958332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2.6602720026858149E-14</v>
      </c>
      <c r="P73" s="14">
        <f t="shared" si="87"/>
        <v>4.6624771586320878E-13</v>
      </c>
      <c r="Q73" s="22">
        <f t="shared" si="54"/>
        <v>8.583811758418665E-13</v>
      </c>
      <c r="R73" s="62">
        <f t="shared" si="55"/>
        <v>293.33333333333417</v>
      </c>
      <c r="S73" s="62">
        <f ca="1">AVERAGE(OFFSET($R$3,0,0,'Données projet'!$E$9+1,1))-AVERAGE(OFFSET($H$3,0,0,'Données projet'!$E$9+1,1))</f>
        <v>110.90259639804435</v>
      </c>
      <c r="T73" s="62">
        <f t="shared" si="88"/>
        <v>156.34514945935405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1.2293335859458112</v>
      </c>
      <c r="AA73" s="23">
        <f>EXP(-LN(2)/25)*AA72+(1-EXP(-LN(2)/25))/(LN(2)/25)*Calculateur!V73*Calculateur!X73*VLOOKUP('Données projet'!$B$9,Paramètres!$A$1:$I$89,3,0)*0.475*44/12</f>
        <v>0.89195444980238581</v>
      </c>
      <c r="AB73" s="23">
        <f>EXP(-LN(2)/2)*AB72+(1-EXP(-LN(2)/2))/(LN(2)/2)*V73*Y73*VLOOKUP('Données projet'!$B$9,Paramètres!$A$1:$I$89,3,0)*0.475*44/12</f>
        <v>1.9371795063848367E-5</v>
      </c>
      <c r="AC73" s="24">
        <f t="shared" si="57"/>
        <v>2.1213074075432612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237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236.99999999999983</v>
      </c>
      <c r="AJ73" s="14">
        <f>AI73*VLOOKUP('Données projet'!$B$10,Paramètres!$A$1:$I$89,3,0)*VLOOKUP('Données projet'!$B$10,Paramètres!$A$1:$I$89,5,0)</f>
        <v>203.34599999999986</v>
      </c>
      <c r="AK73" s="14">
        <f t="shared" si="89"/>
        <v>50.47880567110942</v>
      </c>
      <c r="AL73" s="22">
        <f t="shared" si="58"/>
        <v>442.07820321051531</v>
      </c>
      <c r="AM73" s="62">
        <f t="shared" si="59"/>
        <v>735.41153654384857</v>
      </c>
      <c r="AN73" s="62">
        <f ca="1">AVERAGE(OFFSET($AM$3,0,0,'Données projet'!$E$10+1,1))-AVERAGE(OFFSET($H$3,0,0,'Données projet'!$E$10+1,1))</f>
        <v>174.46631997577833</v>
      </c>
      <c r="AO73" s="62">
        <f t="shared" si="90"/>
        <v>79.07564466480153</v>
      </c>
      <c r="AP73" s="16">
        <f>IF(ISNA(VLOOKUP(A73,'Données projet'!$A$61:$I$81,3,0)),0,VLOOKUP(A73,'Données projet'!$A$61:$I$81,3,0))</f>
        <v>9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434.56730960190009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2.6602720026858149E-14</v>
      </c>
      <c r="P74" s="14">
        <f t="shared" si="87"/>
        <v>4.6624771586320878E-13</v>
      </c>
      <c r="Q74" s="22">
        <f t="shared" si="54"/>
        <v>8.583811758418665E-13</v>
      </c>
      <c r="R74" s="62">
        <f t="shared" si="55"/>
        <v>293.33333333333417</v>
      </c>
      <c r="S74" s="62">
        <f ca="1">AVERAGE(OFFSET($R$3,0,0,'Données projet'!$E$9+1,1))-AVERAGE(OFFSET($H$3,0,0,'Données projet'!$E$9+1,1))</f>
        <v>110.90259639804435</v>
      </c>
      <c r="T74" s="62">
        <f t="shared" si="88"/>
        <v>156.34514945935405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1.2052271041448628</v>
      </c>
      <c r="AA74" s="23">
        <f>EXP(-LN(2)/25)*AA73+(1-EXP(-LN(2)/25))/(LN(2)/25)*Calculateur!V74*Calculateur!X74*VLOOKUP('Données projet'!$B$9,Paramètres!$A$1:$I$89,3,0)*0.475*44/12</f>
        <v>0.86756390846669362</v>
      </c>
      <c r="AB74" s="23">
        <f>EXP(-LN(2)/2)*AB73+(1-EXP(-LN(2)/2))/(LN(2)/2)*V74*Y74*VLOOKUP('Données projet'!$B$9,Paramètres!$A$1:$I$89,3,0)*0.475*44/12</f>
        <v>1.3697927653403269E-5</v>
      </c>
      <c r="AC74" s="24">
        <f t="shared" si="57"/>
        <v>2.0728047105392098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223.59999999999982</v>
      </c>
      <c r="AJ74" s="14">
        <f>AI74*VLOOKUP('Données projet'!$B$10,Paramètres!$A$1:$I$89,3,0)*VLOOKUP('Données projet'!$B$10,Paramètres!$A$1:$I$89,5,0)</f>
        <v>191.84879999999987</v>
      </c>
      <c r="AK74" s="14">
        <f t="shared" si="89"/>
        <v>47.948465637272854</v>
      </c>
      <c r="AL74" s="22">
        <f t="shared" si="58"/>
        <v>417.64690431824994</v>
      </c>
      <c r="AM74" s="62">
        <f t="shared" si="59"/>
        <v>710.98023765158325</v>
      </c>
      <c r="AN74" s="62">
        <f ca="1">AVERAGE(OFFSET($AM$3,0,0,'Données projet'!$E$10+1,1))-AVERAGE(OFFSET($H$3,0,0,'Données projet'!$E$10+1,1))</f>
        <v>174.46631997577833</v>
      </c>
      <c r="AO74" s="62">
        <f t="shared" si="90"/>
        <v>79.07564466480153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436.50492648793568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2.6602720026858149E-14</v>
      </c>
      <c r="P75" s="14">
        <f t="shared" si="87"/>
        <v>4.6624771586320878E-13</v>
      </c>
      <c r="Q75" s="22">
        <f t="shared" si="54"/>
        <v>8.583811758418665E-13</v>
      </c>
      <c r="R75" s="62">
        <f t="shared" si="55"/>
        <v>293.33333333333417</v>
      </c>
      <c r="S75" s="62">
        <f ca="1">AVERAGE(OFFSET($R$3,0,0,'Données projet'!$E$9+1,1))-AVERAGE(OFFSET($H$3,0,0,'Données projet'!$E$9+1,1))</f>
        <v>110.90259639804435</v>
      </c>
      <c r="T75" s="62">
        <f t="shared" si="88"/>
        <v>156.34514945935405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1.1815933357485289</v>
      </c>
      <c r="AA75" s="23">
        <f>EXP(-LN(2)/25)*AA74+(1-EXP(-LN(2)/25))/(LN(2)/25)*Calculateur!V75*Calculateur!X75*VLOOKUP('Données projet'!$B$9,Paramètres!$A$1:$I$89,3,0)*0.475*44/12</f>
        <v>0.84384032776646878</v>
      </c>
      <c r="AB75" s="23">
        <f>EXP(-LN(2)/2)*AB74+(1-EXP(-LN(2)/2))/(LN(2)/2)*V75*Y75*VLOOKUP('Données projet'!$B$9,Paramètres!$A$1:$I$89,3,0)*0.475*44/12</f>
        <v>9.6858975319241836E-6</v>
      </c>
      <c r="AC75" s="24">
        <f t="shared" si="57"/>
        <v>2.0254433494125297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231.19999999999982</v>
      </c>
      <c r="AJ75" s="14">
        <f>AI75*VLOOKUP('Données projet'!$B$10,Paramètres!$A$1:$I$89,3,0)*VLOOKUP('Données projet'!$B$10,Paramètres!$A$1:$I$89,5,0)</f>
        <v>198.36959999999988</v>
      </c>
      <c r="AK75" s="14">
        <f t="shared" si="89"/>
        <v>49.385684634618876</v>
      </c>
      <c r="AL75" s="22">
        <f t="shared" si="58"/>
        <v>431.50712073862763</v>
      </c>
      <c r="AM75" s="62">
        <f t="shared" si="59"/>
        <v>724.84045407196095</v>
      </c>
      <c r="AN75" s="62">
        <f ca="1">AVERAGE(OFFSET($AM$3,0,0,'Données projet'!$E$10+1,1))-AVERAGE(OFFSET($H$3,0,0,'Données projet'!$E$10+1,1))</f>
        <v>174.46631997577833</v>
      </c>
      <c r="AO75" s="62">
        <f t="shared" si="90"/>
        <v>79.07564466480153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438.44191509545817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2.6602720026858149E-14</v>
      </c>
      <c r="P76" s="14">
        <f t="shared" si="87"/>
        <v>4.6624771586320878E-13</v>
      </c>
      <c r="Q76" s="22">
        <f t="shared" si="54"/>
        <v>8.583811758418665E-13</v>
      </c>
      <c r="R76" s="62">
        <f t="shared" si="55"/>
        <v>293.33333333333417</v>
      </c>
      <c r="S76" s="62">
        <f ca="1">AVERAGE(OFFSET($R$3,0,0,'Données projet'!$E$9+1,1))-AVERAGE(OFFSET($H$3,0,0,'Données projet'!$E$9+1,1))</f>
        <v>110.90259639804435</v>
      </c>
      <c r="T76" s="62">
        <f t="shared" si="88"/>
        <v>156.34514945935405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1.1584230111352718</v>
      </c>
      <c r="AA76" s="23">
        <f>EXP(-LN(2)/25)*AA75+(1-EXP(-LN(2)/25))/(LN(2)/25)*Calculateur!V76*Calculateur!X76*VLOOKUP('Données projet'!$B$9,Paramètres!$A$1:$I$89,3,0)*0.475*44/12</f>
        <v>0.82076546962806052</v>
      </c>
      <c r="AB76" s="23">
        <f>EXP(-LN(2)/2)*AB75+(1-EXP(-LN(2)/2))/(LN(2)/2)*V76*Y76*VLOOKUP('Données projet'!$B$9,Paramètres!$A$1:$I$89,3,0)*0.475*44/12</f>
        <v>6.8489638267016345E-6</v>
      </c>
      <c r="AC76" s="24">
        <f t="shared" si="57"/>
        <v>1.9791953297271592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238.79999999999981</v>
      </c>
      <c r="AJ76" s="14">
        <f>AI76*VLOOKUP('Données projet'!$B$10,Paramètres!$A$1:$I$89,3,0)*VLOOKUP('Données projet'!$B$10,Paramètres!$A$1:$I$89,5,0)</f>
        <v>204.89039999999989</v>
      </c>
      <c r="AK76" s="14">
        <f t="shared" si="89"/>
        <v>50.817413867340996</v>
      </c>
      <c r="AL76" s="22">
        <f t="shared" si="58"/>
        <v>445.35777581895201</v>
      </c>
      <c r="AM76" s="62">
        <f t="shared" si="59"/>
        <v>738.69110915228532</v>
      </c>
      <c r="AN76" s="62">
        <f ca="1">AVERAGE(OFFSET($AM$3,0,0,'Données projet'!$E$10+1,1))-AVERAGE(OFFSET($H$3,0,0,'Données projet'!$E$10+1,1))</f>
        <v>174.46631997577833</v>
      </c>
      <c r="AO76" s="62">
        <f t="shared" si="90"/>
        <v>79.07564466480153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440.37828502577372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2.6602720026858149E-14</v>
      </c>
      <c r="P77" s="14">
        <f t="shared" si="87"/>
        <v>4.6624771586320878E-13</v>
      </c>
      <c r="Q77" s="22">
        <f t="shared" si="54"/>
        <v>8.583811758418665E-13</v>
      </c>
      <c r="R77" s="62">
        <f t="shared" si="55"/>
        <v>293.33333333333417</v>
      </c>
      <c r="S77" s="62">
        <f ca="1">AVERAGE(OFFSET($R$3,0,0,'Données projet'!$E$9+1,1))-AVERAGE(OFFSET($H$3,0,0,'Données projet'!$E$9+1,1))</f>
        <v>110.90259639804435</v>
      </c>
      <c r="T77" s="62">
        <f t="shared" si="88"/>
        <v>156.34514945935405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1.1357070424551781</v>
      </c>
      <c r="AA77" s="23">
        <f>EXP(-LN(2)/25)*AA76+(1-EXP(-LN(2)/25))/(LN(2)/25)*Calculateur!V77*Calculateur!X77*VLOOKUP('Données projet'!$B$9,Paramètres!$A$1:$I$89,3,0)*0.475*44/12</f>
        <v>0.79832159469890107</v>
      </c>
      <c r="AB77" s="23">
        <f>EXP(-LN(2)/2)*AB76+(1-EXP(-LN(2)/2))/(LN(2)/2)*V77*Y77*VLOOKUP('Données projet'!$B$9,Paramètres!$A$1:$I$89,3,0)*0.475*44/12</f>
        <v>4.8429487659620918E-6</v>
      </c>
      <c r="AC77" s="24">
        <f t="shared" si="57"/>
        <v>1.9340334801028451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246.39999999999981</v>
      </c>
      <c r="AJ77" s="14">
        <f>AI77*VLOOKUP('Données projet'!$B$10,Paramètres!$A$1:$I$89,3,0)*VLOOKUP('Données projet'!$B$10,Paramètres!$A$1:$I$89,5,0)</f>
        <v>211.41119999999984</v>
      </c>
      <c r="AK77" s="14">
        <f t="shared" si="89"/>
        <v>52.243848094411113</v>
      </c>
      <c r="AL77" s="22">
        <f t="shared" si="58"/>
        <v>459.1992087644324</v>
      </c>
      <c r="AM77" s="62">
        <f t="shared" si="59"/>
        <v>752.53254209776571</v>
      </c>
      <c r="AN77" s="62">
        <f ca="1">AVERAGE(OFFSET($AM$3,0,0,'Données projet'!$E$10+1,1))-AVERAGE(OFFSET($H$3,0,0,'Données projet'!$E$10+1,1))</f>
        <v>174.46631997577833</v>
      </c>
      <c r="AO77" s="62">
        <f t="shared" si="90"/>
        <v>79.07564466480153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442.31404560578176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2.6602720026858149E-14</v>
      </c>
      <c r="P78" s="14">
        <f t="shared" si="87"/>
        <v>4.6624771586320878E-13</v>
      </c>
      <c r="Q78" s="22">
        <f t="shared" si="54"/>
        <v>8.583811758418665E-13</v>
      </c>
      <c r="R78" s="62">
        <f t="shared" si="55"/>
        <v>293.33333333333417</v>
      </c>
      <c r="S78" s="62">
        <f ca="1">AVERAGE(OFFSET($R$3,0,0,'Données projet'!$E$9+1,1))-AVERAGE(OFFSET($H$3,0,0,'Données projet'!$E$9+1,1))</f>
        <v>110.90259639804435</v>
      </c>
      <c r="T78" s="62">
        <f t="shared" si="88"/>
        <v>156.34514945935405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1.1134365200655283</v>
      </c>
      <c r="AA78" s="23">
        <f>EXP(-LN(2)/25)*AA77+(1-EXP(-LN(2)/25))/(LN(2)/25)*Calculateur!V78*Calculateur!X78*VLOOKUP('Données projet'!$B$9,Paramètres!$A$1:$I$89,3,0)*0.475*44/12</f>
        <v>0.77649144870995157</v>
      </c>
      <c r="AB78" s="23">
        <f>EXP(-LN(2)/2)*AB77+(1-EXP(-LN(2)/2))/(LN(2)/2)*V78*Y78*VLOOKUP('Données projet'!$B$9,Paramètres!$A$1:$I$89,3,0)*0.475*44/12</f>
        <v>3.4244819133508173E-6</v>
      </c>
      <c r="AC78" s="24">
        <f t="shared" si="57"/>
        <v>1.8899313932573933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254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253.9999999999998</v>
      </c>
      <c r="AJ78" s="14">
        <f>AI78*VLOOKUP('Données projet'!$B$10,Paramètres!$A$1:$I$89,3,0)*VLOOKUP('Données projet'!$B$10,Paramètres!$A$1:$I$89,5,0)</f>
        <v>217.93199999999985</v>
      </c>
      <c r="AK78" s="14">
        <f t="shared" si="89"/>
        <v>53.665169377903311</v>
      </c>
      <c r="AL78" s="22">
        <f t="shared" si="58"/>
        <v>473.03173666651463</v>
      </c>
      <c r="AM78" s="62">
        <f t="shared" si="59"/>
        <v>766.36506999984795</v>
      </c>
      <c r="AN78" s="62">
        <f ca="1">AVERAGE(OFFSET($AM$3,0,0,'Données projet'!$E$10+1,1))-AVERAGE(OFFSET($H$3,0,0,'Données projet'!$E$10+1,1))</f>
        <v>174.46631997577833</v>
      </c>
      <c r="AO78" s="62">
        <f t="shared" si="90"/>
        <v>79.07564466480153</v>
      </c>
      <c r="AP78" s="16">
        <f>IF(ISNA(VLOOKUP(A78,'Données projet'!$A$61:$I$81,3,0)),0,VLOOKUP(A78,'Données projet'!$A$61:$I$81,3,0))</f>
        <v>10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444.24920589937017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2.6602720026858149E-14</v>
      </c>
      <c r="P79" s="14">
        <f t="shared" si="87"/>
        <v>4.6624771586320878E-13</v>
      </c>
      <c r="Q79" s="22">
        <f t="shared" si="54"/>
        <v>8.583811758418665E-13</v>
      </c>
      <c r="R79" s="62">
        <f t="shared" si="55"/>
        <v>293.33333333333417</v>
      </c>
      <c r="S79" s="62">
        <f ca="1">AVERAGE(OFFSET($R$3,0,0,'Données projet'!$E$9+1,1))-AVERAGE(OFFSET($H$3,0,0,'Données projet'!$E$9+1,1))</f>
        <v>110.90259639804435</v>
      </c>
      <c r="T79" s="62">
        <f t="shared" si="88"/>
        <v>156.34514945935405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1.0916027090362621</v>
      </c>
      <c r="AA79" s="23">
        <f>EXP(-LN(2)/25)*AA78+(1-EXP(-LN(2)/25))/(LN(2)/25)*Calculateur!V79*Calculateur!X79*VLOOKUP('Données projet'!$B$9,Paramètres!$A$1:$I$89,3,0)*0.475*44/12</f>
        <v>0.75525824921106732</v>
      </c>
      <c r="AB79" s="23">
        <f>EXP(-LN(2)/2)*AB78+(1-EXP(-LN(2)/2))/(LN(2)/2)*V79*Y79*VLOOKUP('Données projet'!$B$9,Paramètres!$A$1:$I$89,3,0)*0.475*44/12</f>
        <v>2.4214743829810459E-6</v>
      </c>
      <c r="AC79" s="24">
        <f t="shared" si="57"/>
        <v>1.8468633797217124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7.4</v>
      </c>
      <c r="AI79" s="14">
        <f>IF('Données projet'!$A$62&gt;35,AI78+AH79-AQ78,IF(A79&lt;'Données projet'!$A$62,$AF$205^A79,IF(A79='Données projet'!$A$62,'Données projet'!$B$62,AI78+AH79-AQ78)))</f>
        <v>240.39999999999981</v>
      </c>
      <c r="AJ79" s="14">
        <f>AI79*VLOOKUP('Données projet'!$B$10,Paramètres!$A$1:$I$89,3,0)*VLOOKUP('Données projet'!$B$10,Paramètres!$A$1:$I$89,5,0)</f>
        <v>206.26319999999987</v>
      </c>
      <c r="AK79" s="14">
        <f t="shared" si="89"/>
        <v>51.118149550886002</v>
      </c>
      <c r="AL79" s="22">
        <f t="shared" si="58"/>
        <v>448.27251713445958</v>
      </c>
      <c r="AM79" s="62">
        <f t="shared" si="59"/>
        <v>741.60585046779283</v>
      </c>
      <c r="AN79" s="62">
        <f ca="1">AVERAGE(OFFSET($AM$3,0,0,'Données projet'!$E$10+1,1))-AVERAGE(OFFSET($H$3,0,0,'Données projet'!$E$10+1,1))</f>
        <v>174.46631997577833</v>
      </c>
      <c r="AO79" s="62">
        <f t="shared" si="90"/>
        <v>79.07564466480153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446.18377471819281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2.6602720026858149E-14</v>
      </c>
      <c r="P80" s="14">
        <f t="shared" si="87"/>
        <v>4.6624771586320878E-13</v>
      </c>
      <c r="Q80" s="22">
        <f t="shared" si="54"/>
        <v>8.583811758418665E-13</v>
      </c>
      <c r="R80" s="62">
        <f t="shared" si="55"/>
        <v>293.33333333333417</v>
      </c>
      <c r="S80" s="62">
        <f ca="1">AVERAGE(OFFSET($R$3,0,0,'Données projet'!$E$9+1,1))-AVERAGE(OFFSET($H$3,0,0,'Données projet'!$E$9+1,1))</f>
        <v>110.90259639804435</v>
      </c>
      <c r="T80" s="62">
        <f t="shared" si="88"/>
        <v>156.34514945935405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1.07019704572397</v>
      </c>
      <c r="AA80" s="23">
        <f>EXP(-LN(2)/25)*AA79+(1-EXP(-LN(2)/25))/(LN(2)/25)*Calculateur!V80*Calculateur!X80*VLOOKUP('Données projet'!$B$9,Paramètres!$A$1:$I$89,3,0)*0.475*44/12</f>
        <v>0.7346056726690855</v>
      </c>
      <c r="AB80" s="23">
        <f>EXP(-LN(2)/2)*AB79+(1-EXP(-LN(2)/2))/(LN(2)/2)*V80*Y80*VLOOKUP('Données projet'!$B$9,Paramètres!$A$1:$I$89,3,0)*0.475*44/12</f>
        <v>1.7122409566754086E-6</v>
      </c>
      <c r="AC80" s="24">
        <f t="shared" si="57"/>
        <v>1.8048044306340121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7.4</v>
      </c>
      <c r="AI80" s="14">
        <f>IF('Données projet'!$A$62&gt;35,AI79+AH80-AQ79,IF(A80&lt;'Données projet'!$A$62,$AF$205^A80,IF(A80='Données projet'!$A$62,'Données projet'!$B$62,AI79+AH80-AQ79)))</f>
        <v>247.79999999999981</v>
      </c>
      <c r="AJ80" s="14">
        <f>AI80*VLOOKUP('Données projet'!$B$10,Paramètres!$A$1:$I$89,3,0)*VLOOKUP('Données projet'!$B$10,Paramètres!$A$1:$I$89,5,0)</f>
        <v>212.61239999999987</v>
      </c>
      <c r="AK80" s="14">
        <f t="shared" si="89"/>
        <v>52.506049408060917</v>
      </c>
      <c r="AL80" s="22">
        <f t="shared" si="58"/>
        <v>461.74796605237248</v>
      </c>
      <c r="AM80" s="62">
        <f t="shared" si="59"/>
        <v>755.08129938570573</v>
      </c>
      <c r="AN80" s="62">
        <f ca="1">AVERAGE(OFFSET($AM$3,0,0,'Données projet'!$E$10+1,1))-AVERAGE(OFFSET($H$3,0,0,'Données projet'!$E$10+1,1))</f>
        <v>174.46631997577833</v>
      </c>
      <c r="AO80" s="62">
        <f t="shared" si="90"/>
        <v>79.07564466480153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448.11776063187176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2.6602720026858149E-14</v>
      </c>
      <c r="P81" s="14">
        <f t="shared" si="87"/>
        <v>4.6624771586320878E-13</v>
      </c>
      <c r="Q81" s="22">
        <f t="shared" si="54"/>
        <v>8.583811758418665E-13</v>
      </c>
      <c r="R81" s="62">
        <f t="shared" si="55"/>
        <v>293.33333333333417</v>
      </c>
      <c r="S81" s="62">
        <f ca="1">AVERAGE(OFFSET($R$3,0,0,'Données projet'!$E$9+1,1))-AVERAGE(OFFSET($H$3,0,0,'Données projet'!$E$9+1,1))</f>
        <v>110.90259639804435</v>
      </c>
      <c r="T81" s="62">
        <f t="shared" si="88"/>
        <v>156.34514945935405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1.0492111344130666</v>
      </c>
      <c r="AA81" s="23">
        <f>EXP(-LN(2)/25)*AA80+(1-EXP(-LN(2)/25))/(LN(2)/25)*Calculateur!V81*Calculateur!X81*VLOOKUP('Données projet'!$B$9,Paramètres!$A$1:$I$89,3,0)*0.475*44/12</f>
        <v>0.71451784191871603</v>
      </c>
      <c r="AB81" s="23">
        <f>EXP(-LN(2)/2)*AB80+(1-EXP(-LN(2)/2))/(LN(2)/2)*V81*Y81*VLOOKUP('Données projet'!$B$9,Paramètres!$A$1:$I$89,3,0)*0.475*44/12</f>
        <v>1.2107371914905229E-6</v>
      </c>
      <c r="AC81" s="24">
        <f t="shared" si="57"/>
        <v>1.7637301870689739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7.4</v>
      </c>
      <c r="AI81" s="14">
        <f>IF('Données projet'!$A$62&gt;35,AI80+AH81-AQ80,IF(A81&lt;'Données projet'!$A$62,$AF$205^A81,IF(A81='Données projet'!$A$62,'Données projet'!$B$62,AI80+AH81-AQ80)))</f>
        <v>255.19999999999982</v>
      </c>
      <c r="AJ81" s="14">
        <f>AI81*VLOOKUP('Données projet'!$B$10,Paramètres!$A$1:$I$89,3,0)*VLOOKUP('Données projet'!$B$10,Paramètres!$A$1:$I$89,5,0)</f>
        <v>218.96159999999986</v>
      </c>
      <c r="AK81" s="14">
        <f t="shared" si="89"/>
        <v>53.88913250370743</v>
      </c>
      <c r="AL81" s="22">
        <f t="shared" si="58"/>
        <v>475.21502577729012</v>
      </c>
      <c r="AM81" s="62">
        <f t="shared" si="59"/>
        <v>768.54835911062344</v>
      </c>
      <c r="AN81" s="62">
        <f ca="1">AVERAGE(OFFSET($AM$3,0,0,'Données projet'!$E$10+1,1))-AVERAGE(OFFSET($H$3,0,0,'Données projet'!$E$10+1,1))</f>
        <v>174.46631997577833</v>
      </c>
      <c r="AO81" s="62">
        <f t="shared" si="90"/>
        <v>79.07564466480153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450.05117197766094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2.6602720026858149E-14</v>
      </c>
      <c r="P82" s="14">
        <f t="shared" si="87"/>
        <v>4.6624771586320878E-13</v>
      </c>
      <c r="Q82" s="22">
        <f t="shared" si="54"/>
        <v>8.583811758418665E-13</v>
      </c>
      <c r="R82" s="62">
        <f t="shared" si="55"/>
        <v>293.33333333333417</v>
      </c>
      <c r="S82" s="62">
        <f ca="1">AVERAGE(OFFSET($R$3,0,0,'Données projet'!$E$9+1,1))-AVERAGE(OFFSET($H$3,0,0,'Données projet'!$E$9+1,1))</f>
        <v>110.90259639804435</v>
      </c>
      <c r="T82" s="62">
        <f t="shared" si="88"/>
        <v>156.34514945935405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1.0286367440228279</v>
      </c>
      <c r="AA82" s="23">
        <f>EXP(-LN(2)/25)*AA81+(1-EXP(-LN(2)/25))/(LN(2)/25)*Calculateur!V82*Calculateur!X82*VLOOKUP('Données projet'!$B$9,Paramètres!$A$1:$I$89,3,0)*0.475*44/12</f>
        <v>0.69497931395658852</v>
      </c>
      <c r="AB82" s="23">
        <f>EXP(-LN(2)/2)*AB81+(1-EXP(-LN(2)/2))/(LN(2)/2)*V82*Y82*VLOOKUP('Données projet'!$B$9,Paramètres!$A$1:$I$89,3,0)*0.475*44/12</f>
        <v>8.5612047833770431E-7</v>
      </c>
      <c r="AC82" s="24">
        <f t="shared" si="57"/>
        <v>1.7236169140998947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7.4</v>
      </c>
      <c r="AI82" s="14">
        <f>IF('Données projet'!$A$62&gt;35,AI81+AH82-AQ81,IF(A82&lt;'Données projet'!$A$62,$AF$205^A82,IF(A82='Données projet'!$A$62,'Données projet'!$B$62,AI81+AH82-AQ81)))</f>
        <v>262.5999999999998</v>
      </c>
      <c r="AJ82" s="14">
        <f>AI82*VLOOKUP('Données projet'!$B$10,Paramètres!$A$1:$I$89,3,0)*VLOOKUP('Données projet'!$B$10,Paramètres!$A$1:$I$89,5,0)</f>
        <v>225.31079999999983</v>
      </c>
      <c r="AK82" s="14">
        <f t="shared" si="89"/>
        <v>55.267554547888764</v>
      </c>
      <c r="AL82" s="22">
        <f t="shared" si="58"/>
        <v>488.67396750423922</v>
      </c>
      <c r="AM82" s="62">
        <f t="shared" si="59"/>
        <v>782.00730083757253</v>
      </c>
      <c r="AN82" s="62">
        <f ca="1">AVERAGE(OFFSET($AM$3,0,0,'Données projet'!$E$10+1,1))-AVERAGE(OFFSET($H$3,0,0,'Données projet'!$E$10+1,1))</f>
        <v>174.46631997577833</v>
      </c>
      <c r="AO82" s="62">
        <f t="shared" si="90"/>
        <v>79.07564466480153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451.98401686960722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2.6602720026858149E-14</v>
      </c>
      <c r="P83" s="14">
        <f t="shared" si="87"/>
        <v>4.6624771586320878E-13</v>
      </c>
      <c r="Q83" s="22">
        <f t="shared" si="54"/>
        <v>8.583811758418665E-13</v>
      </c>
      <c r="R83" s="62">
        <f t="shared" si="55"/>
        <v>293.33333333333417</v>
      </c>
      <c r="S83" s="62">
        <f ca="1">AVERAGE(OFFSET($R$3,0,0,'Données projet'!$E$9+1,1))-AVERAGE(OFFSET($H$3,0,0,'Données projet'!$E$9+1,1))</f>
        <v>110.90259639804435</v>
      </c>
      <c r="T83" s="62">
        <f t="shared" si="88"/>
        <v>156.34514945935405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1.0084658048790029</v>
      </c>
      <c r="AA83" s="23">
        <f>EXP(-LN(2)/25)*AA82+(1-EXP(-LN(2)/25))/(LN(2)/25)*Calculateur!V83*Calculateur!X83*VLOOKUP('Données projet'!$B$9,Paramètres!$A$1:$I$89,3,0)*0.475*44/12</f>
        <v>0.67597506806907193</v>
      </c>
      <c r="AB83" s="23">
        <f>EXP(-LN(2)/2)*AB82+(1-EXP(-LN(2)/2))/(LN(2)/2)*V83*Y83*VLOOKUP('Données projet'!$B$9,Paramètres!$A$1:$I$89,3,0)*0.475*44/12</f>
        <v>6.0536859574526147E-7</v>
      </c>
      <c r="AC83" s="24">
        <f t="shared" si="57"/>
        <v>1.6844414783166706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270</v>
      </c>
      <c r="AG83" s="13">
        <f>VLOOKUP(A83,'Données projet'!$A$61:$I$81,9,0)</f>
        <v>7.4</v>
      </c>
      <c r="AH83" s="13">
        <f t="array" ref="AH83">INDEX(AG:AG,MIN(IF(ISNUMBER(AG83:AG279),ROW(AG83:AG279),"")))</f>
        <v>7.4</v>
      </c>
      <c r="AI83" s="14">
        <f>IF('Données projet'!$A$62&gt;35,AI82+AH83-AQ82,IF(A83&lt;'Données projet'!$A$62,$AF$205^A83,IF(A83='Données projet'!$A$62,'Données projet'!$B$62,AI82+AH83-AQ82)))</f>
        <v>269.99999999999977</v>
      </c>
      <c r="AJ83" s="14">
        <f>AI83*VLOOKUP('Données projet'!$B$10,Paramètres!$A$1:$I$89,3,0)*VLOOKUP('Données projet'!$B$10,Paramètres!$A$1:$I$89,5,0)</f>
        <v>231.65999999999983</v>
      </c>
      <c r="AK83" s="14">
        <f t="shared" si="89"/>
        <v>56.641461975682716</v>
      </c>
      <c r="AL83" s="22">
        <f t="shared" si="58"/>
        <v>502.12504627431366</v>
      </c>
      <c r="AM83" s="62">
        <f t="shared" si="59"/>
        <v>795.45837960764698</v>
      </c>
      <c r="AN83" s="62">
        <f ca="1">AVERAGE(OFFSET($AM$3,0,0,'Données projet'!$E$10+1,1))-AVERAGE(OFFSET($H$3,0,0,'Données projet'!$E$10+1,1))</f>
        <v>174.46631997577833</v>
      </c>
      <c r="AO83" s="62">
        <f t="shared" si="90"/>
        <v>79.07564466480153</v>
      </c>
      <c r="AP83" s="16">
        <f>IF(ISNA(VLOOKUP(A83,'Données projet'!$A$61:$I$81,3,0)),0,VLOOKUP(A83,'Données projet'!$A$61:$I$81,3,0))</f>
        <v>11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453.91630320723971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2.6602720026858149E-14</v>
      </c>
      <c r="P84" s="14">
        <f t="shared" si="87"/>
        <v>4.6624771586320878E-13</v>
      </c>
      <c r="Q84" s="22">
        <f t="shared" si="54"/>
        <v>8.583811758418665E-13</v>
      </c>
      <c r="R84" s="62">
        <f t="shared" si="55"/>
        <v>293.33333333333417</v>
      </c>
      <c r="S84" s="62">
        <f ca="1">AVERAGE(OFFSET($R$3,0,0,'Données projet'!$E$9+1,1))-AVERAGE(OFFSET($H$3,0,0,'Données projet'!$E$9+1,1))</f>
        <v>110.90259639804435</v>
      </c>
      <c r="T84" s="62">
        <f t="shared" si="88"/>
        <v>156.34514945935405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0.98869040554873022</v>
      </c>
      <c r="AA84" s="23">
        <f>EXP(-LN(2)/25)*AA83+(1-EXP(-LN(2)/25))/(LN(2)/25)*Calculateur!V84*Calculateur!X84*VLOOKUP('Données projet'!$B$9,Paramètres!$A$1:$I$89,3,0)*0.475*44/12</f>
        <v>0.65749049428473927</v>
      </c>
      <c r="AB84" s="23">
        <f>EXP(-LN(2)/2)*AB83+(1-EXP(-LN(2)/2))/(LN(2)/2)*V84*Y84*VLOOKUP('Données projet'!$B$9,Paramètres!$A$1:$I$89,3,0)*0.475*44/12</f>
        <v>4.2806023916885216E-7</v>
      </c>
      <c r="AC84" s="24">
        <f t="shared" si="57"/>
        <v>1.6461813278937087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7</v>
      </c>
      <c r="AI84" s="14">
        <f>IF('Données projet'!$A$62&gt;35,AI83+AH84-AQ83,IF(A84&lt;'Données projet'!$A$62,$AF$205^A84,IF(A84='Données projet'!$A$62,'Données projet'!$B$62,AI83+AH84-AQ83)))</f>
        <v>255.99999999999977</v>
      </c>
      <c r="AJ84" s="14">
        <f>AI84*VLOOKUP('Données projet'!$B$10,Paramètres!$A$1:$I$89,3,0)*VLOOKUP('Données projet'!$B$10,Paramètres!$A$1:$I$89,5,0)</f>
        <v>219.64799999999985</v>
      </c>
      <c r="AK84" s="14">
        <f t="shared" si="89"/>
        <v>54.03837313132567</v>
      </c>
      <c r="AL84" s="22">
        <f t="shared" si="58"/>
        <v>476.67043320372522</v>
      </c>
      <c r="AM84" s="62">
        <f t="shared" si="59"/>
        <v>770.00376653705848</v>
      </c>
      <c r="AN84" s="62">
        <f ca="1">AVERAGE(OFFSET($AM$3,0,0,'Données projet'!$E$10+1,1))-AVERAGE(OFFSET($H$3,0,0,'Données projet'!$E$10+1,1))</f>
        <v>174.46631997577833</v>
      </c>
      <c r="AO84" s="62">
        <f t="shared" si="90"/>
        <v>79.07564466480153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455.84803868381812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2.6602720026858149E-14</v>
      </c>
      <c r="P85" s="14">
        <f t="shared" si="87"/>
        <v>4.6624771586320878E-13</v>
      </c>
      <c r="Q85" s="22">
        <f t="shared" si="54"/>
        <v>8.583811758418665E-13</v>
      </c>
      <c r="R85" s="62">
        <f t="shared" si="55"/>
        <v>293.33333333333417</v>
      </c>
      <c r="S85" s="62">
        <f ca="1">AVERAGE(OFFSET($R$3,0,0,'Données projet'!$E$9+1,1))-AVERAGE(OFFSET($H$3,0,0,'Données projet'!$E$9+1,1))</f>
        <v>110.90259639804435</v>
      </c>
      <c r="T85" s="62">
        <f t="shared" si="88"/>
        <v>156.34514945935405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0.9693027897375216</v>
      </c>
      <c r="AA85" s="23">
        <f>EXP(-LN(2)/25)*AA84+(1-EXP(-LN(2)/25))/(LN(2)/25)*Calculateur!V85*Calculateur!X85*VLOOKUP('Données projet'!$B$9,Paramètres!$A$1:$I$89,3,0)*0.475*44/12</f>
        <v>0.63951138214260073</v>
      </c>
      <c r="AB85" s="23">
        <f>EXP(-LN(2)/2)*AB84+(1-EXP(-LN(2)/2))/(LN(2)/2)*V85*Y85*VLOOKUP('Données projet'!$B$9,Paramètres!$A$1:$I$89,3,0)*0.475*44/12</f>
        <v>3.0268429787263074E-7</v>
      </c>
      <c r="AC85" s="24">
        <f t="shared" si="57"/>
        <v>1.6088144745644202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7</v>
      </c>
      <c r="AI85" s="14">
        <f>IF('Données projet'!$A$62&gt;35,AI84+AH85-AQ84,IF(A85&lt;'Données projet'!$A$62,$AF$205^A85,IF(A85='Données projet'!$A$62,'Données projet'!$B$62,AI84+AH85-AQ84)))</f>
        <v>262.99999999999977</v>
      </c>
      <c r="AJ85" s="14">
        <f>AI85*VLOOKUP('Données projet'!$B$10,Paramètres!$A$1:$I$89,3,0)*VLOOKUP('Données projet'!$B$10,Paramètres!$A$1:$I$89,5,0)</f>
        <v>225.65399999999983</v>
      </c>
      <c r="AK85" s="14">
        <f t="shared" si="89"/>
        <v>55.341933960508968</v>
      </c>
      <c r="AL85" s="22">
        <f t="shared" si="58"/>
        <v>489.40125164788623</v>
      </c>
      <c r="AM85" s="62">
        <f t="shared" si="59"/>
        <v>782.73458498121954</v>
      </c>
      <c r="AN85" s="62">
        <f ca="1">AVERAGE(OFFSET($AM$3,0,0,'Données projet'!$E$10+1,1))-AVERAGE(OFFSET($H$3,0,0,'Données projet'!$E$10+1,1))</f>
        <v>174.46631997577833</v>
      </c>
      <c r="AO85" s="62">
        <f t="shared" si="90"/>
        <v>79.07564466480153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457.77923079416723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2.6602720026858149E-14</v>
      </c>
      <c r="P86" s="14">
        <f t="shared" si="87"/>
        <v>4.6624771586320878E-13</v>
      </c>
      <c r="Q86" s="22">
        <f t="shared" si="54"/>
        <v>8.583811758418665E-13</v>
      </c>
      <c r="R86" s="62">
        <f t="shared" si="55"/>
        <v>293.33333333333417</v>
      </c>
      <c r="S86" s="62">
        <f ca="1">AVERAGE(OFFSET($R$3,0,0,'Données projet'!$E$9+1,1))-AVERAGE(OFFSET($H$3,0,0,'Données projet'!$E$9+1,1))</f>
        <v>110.90259639804435</v>
      </c>
      <c r="T86" s="62">
        <f t="shared" si="88"/>
        <v>156.34514945935405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0.9502953532470928</v>
      </c>
      <c r="AA86" s="23">
        <f>EXP(-LN(2)/25)*AA85+(1-EXP(-LN(2)/25))/(LN(2)/25)*Calculateur!V86*Calculateur!X86*VLOOKUP('Données projet'!$B$9,Paramètres!$A$1:$I$89,3,0)*0.475*44/12</f>
        <v>0.62202390976746935</v>
      </c>
      <c r="AB86" s="23">
        <f>EXP(-LN(2)/2)*AB85+(1-EXP(-LN(2)/2))/(LN(2)/2)*V86*Y86*VLOOKUP('Données projet'!$B$9,Paramètres!$A$1:$I$89,3,0)*0.475*44/12</f>
        <v>2.1403011958442608E-7</v>
      </c>
      <c r="AC86" s="24">
        <f t="shared" si="57"/>
        <v>1.5723194770446818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7</v>
      </c>
      <c r="AI86" s="14">
        <f>IF('Données projet'!$A$62&gt;35,AI85+AH86-AQ85,IF(A86&lt;'Données projet'!$A$62,$AF$205^A86,IF(A86='Données projet'!$A$62,'Données projet'!$B$62,AI85+AH86-AQ85)))</f>
        <v>269.99999999999977</v>
      </c>
      <c r="AJ86" s="14">
        <f>AI86*VLOOKUP('Données projet'!$B$10,Paramètres!$A$1:$I$89,3,0)*VLOOKUP('Données projet'!$B$10,Paramètres!$A$1:$I$89,5,0)</f>
        <v>231.65999999999983</v>
      </c>
      <c r="AK86" s="14">
        <f t="shared" si="89"/>
        <v>56.641461975682716</v>
      </c>
      <c r="AL86" s="22">
        <f t="shared" si="58"/>
        <v>502.12504627431366</v>
      </c>
      <c r="AM86" s="62">
        <f t="shared" si="59"/>
        <v>795.45837960764698</v>
      </c>
      <c r="AN86" s="62">
        <f ca="1">AVERAGE(OFFSET($AM$3,0,0,'Données projet'!$E$10+1,1))-AVERAGE(OFFSET($H$3,0,0,'Données projet'!$E$10+1,1))</f>
        <v>174.46631997577833</v>
      </c>
      <c r="AO86" s="62">
        <f t="shared" si="90"/>
        <v>79.07564466480153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459.70988684212313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2.6602720026858149E-14</v>
      </c>
      <c r="P87" s="14">
        <f t="shared" si="87"/>
        <v>4.6624771586320878E-13</v>
      </c>
      <c r="Q87" s="22">
        <f t="shared" si="54"/>
        <v>8.583811758418665E-13</v>
      </c>
      <c r="R87" s="62">
        <f t="shared" si="55"/>
        <v>293.33333333333417</v>
      </c>
      <c r="S87" s="62">
        <f ca="1">AVERAGE(OFFSET($R$3,0,0,'Données projet'!$E$9+1,1))-AVERAGE(OFFSET($H$3,0,0,'Données projet'!$E$9+1,1))</f>
        <v>110.90259639804435</v>
      </c>
      <c r="T87" s="62">
        <f t="shared" si="88"/>
        <v>156.34514945935405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0.93166064099284973</v>
      </c>
      <c r="AA87" s="23">
        <f>EXP(-LN(2)/25)*AA86+(1-EXP(-LN(2)/25))/(LN(2)/25)*Calculateur!V87*Calculateur!X87*VLOOKUP('Données projet'!$B$9,Paramètres!$A$1:$I$89,3,0)*0.475*44/12</f>
        <v>0.60501463324406213</v>
      </c>
      <c r="AB87" s="23">
        <f>EXP(-LN(2)/2)*AB86+(1-EXP(-LN(2)/2))/(LN(2)/2)*V87*Y87*VLOOKUP('Données projet'!$B$9,Paramètres!$A$1:$I$89,3,0)*0.475*44/12</f>
        <v>1.5134214893631537E-7</v>
      </c>
      <c r="AC87" s="24">
        <f t="shared" si="57"/>
        <v>1.5366754255790609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7</v>
      </c>
      <c r="AI87" s="14">
        <f>IF('Données projet'!$A$62&gt;35,AI86+AH87-AQ86,IF(A87&lt;'Données projet'!$A$62,$AF$205^A87,IF(A87='Données projet'!$A$62,'Données projet'!$B$62,AI86+AH87-AQ86)))</f>
        <v>276.99999999999977</v>
      </c>
      <c r="AJ87" s="14">
        <f>AI87*VLOOKUP('Données projet'!$B$10,Paramètres!$A$1:$I$89,3,0)*VLOOKUP('Données projet'!$B$10,Paramètres!$A$1:$I$89,5,0)</f>
        <v>237.66599999999983</v>
      </c>
      <c r="AK87" s="14">
        <f t="shared" si="89"/>
        <v>57.937073751904528</v>
      </c>
      <c r="AL87" s="22">
        <f t="shared" si="58"/>
        <v>514.84202011790001</v>
      </c>
      <c r="AM87" s="62">
        <f t="shared" si="59"/>
        <v>808.17535345123338</v>
      </c>
      <c r="AN87" s="62">
        <f ca="1">AVERAGE(OFFSET($AM$3,0,0,'Données projet'!$E$10+1,1))-AVERAGE(OFFSET($H$3,0,0,'Données projet'!$E$10+1,1))</f>
        <v>174.46631997577833</v>
      </c>
      <c r="AO87" s="62">
        <f t="shared" si="90"/>
        <v>79.07564466480153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461.64001394761442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2.6602720026858149E-14</v>
      </c>
      <c r="P88" s="14">
        <f t="shared" si="87"/>
        <v>4.6624771586320878E-13</v>
      </c>
      <c r="Q88" s="22">
        <f t="shared" si="54"/>
        <v>8.583811758418665E-13</v>
      </c>
      <c r="R88" s="62">
        <f t="shared" si="55"/>
        <v>293.33333333333417</v>
      </c>
      <c r="S88" s="62">
        <f ca="1">AVERAGE(OFFSET($R$3,0,0,'Données projet'!$E$9+1,1))-AVERAGE(OFFSET($H$3,0,0,'Données projet'!$E$9+1,1))</f>
        <v>110.90259639804435</v>
      </c>
      <c r="T88" s="62">
        <f t="shared" si="88"/>
        <v>156.34514945935405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0.91339134407986022</v>
      </c>
      <c r="AA88" s="23">
        <f>EXP(-LN(2)/25)*AA87+(1-EXP(-LN(2)/25))/(LN(2)/25)*Calculateur!V88*Calculateur!X88*VLOOKUP('Données projet'!$B$9,Paramètres!$A$1:$I$89,3,0)*0.475*44/12</f>
        <v>0.58847047628166649</v>
      </c>
      <c r="AB88" s="23">
        <f>EXP(-LN(2)/2)*AB87+(1-EXP(-LN(2)/2))/(LN(2)/2)*V88*Y88*VLOOKUP('Données projet'!$B$9,Paramètres!$A$1:$I$89,3,0)*0.475*44/12</f>
        <v>1.0701505979221304E-7</v>
      </c>
      <c r="AC88" s="24">
        <f t="shared" si="57"/>
        <v>1.5018619273765863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284</v>
      </c>
      <c r="AG88" s="13">
        <f>VLOOKUP(A88,'Données projet'!$A$61:$I$81,9,0)</f>
        <v>7</v>
      </c>
      <c r="AH88" s="13">
        <f t="array" ref="AH88">INDEX(AG:AG,MIN(IF(ISNUMBER(AG88:AG284),ROW(AG88:AG284),"")))</f>
        <v>7</v>
      </c>
      <c r="AI88" s="14">
        <f>IF('Données projet'!$A$62&gt;35,AI87+AH88-AQ87,IF(A88&lt;'Données projet'!$A$62,$AF$205^A88,IF(A88='Données projet'!$A$62,'Données projet'!$B$62,AI87+AH88-AQ87)))</f>
        <v>283.99999999999977</v>
      </c>
      <c r="AJ88" s="14">
        <f>AI88*VLOOKUP('Données projet'!$B$10,Paramètres!$A$1:$I$89,3,0)*VLOOKUP('Données projet'!$B$10,Paramètres!$A$1:$I$89,5,0)</f>
        <v>243.67199999999983</v>
      </c>
      <c r="AK88" s="14">
        <f t="shared" si="89"/>
        <v>59.228879636606152</v>
      </c>
      <c r="AL88" s="22">
        <f t="shared" si="58"/>
        <v>527.55236536708867</v>
      </c>
      <c r="AM88" s="62">
        <f t="shared" si="59"/>
        <v>820.88569870042193</v>
      </c>
      <c r="AN88" s="62">
        <f ca="1">AVERAGE(OFFSET($AM$3,0,0,'Données projet'!$E$10+1,1))-AVERAGE(OFFSET($H$3,0,0,'Données projet'!$E$10+1,1))</f>
        <v>174.46631997577833</v>
      </c>
      <c r="AO88" s="62">
        <f t="shared" si="90"/>
        <v>79.07564466480153</v>
      </c>
      <c r="AP88" s="16">
        <f>IF(ISNA(VLOOKUP(A88,'Données projet'!$A$61:$I$81,3,0)),0,VLOOKUP(A88,'Données projet'!$A$61:$I$81,3,0))</f>
        <v>12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463.56961905340103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2.6602720026858149E-14</v>
      </c>
      <c r="P89" s="14">
        <f t="shared" si="87"/>
        <v>4.6624771586320878E-13</v>
      </c>
      <c r="Q89" s="22">
        <f t="shared" si="54"/>
        <v>8.583811758418665E-13</v>
      </c>
      <c r="R89" s="62">
        <f t="shared" si="55"/>
        <v>293.33333333333417</v>
      </c>
      <c r="S89" s="62">
        <f ca="1">AVERAGE(OFFSET($R$3,0,0,'Données projet'!$E$9+1,1))-AVERAGE(OFFSET($H$3,0,0,'Données projet'!$E$9+1,1))</f>
        <v>110.90259639804435</v>
      </c>
      <c r="T89" s="62">
        <f t="shared" si="88"/>
        <v>156.34514945935405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0.8954802969361636</v>
      </c>
      <c r="AA89" s="23">
        <f>EXP(-LN(2)/25)*AA88+(1-EXP(-LN(2)/25))/(LN(2)/25)*Calculateur!V89*Calculateur!X89*VLOOKUP('Données projet'!$B$9,Paramètres!$A$1:$I$89,3,0)*0.475*44/12</f>
        <v>0.57237872016142699</v>
      </c>
      <c r="AB89" s="23">
        <f>EXP(-LN(2)/2)*AB88+(1-EXP(-LN(2)/2))/(LN(2)/2)*V89*Y89*VLOOKUP('Données projet'!$B$9,Paramètres!$A$1:$I$89,3,0)*0.475*44/12</f>
        <v>7.5671074468157684E-8</v>
      </c>
      <c r="AC89" s="24">
        <f t="shared" si="57"/>
        <v>1.4678590927686652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6.6</v>
      </c>
      <c r="AI89" s="14">
        <f>IF('Données projet'!$A$62&gt;35,AI88+AH89-AQ88,IF(A89&lt;'Données projet'!$A$62,$AF$205^A89,IF(A89='Données projet'!$A$62,'Données projet'!$B$62,AI88+AH89-AQ88)))</f>
        <v>269.5999999999998</v>
      </c>
      <c r="AJ89" s="14">
        <f>AI89*VLOOKUP('Données projet'!$B$10,Paramètres!$A$1:$I$89,3,0)*VLOOKUP('Données projet'!$B$10,Paramètres!$A$1:$I$89,5,0)</f>
        <v>231.31679999999983</v>
      </c>
      <c r="AK89" s="14">
        <f t="shared" si="89"/>
        <v>56.567309807584202</v>
      </c>
      <c r="AL89" s="22">
        <f t="shared" si="58"/>
        <v>501.39815791487553</v>
      </c>
      <c r="AM89" s="62">
        <f t="shared" si="59"/>
        <v>794.73149124820884</v>
      </c>
      <c r="AN89" s="62">
        <f ca="1">AVERAGE(OFFSET($AM$3,0,0,'Données projet'!$E$10+1,1))-AVERAGE(OFFSET($H$3,0,0,'Données projet'!$E$10+1,1))</f>
        <v>174.46631997577833</v>
      </c>
      <c r="AO89" s="62">
        <f t="shared" si="90"/>
        <v>79.07564466480153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465.49870893149051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2.6602720026858149E-14</v>
      </c>
      <c r="P90" s="14">
        <f t="shared" si="87"/>
        <v>4.6624771586320878E-13</v>
      </c>
      <c r="Q90" s="22">
        <f t="shared" si="54"/>
        <v>8.583811758418665E-13</v>
      </c>
      <c r="R90" s="62">
        <f t="shared" si="55"/>
        <v>293.33333333333417</v>
      </c>
      <c r="S90" s="62">
        <f ca="1">AVERAGE(OFFSET($R$3,0,0,'Données projet'!$E$9+1,1))-AVERAGE(OFFSET($H$3,0,0,'Données projet'!$E$9+1,1))</f>
        <v>110.90259639804435</v>
      </c>
      <c r="T90" s="62">
        <f t="shared" si="88"/>
        <v>156.34514945935405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0.87792047450229482</v>
      </c>
      <c r="AA90" s="23">
        <f>EXP(-LN(2)/25)*AA89+(1-EXP(-LN(2)/25))/(LN(2)/25)*Calculateur!V90*Calculateur!X90*VLOOKUP('Données projet'!$B$9,Paramètres!$A$1:$I$89,3,0)*0.475*44/12</f>
        <v>0.5567269939585241</v>
      </c>
      <c r="AB90" s="23">
        <f>EXP(-LN(2)/2)*AB89+(1-EXP(-LN(2)/2))/(LN(2)/2)*V90*Y90*VLOOKUP('Données projet'!$B$9,Paramètres!$A$1:$I$89,3,0)*0.475*44/12</f>
        <v>5.350752989610652E-8</v>
      </c>
      <c r="AC90" s="24">
        <f t="shared" si="57"/>
        <v>1.434647521968349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6.6</v>
      </c>
      <c r="AI90" s="14">
        <f>IF('Données projet'!$A$62&gt;35,AI89+AH90-AQ89,IF(A90&lt;'Données projet'!$A$62,$AF$205^A90,IF(A90='Données projet'!$A$62,'Données projet'!$B$62,AI89+AH90-AQ89)))</f>
        <v>276.19999999999982</v>
      </c>
      <c r="AJ90" s="14">
        <f>AI90*VLOOKUP('Données projet'!$B$10,Paramètres!$A$1:$I$89,3,0)*VLOOKUP('Données projet'!$B$10,Paramètres!$A$1:$I$89,5,0)</f>
        <v>236.97959999999986</v>
      </c>
      <c r="AK90" s="14">
        <f t="shared" si="89"/>
        <v>57.789198481081975</v>
      </c>
      <c r="AL90" s="22">
        <f t="shared" si="58"/>
        <v>513.38899068788419</v>
      </c>
      <c r="AM90" s="62">
        <f t="shared" si="59"/>
        <v>806.72232402121745</v>
      </c>
      <c r="AN90" s="62">
        <f ca="1">AVERAGE(OFFSET($AM$3,0,0,'Données projet'!$E$10+1,1))-AVERAGE(OFFSET($H$3,0,0,'Données projet'!$E$10+1,1))</f>
        <v>174.46631997577833</v>
      </c>
      <c r="AO90" s="62">
        <f t="shared" si="90"/>
        <v>79.07564466480153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467.42729018925121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2.6602720026858149E-14</v>
      </c>
      <c r="P91" s="14">
        <f t="shared" si="87"/>
        <v>4.6624771586320878E-13</v>
      </c>
      <c r="Q91" s="22">
        <f t="shared" si="54"/>
        <v>8.583811758418665E-13</v>
      </c>
      <c r="R91" s="62">
        <f t="shared" si="55"/>
        <v>293.33333333333417</v>
      </c>
      <c r="S91" s="62">
        <f ca="1">AVERAGE(OFFSET($R$3,0,0,'Données projet'!$E$9+1,1))-AVERAGE(OFFSET($H$3,0,0,'Données projet'!$E$9+1,1))</f>
        <v>110.90259639804435</v>
      </c>
      <c r="T91" s="62">
        <f t="shared" si="88"/>
        <v>156.34514945935405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0.86070498947592011</v>
      </c>
      <c r="AA91" s="23">
        <f>EXP(-LN(2)/25)*AA90+(1-EXP(-LN(2)/25))/(LN(2)/25)*Calculateur!V91*Calculateur!X91*VLOOKUP('Données projet'!$B$9,Paramètres!$A$1:$I$89,3,0)*0.475*44/12</f>
        <v>0.54150326503172808</v>
      </c>
      <c r="AB91" s="23">
        <f>EXP(-LN(2)/2)*AB90+(1-EXP(-LN(2)/2))/(LN(2)/2)*V91*Y91*VLOOKUP('Données projet'!$B$9,Paramètres!$A$1:$I$89,3,0)*0.475*44/12</f>
        <v>3.7835537234078842E-8</v>
      </c>
      <c r="AC91" s="24">
        <f t="shared" si="57"/>
        <v>1.4022082923431853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6.6</v>
      </c>
      <c r="AI91" s="14">
        <f>IF('Données projet'!$A$62&gt;35,AI90+AH91-AQ90,IF(A91&lt;'Données projet'!$A$62,$AF$205^A91,IF(A91='Données projet'!$A$62,'Données projet'!$B$62,AI90+AH91-AQ90)))</f>
        <v>282.79999999999984</v>
      </c>
      <c r="AJ91" s="14">
        <f>AI91*VLOOKUP('Données projet'!$B$10,Paramètres!$A$1:$I$89,3,0)*VLOOKUP('Données projet'!$B$10,Paramètres!$A$1:$I$89,5,0)</f>
        <v>242.6423999999999</v>
      </c>
      <c r="AK91" s="14">
        <f t="shared" si="89"/>
        <v>59.007692897618249</v>
      </c>
      <c r="AL91" s="22">
        <f t="shared" si="58"/>
        <v>525.37391179668487</v>
      </c>
      <c r="AM91" s="62">
        <f t="shared" si="59"/>
        <v>818.70724513001824</v>
      </c>
      <c r="AN91" s="62">
        <f ca="1">AVERAGE(OFFSET($AM$3,0,0,'Données projet'!$E$10+1,1))-AVERAGE(OFFSET($H$3,0,0,'Données projet'!$E$10+1,1))</f>
        <v>174.46631997577833</v>
      </c>
      <c r="AO91" s="62">
        <f t="shared" si="90"/>
        <v>79.07564466480153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469.35536927523879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2.6602720026858149E-14</v>
      </c>
      <c r="P92" s="14">
        <f t="shared" si="87"/>
        <v>4.6624771586320878E-13</v>
      </c>
      <c r="Q92" s="22">
        <f t="shared" si="54"/>
        <v>8.583811758418665E-13</v>
      </c>
      <c r="R92" s="62">
        <f t="shared" si="55"/>
        <v>293.33333333333417</v>
      </c>
      <c r="S92" s="62">
        <f ca="1">AVERAGE(OFFSET($R$3,0,0,'Données projet'!$E$9+1,1))-AVERAGE(OFFSET($H$3,0,0,'Données projet'!$E$9+1,1))</f>
        <v>110.90259639804435</v>
      </c>
      <c r="T92" s="62">
        <f t="shared" si="88"/>
        <v>156.34514945935405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0.84382708961050357</v>
      </c>
      <c r="AA92" s="23">
        <f>EXP(-LN(2)/25)*AA91+(1-EXP(-LN(2)/25))/(LN(2)/25)*Calculateur!V92*Calculateur!X92*VLOOKUP('Données projet'!$B$9,Paramètres!$A$1:$I$89,3,0)*0.475*44/12</f>
        <v>0.52669582977301643</v>
      </c>
      <c r="AB92" s="23">
        <f>EXP(-LN(2)/2)*AB91+(1-EXP(-LN(2)/2))/(LN(2)/2)*V92*Y92*VLOOKUP('Données projet'!$B$9,Paramètres!$A$1:$I$89,3,0)*0.475*44/12</f>
        <v>2.675376494805326E-8</v>
      </c>
      <c r="AC92" s="24">
        <f t="shared" si="57"/>
        <v>1.370522946137285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6.6</v>
      </c>
      <c r="AI92" s="14">
        <f>IF('Données projet'!$A$62&gt;35,AI91+AH92-AQ91,IF(A92&lt;'Données projet'!$A$62,$AF$205^A92,IF(A92='Données projet'!$A$62,'Données projet'!$B$62,AI91+AH92-AQ91)))</f>
        <v>289.39999999999986</v>
      </c>
      <c r="AJ92" s="14">
        <f>AI92*VLOOKUP('Données projet'!$B$10,Paramètres!$A$1:$I$89,3,0)*VLOOKUP('Données projet'!$B$10,Paramètres!$A$1:$I$89,5,0)</f>
        <v>248.3051999999999</v>
      </c>
      <c r="AK92" s="14">
        <f t="shared" si="89"/>
        <v>60.222881389387204</v>
      </c>
      <c r="AL92" s="22">
        <f t="shared" si="58"/>
        <v>537.3530750865159</v>
      </c>
      <c r="AM92" s="62">
        <f t="shared" si="59"/>
        <v>830.68640841984916</v>
      </c>
      <c r="AN92" s="62">
        <f ca="1">AVERAGE(OFFSET($AM$3,0,0,'Données projet'!$E$10+1,1))-AVERAGE(OFFSET($H$3,0,0,'Données projet'!$E$10+1,1))</f>
        <v>174.46631997577833</v>
      </c>
      <c r="AO92" s="62">
        <f t="shared" si="90"/>
        <v>79.07564466480153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471.2829524847545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2.6602720026858149E-14</v>
      </c>
      <c r="P93" s="14">
        <f t="shared" si="87"/>
        <v>4.6624771586320878E-13</v>
      </c>
      <c r="Q93" s="22">
        <f t="shared" si="54"/>
        <v>8.583811758418665E-13</v>
      </c>
      <c r="R93" s="62">
        <f t="shared" si="55"/>
        <v>293.33333333333417</v>
      </c>
      <c r="S93" s="62">
        <f ca="1">AVERAGE(OFFSET($R$3,0,0,'Données projet'!$E$9+1,1))-AVERAGE(OFFSET($H$3,0,0,'Données projet'!$E$9+1,1))</f>
        <v>110.90259639804435</v>
      </c>
      <c r="T93" s="62">
        <f t="shared" si="88"/>
        <v>156.34514945935405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0.82728015506694541</v>
      </c>
      <c r="AA93" s="23">
        <f>EXP(-LN(2)/25)*AA92+(1-EXP(-LN(2)/25))/(LN(2)/25)*Calculateur!V93*Calculateur!X93*VLOOKUP('Données projet'!$B$9,Paramètres!$A$1:$I$89,3,0)*0.475*44/12</f>
        <v>0.51229330461014344</v>
      </c>
      <c r="AB93" s="23">
        <f>EXP(-LN(2)/2)*AB92+(1-EXP(-LN(2)/2))/(LN(2)/2)*V93*Y93*VLOOKUP('Données projet'!$B$9,Paramètres!$A$1:$I$89,3,0)*0.475*44/12</f>
        <v>1.8917768617039421E-8</v>
      </c>
      <c r="AC93" s="24">
        <f t="shared" si="57"/>
        <v>1.3395734785948576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6.6</v>
      </c>
      <c r="AH93" s="13">
        <f t="array" ref="AH93">INDEX(AG:AG,MIN(IF(ISNUMBER(AG93:AG289),ROW(AG93:AG289),"")))</f>
        <v>6.6</v>
      </c>
      <c r="AI93" s="14">
        <f>IF('Données projet'!$A$62&gt;35,AI92+AH93-AQ92,IF(A93&lt;'Données projet'!$A$62,$AF$205^A93,IF(A93='Données projet'!$A$62,'Données projet'!$B$62,AI92+AH93-AQ92)))</f>
        <v>295.99999999999989</v>
      </c>
      <c r="AJ93" s="14">
        <f>AI93*VLOOKUP('Données projet'!$B$10,Paramètres!$A$1:$I$89,3,0)*VLOOKUP('Données projet'!$B$10,Paramètres!$A$1:$I$89,5,0)</f>
        <v>253.96799999999993</v>
      </c>
      <c r="AK93" s="14">
        <f t="shared" si="89"/>
        <v>61.434848029666512</v>
      </c>
      <c r="AL93" s="22">
        <f t="shared" si="58"/>
        <v>549.32662698500235</v>
      </c>
      <c r="AM93" s="62">
        <f t="shared" si="59"/>
        <v>842.65996031833561</v>
      </c>
      <c r="AN93" s="62">
        <f ca="1">AVERAGE(OFFSET($AM$3,0,0,'Données projet'!$E$10+1,1))-AVERAGE(OFFSET($H$3,0,0,'Données projet'!$E$10+1,1))</f>
        <v>174.46631997577833</v>
      </c>
      <c r="AO93" s="62">
        <f t="shared" si="90"/>
        <v>79.07564466480153</v>
      </c>
      <c r="AP93" s="16">
        <f>IF(ISNA(VLOOKUP(A93,'Données projet'!$A$61:$I$81,3,0)),0,VLOOKUP(A93,'Données projet'!$A$61:$I$81,3,0))</f>
        <v>13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473.21004596514888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2.6602720026858149E-14</v>
      </c>
      <c r="P94" s="14">
        <f t="shared" si="87"/>
        <v>4.6624771586320878E-13</v>
      </c>
      <c r="Q94" s="22">
        <f t="shared" si="54"/>
        <v>8.583811758418665E-13</v>
      </c>
      <c r="R94" s="62">
        <f t="shared" si="55"/>
        <v>293.33333333333417</v>
      </c>
      <c r="S94" s="62">
        <f ca="1">AVERAGE(OFFSET($R$3,0,0,'Données projet'!$E$9+1,1))-AVERAGE(OFFSET($H$3,0,0,'Données projet'!$E$9+1,1))</f>
        <v>110.90259639804435</v>
      </c>
      <c r="T94" s="62">
        <f t="shared" si="88"/>
        <v>156.34514945935405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0.81105769581715292</v>
      </c>
      <c r="AA94" s="23">
        <f>EXP(-LN(2)/25)*AA93+(1-EXP(-LN(2)/25))/(LN(2)/25)*Calculateur!V94*Calculateur!X94*VLOOKUP('Données projet'!$B$9,Paramètres!$A$1:$I$89,3,0)*0.475*44/12</f>
        <v>0.49828461725524503</v>
      </c>
      <c r="AB94" s="23">
        <f>EXP(-LN(2)/2)*AB93+(1-EXP(-LN(2)/2))/(LN(2)/2)*V94*Y94*VLOOKUP('Données projet'!$B$9,Paramètres!$A$1:$I$89,3,0)*0.475*44/12</f>
        <v>1.337688247402663E-8</v>
      </c>
      <c r="AC94" s="24">
        <f t="shared" si="57"/>
        <v>1.3093423264492805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6.2</v>
      </c>
      <c r="AI94" s="14">
        <f>IF('Données projet'!$A$62&gt;35,AI93+AH94-AQ93,IF(A94&lt;'Données projet'!$A$62,$AF$205^A94,IF(A94='Données projet'!$A$62,'Données projet'!$B$62,AI93+AH94-AQ93)))</f>
        <v>281.19999999999987</v>
      </c>
      <c r="AJ94" s="14">
        <f>AI94*VLOOKUP('Données projet'!$B$10,Paramètres!$A$1:$I$89,3,0)*VLOOKUP('Données projet'!$B$10,Paramètres!$A$1:$I$89,5,0)</f>
        <v>241.26959999999991</v>
      </c>
      <c r="AK94" s="14">
        <f t="shared" si="89"/>
        <v>58.71260717188342</v>
      </c>
      <c r="AL94" s="22">
        <f t="shared" si="58"/>
        <v>522.46901082436341</v>
      </c>
      <c r="AM94" s="62">
        <f t="shared" si="59"/>
        <v>815.80234415769678</v>
      </c>
      <c r="AN94" s="62">
        <f ca="1">AVERAGE(OFFSET($AM$3,0,0,'Données projet'!$E$10+1,1))-AVERAGE(OFFSET($H$3,0,0,'Données projet'!$E$10+1,1))</f>
        <v>174.46631997577833</v>
      </c>
      <c r="AO94" s="62">
        <f t="shared" si="90"/>
        <v>79.07564466480153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475.1366557208853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2.6602720026858149E-14</v>
      </c>
      <c r="P95" s="14">
        <f t="shared" si="87"/>
        <v>4.6624771586320878E-13</v>
      </c>
      <c r="Q95" s="22">
        <f t="shared" si="54"/>
        <v>8.583811758418665E-13</v>
      </c>
      <c r="R95" s="62">
        <f t="shared" si="55"/>
        <v>293.33333333333417</v>
      </c>
      <c r="S95" s="62">
        <f ca="1">AVERAGE(OFFSET($R$3,0,0,'Données projet'!$E$9+1,1))-AVERAGE(OFFSET($H$3,0,0,'Données projet'!$E$9+1,1))</f>
        <v>110.90259639804435</v>
      </c>
      <c r="T95" s="62">
        <f t="shared" si="88"/>
        <v>156.34514945935405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0.79515334909852575</v>
      </c>
      <c r="AA95" s="23">
        <f>EXP(-LN(2)/25)*AA94+(1-EXP(-LN(2)/25))/(LN(2)/25)*Calculateur!V95*Calculateur!X95*VLOOKUP('Données projet'!$B$9,Paramètres!$A$1:$I$89,3,0)*0.475*44/12</f>
        <v>0.48465899819275116</v>
      </c>
      <c r="AB95" s="23">
        <f>EXP(-LN(2)/2)*AB94+(1-EXP(-LN(2)/2))/(LN(2)/2)*V95*Y95*VLOOKUP('Données projet'!$B$9,Paramètres!$A$1:$I$89,3,0)*0.475*44/12</f>
        <v>9.4588843085197105E-9</v>
      </c>
      <c r="AC95" s="24">
        <f t="shared" si="57"/>
        <v>1.2798123567501611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6.2</v>
      </c>
      <c r="AI95" s="14">
        <f>IF('Données projet'!$A$62&gt;35,AI94+AH95-AQ94,IF(A95&lt;'Données projet'!$A$62,$AF$205^A95,IF(A95='Données projet'!$A$62,'Données projet'!$B$62,AI94+AH95-AQ94)))</f>
        <v>287.39999999999986</v>
      </c>
      <c r="AJ95" s="14">
        <f>AI95*VLOOKUP('Données projet'!$B$10,Paramètres!$A$1:$I$89,3,0)*VLOOKUP('Données projet'!$B$10,Paramètres!$A$1:$I$89,5,0)</f>
        <v>246.58919999999992</v>
      </c>
      <c r="AK95" s="14">
        <f t="shared" si="89"/>
        <v>59.854986461295475</v>
      </c>
      <c r="AL95" s="22">
        <f t="shared" si="58"/>
        <v>533.72362475342277</v>
      </c>
      <c r="AM95" s="62">
        <f t="shared" si="59"/>
        <v>827.05695808675614</v>
      </c>
      <c r="AN95" s="62">
        <f ca="1">AVERAGE(OFFSET($AM$3,0,0,'Données projet'!$E$10+1,1))-AVERAGE(OFFSET($H$3,0,0,'Données projet'!$E$10+1,1))</f>
        <v>174.46631997577833</v>
      </c>
      <c r="AO95" s="62">
        <f t="shared" si="90"/>
        <v>79.07564466480153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477.06278761837774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2.6602720026858149E-14</v>
      </c>
      <c r="P96" s="14">
        <f t="shared" si="87"/>
        <v>4.6624771586320878E-13</v>
      </c>
      <c r="Q96" s="22">
        <f t="shared" si="54"/>
        <v>8.583811758418665E-13</v>
      </c>
      <c r="R96" s="62">
        <f t="shared" si="55"/>
        <v>293.33333333333417</v>
      </c>
      <c r="S96" s="62">
        <f ca="1">AVERAGE(OFFSET($R$3,0,0,'Données projet'!$E$9+1,1))-AVERAGE(OFFSET($H$3,0,0,'Données projet'!$E$9+1,1))</f>
        <v>110.90259639804435</v>
      </c>
      <c r="T96" s="62">
        <f t="shared" si="88"/>
        <v>156.34514945935405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0.77956087691835729</v>
      </c>
      <c r="AA96" s="23">
        <f>EXP(-LN(2)/25)*AA95+(1-EXP(-LN(2)/25))/(LN(2)/25)*Calculateur!V96*Calculateur!X96*VLOOKUP('Données projet'!$B$9,Paramètres!$A$1:$I$89,3,0)*0.475*44/12</f>
        <v>0.47140597240006138</v>
      </c>
      <c r="AB96" s="23">
        <f>EXP(-LN(2)/2)*AB95+(1-EXP(-LN(2)/2))/(LN(2)/2)*V96*Y96*VLOOKUP('Données projet'!$B$9,Paramètres!$A$1:$I$89,3,0)*0.475*44/12</f>
        <v>6.6884412370133149E-9</v>
      </c>
      <c r="AC96" s="24">
        <f t="shared" si="57"/>
        <v>1.2509668560068599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6.2</v>
      </c>
      <c r="AI96" s="14">
        <f>IF('Données projet'!$A$62&gt;35,AI95+AH96-AQ95,IF(A96&lt;'Données projet'!$A$62,$AF$205^A96,IF(A96='Données projet'!$A$62,'Données projet'!$B$62,AI95+AH96-AQ95)))</f>
        <v>293.59999999999985</v>
      </c>
      <c r="AJ96" s="14">
        <f>AI96*VLOOKUP('Données projet'!$B$10,Paramètres!$A$1:$I$89,3,0)*VLOOKUP('Données projet'!$B$10,Paramètres!$A$1:$I$89,5,0)</f>
        <v>251.9087999999999</v>
      </c>
      <c r="AK96" s="14">
        <f t="shared" si="89"/>
        <v>60.99450052606884</v>
      </c>
      <c r="AL96" s="22">
        <f t="shared" si="58"/>
        <v>544.97324841623629</v>
      </c>
      <c r="AM96" s="62">
        <f t="shared" si="59"/>
        <v>838.30658174956966</v>
      </c>
      <c r="AN96" s="62">
        <f ca="1">AVERAGE(OFFSET($AM$3,0,0,'Données projet'!$E$10+1,1))-AVERAGE(OFFSET($H$3,0,0,'Données projet'!$E$10+1,1))</f>
        <v>174.46631997577833</v>
      </c>
      <c r="AO96" s="62">
        <f t="shared" si="90"/>
        <v>79.07564466480153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478.98844739061411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2.6602720026858149E-14</v>
      </c>
      <c r="P97" s="14">
        <f t="shared" si="87"/>
        <v>4.6624771586320878E-13</v>
      </c>
      <c r="Q97" s="22">
        <f t="shared" si="54"/>
        <v>8.583811758418665E-13</v>
      </c>
      <c r="R97" s="62">
        <f t="shared" si="55"/>
        <v>293.33333333333417</v>
      </c>
      <c r="S97" s="62">
        <f ca="1">AVERAGE(OFFSET($R$3,0,0,'Données projet'!$E$9+1,1))-AVERAGE(OFFSET($H$3,0,0,'Données projet'!$E$9+1,1))</f>
        <v>110.90259639804435</v>
      </c>
      <c r="T97" s="62">
        <f t="shared" si="88"/>
        <v>156.34514945935405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0.76427416360717293</v>
      </c>
      <c r="AA97" s="23">
        <f>EXP(-LN(2)/25)*AA96+(1-EXP(-LN(2)/25))/(LN(2)/25)*Calculateur!V97*Calculateur!X97*VLOOKUP('Données projet'!$B$9,Paramètres!$A$1:$I$89,3,0)*0.475*44/12</f>
        <v>0.45851535129461901</v>
      </c>
      <c r="AB97" s="23">
        <f>EXP(-LN(2)/2)*AB96+(1-EXP(-LN(2)/2))/(LN(2)/2)*V97*Y97*VLOOKUP('Données projet'!$B$9,Paramètres!$A$1:$I$89,3,0)*0.475*44/12</f>
        <v>4.7294421542598553E-9</v>
      </c>
      <c r="AC97" s="24">
        <f t="shared" si="57"/>
        <v>1.2227895196312342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6.2</v>
      </c>
      <c r="AI97" s="14">
        <f>IF('Données projet'!$A$62&gt;35,AI96+AH97-AQ96,IF(A97&lt;'Données projet'!$A$62,$AF$205^A97,IF(A97='Données projet'!$A$62,'Données projet'!$B$62,AI96+AH97-AQ96)))</f>
        <v>299.79999999999984</v>
      </c>
      <c r="AJ97" s="14">
        <f>AI97*VLOOKUP('Données projet'!$B$10,Paramètres!$A$1:$I$89,3,0)*VLOOKUP('Données projet'!$B$10,Paramètres!$A$1:$I$89,5,0)</f>
        <v>257.22839999999991</v>
      </c>
      <c r="AK97" s="14">
        <f t="shared" si="89"/>
        <v>62.131216841636373</v>
      </c>
      <c r="AL97" s="22">
        <f t="shared" si="58"/>
        <v>556.21799933251657</v>
      </c>
      <c r="AM97" s="62">
        <f t="shared" si="59"/>
        <v>849.55133266584994</v>
      </c>
      <c r="AN97" s="62">
        <f ca="1">AVERAGE(OFFSET($AM$3,0,0,'Données projet'!$E$10+1,1))-AVERAGE(OFFSET($H$3,0,0,'Données projet'!$E$10+1,1))</f>
        <v>174.46631997577833</v>
      </c>
      <c r="AO97" s="62">
        <f t="shared" si="90"/>
        <v>79.07564466480153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480.91364064157727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2.6602720026858149E-14</v>
      </c>
      <c r="P98" s="14">
        <f t="shared" si="87"/>
        <v>4.6624771586320878E-13</v>
      </c>
      <c r="Q98" s="22">
        <f t="shared" si="54"/>
        <v>8.583811758418665E-13</v>
      </c>
      <c r="R98" s="62">
        <f t="shared" si="55"/>
        <v>293.33333333333417</v>
      </c>
      <c r="S98" s="62">
        <f ca="1">AVERAGE(OFFSET($R$3,0,0,'Données projet'!$E$9+1,1))-AVERAGE(OFFSET($H$3,0,0,'Données projet'!$E$9+1,1))</f>
        <v>110.90259639804435</v>
      </c>
      <c r="T98" s="62">
        <f t="shared" si="88"/>
        <v>156.34514945935405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0.74928721342004645</v>
      </c>
      <c r="AA98" s="23">
        <f>EXP(-LN(2)/25)*AA97+(1-EXP(-LN(2)/25))/(LN(2)/25)*Calculateur!V98*Calculateur!X98*VLOOKUP('Données projet'!$B$9,Paramètres!$A$1:$I$89,3,0)*0.475*44/12</f>
        <v>0.44597722490119329</v>
      </c>
      <c r="AB98" s="23">
        <f>EXP(-LN(2)/2)*AB97+(1-EXP(-LN(2)/2))/(LN(2)/2)*V98*Y98*VLOOKUP('Données projet'!$B$9,Paramètres!$A$1:$I$89,3,0)*0.475*44/12</f>
        <v>3.3442206185066575E-9</v>
      </c>
      <c r="AC98" s="24">
        <f t="shared" si="57"/>
        <v>1.1952644416654603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306</v>
      </c>
      <c r="AG98" s="13">
        <f>VLOOKUP(A98,'Données projet'!$A$61:$I$81,9,0)</f>
        <v>6.2</v>
      </c>
      <c r="AH98" s="13">
        <f t="array" ref="AH98">INDEX(AG:AG,MIN(IF(ISNUMBER(AG98:AG294),ROW(AG98:AG294),"")))</f>
        <v>6.2</v>
      </c>
      <c r="AI98" s="14">
        <f>IF('Données projet'!$A$62&gt;35,AI97+AH98-AQ97,IF(A98&lt;'Données projet'!$A$62,$AF$205^A98,IF(A98='Données projet'!$A$62,'Données projet'!$B$62,AI97+AH98-AQ97)))</f>
        <v>305.99999999999983</v>
      </c>
      <c r="AJ98" s="14">
        <f>AI98*VLOOKUP('Données projet'!$B$10,Paramètres!$A$1:$I$89,3,0)*VLOOKUP('Données projet'!$B$10,Paramètres!$A$1:$I$89,5,0)</f>
        <v>262.54799999999989</v>
      </c>
      <c r="AK98" s="14">
        <f t="shared" si="89"/>
        <v>63.265199933079387</v>
      </c>
      <c r="AL98" s="22">
        <f t="shared" si="58"/>
        <v>567.45798988344643</v>
      </c>
      <c r="AM98" s="62">
        <f t="shared" si="59"/>
        <v>860.7913232167798</v>
      </c>
      <c r="AN98" s="62">
        <f ca="1">AVERAGE(OFFSET($AM$3,0,0,'Données projet'!$E$10+1,1))-AVERAGE(OFFSET($H$3,0,0,'Données projet'!$E$10+1,1))</f>
        <v>174.46631997577833</v>
      </c>
      <c r="AO98" s="62">
        <f t="shared" si="90"/>
        <v>79.07564466480153</v>
      </c>
      <c r="AP98" s="16">
        <f>IF(ISNA(VLOOKUP(A98,'Données projet'!$A$61:$I$81,3,0)),0,VLOOKUP(A98,'Données projet'!$A$61:$I$81,3,0))</f>
        <v>14</v>
      </c>
      <c r="AQ98" s="16">
        <f>IF(ISNA(VLOOKUP(A98,'Données projet'!$A$61:$I$81,4,0)),0,VLOOKUP(A98,'Données projet'!$A$61:$I$81,4,0))</f>
        <v>20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482.83837285047491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2.6602720026858149E-14</v>
      </c>
      <c r="P99" s="14">
        <f t="shared" si="87"/>
        <v>4.6624771586320878E-13</v>
      </c>
      <c r="Q99" s="22">
        <f t="shared" ref="Q99:Q130" si="107">(O99+P99)*0.475*44/12</f>
        <v>8.583811758418665E-13</v>
      </c>
      <c r="R99" s="62">
        <f t="shared" si="55"/>
        <v>293.33333333333417</v>
      </c>
      <c r="S99" s="62">
        <f ca="1">AVERAGE(OFFSET($R$3,0,0,'Données projet'!$E$9+1,1))-AVERAGE(OFFSET($H$3,0,0,'Données projet'!$E$9+1,1))</f>
        <v>110.90259639804435</v>
      </c>
      <c r="T99" s="62">
        <f t="shared" si="88"/>
        <v>156.34514945935405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0.7345941481849525</v>
      </c>
      <c r="AA99" s="23">
        <f>EXP(-LN(2)/25)*AA98+(1-EXP(-LN(2)/25))/(LN(2)/25)*Calculateur!V99*Calculateur!X99*VLOOKUP('Données projet'!$B$9,Paramètres!$A$1:$I$89,3,0)*0.475*44/12</f>
        <v>0.4337819542333472</v>
      </c>
      <c r="AB99" s="23">
        <f>EXP(-LN(2)/2)*AB98+(1-EXP(-LN(2)/2))/(LN(2)/2)*V99*Y99*VLOOKUP('Données projet'!$B$9,Paramètres!$A$1:$I$89,3,0)*0.475*44/12</f>
        <v>2.3647210771299276E-9</v>
      </c>
      <c r="AC99" s="24">
        <f t="shared" si="57"/>
        <v>1.1683761047830208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6</v>
      </c>
      <c r="AI99" s="14">
        <f>IF('Données projet'!$A$62&gt;35,AI98+AH99-AQ98,IF(A99&lt;'Données projet'!$A$62,$AF$205^A99,IF(A99='Données projet'!$A$62,'Données projet'!$B$62,AI98+AH99-AQ98)))</f>
        <v>291.99999999999983</v>
      </c>
      <c r="AJ99" s="14">
        <f>AI99*VLOOKUP('Données projet'!$B$10,Paramètres!$A$1:$I$89,3,0)*VLOOKUP('Données projet'!$B$10,Paramètres!$A$1:$I$89,5,0)</f>
        <v>250.53599999999986</v>
      </c>
      <c r="AK99" s="14">
        <f t="shared" si="89"/>
        <v>60.700702874726744</v>
      </c>
      <c r="AL99" s="22">
        <f t="shared" si="58"/>
        <v>542.07059084014872</v>
      </c>
      <c r="AM99" s="62">
        <f t="shared" si="59"/>
        <v>835.40392417348198</v>
      </c>
      <c r="AN99" s="62">
        <f ca="1">AVERAGE(OFFSET($AM$3,0,0,'Données projet'!$E$10+1,1))-AVERAGE(OFFSET($H$3,0,0,'Données projet'!$E$10+1,1))</f>
        <v>174.46631997577833</v>
      </c>
      <c r="AO99" s="62">
        <f t="shared" si="90"/>
        <v>79.07564466480153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484.76264937578765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2.6602720026858149E-14</v>
      </c>
      <c r="P100" s="14">
        <f t="shared" si="87"/>
        <v>4.6624771586320878E-13</v>
      </c>
      <c r="Q100" s="22">
        <f t="shared" si="107"/>
        <v>8.583811758418665E-13</v>
      </c>
      <c r="R100" s="62">
        <f t="shared" si="55"/>
        <v>293.33333333333417</v>
      </c>
      <c r="S100" s="62">
        <f ca="1">AVERAGE(OFFSET($R$3,0,0,'Données projet'!$E$9+1,1))-AVERAGE(OFFSET($H$3,0,0,'Données projet'!$E$9+1,1))</f>
        <v>110.90259639804435</v>
      </c>
      <c r="T100" s="62">
        <f t="shared" si="88"/>
        <v>156.34514945935405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0.72018920499723393</v>
      </c>
      <c r="AA100" s="23">
        <f>EXP(-LN(2)/25)*AA99+(1-EXP(-LN(2)/25))/(LN(2)/25)*Calculateur!V100*Calculateur!X100*VLOOKUP('Données projet'!$B$9,Paramètres!$A$1:$I$89,3,0)*0.475*44/12</f>
        <v>0.42192016388323478</v>
      </c>
      <c r="AB100" s="23">
        <f>EXP(-LN(2)/2)*AB99+(1-EXP(-LN(2)/2))/(LN(2)/2)*V100*Y100*VLOOKUP('Données projet'!$B$9,Paramètres!$A$1:$I$89,3,0)*0.475*44/12</f>
        <v>1.6721103092533287E-9</v>
      </c>
      <c r="AC100" s="24">
        <f t="shared" si="57"/>
        <v>1.1421093705525789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6</v>
      </c>
      <c r="AI100" s="14">
        <f>IF('Données projet'!$A$62&gt;35,AI99+AH100-AQ99,IF(A100&lt;'Données projet'!$A$62,$AF$205^A100,IF(A100='Données projet'!$A$62,'Données projet'!$B$62,AI99+AH100-AQ99)))</f>
        <v>297.99999999999983</v>
      </c>
      <c r="AJ100" s="14">
        <f>AI100*VLOOKUP('Données projet'!$B$10,Paramètres!$A$1:$I$89,3,0)*VLOOKUP('Données projet'!$B$10,Paramètres!$A$1:$I$89,5,0)</f>
        <v>255.68399999999988</v>
      </c>
      <c r="AK100" s="14">
        <f t="shared" si="89"/>
        <v>61.801486802993999</v>
      </c>
      <c r="AL100" s="22">
        <f t="shared" si="58"/>
        <v>552.9538895152142</v>
      </c>
      <c r="AM100" s="62">
        <f t="shared" si="59"/>
        <v>846.28722284854757</v>
      </c>
      <c r="AN100" s="62">
        <f ca="1">AVERAGE(OFFSET($AM$3,0,0,'Données projet'!$E$10+1,1))-AVERAGE(OFFSET($H$3,0,0,'Données projet'!$E$10+1,1))</f>
        <v>174.46631997577833</v>
      </c>
      <c r="AO100" s="62">
        <f t="shared" si="90"/>
        <v>79.07564466480153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486.68647545914564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2.6602720026858149E-14</v>
      </c>
      <c r="P101" s="14">
        <f t="shared" si="87"/>
        <v>4.6624771586320878E-13</v>
      </c>
      <c r="Q101" s="22">
        <f t="shared" si="107"/>
        <v>8.583811758418665E-13</v>
      </c>
      <c r="R101" s="62">
        <f t="shared" si="55"/>
        <v>293.33333333333417</v>
      </c>
      <c r="S101" s="62">
        <f ca="1">AVERAGE(OFFSET($R$3,0,0,'Données projet'!$E$9+1,1))-AVERAGE(OFFSET($H$3,0,0,'Données projet'!$E$9+1,1))</f>
        <v>110.90259639804435</v>
      </c>
      <c r="T101" s="62">
        <f t="shared" si="88"/>
        <v>156.34514945935405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0.70606673395927866</v>
      </c>
      <c r="AA101" s="23">
        <f>EXP(-LN(2)/25)*AA100+(1-EXP(-LN(2)/25))/(LN(2)/25)*Calculateur!V101*Calculateur!X101*VLOOKUP('Données projet'!$B$9,Paramètres!$A$1:$I$89,3,0)*0.475*44/12</f>
        <v>0.41038273481403059</v>
      </c>
      <c r="AB101" s="23">
        <f>EXP(-LN(2)/2)*AB100+(1-EXP(-LN(2)/2))/(LN(2)/2)*V101*Y101*VLOOKUP('Données projet'!$B$9,Paramètres!$A$1:$I$89,3,0)*0.475*44/12</f>
        <v>1.1823605385649638E-9</v>
      </c>
      <c r="AC101" s="24">
        <f t="shared" si="57"/>
        <v>1.1164494699556697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6</v>
      </c>
      <c r="AI101" s="14">
        <f>IF('Données projet'!$A$62&gt;35,AI100+AH101-AQ100,IF(A101&lt;'Données projet'!$A$62,$AF$205^A101,IF(A101='Données projet'!$A$62,'Données projet'!$B$62,AI100+AH101-AQ100)))</f>
        <v>303.99999999999983</v>
      </c>
      <c r="AJ101" s="14">
        <f>AI101*VLOOKUP('Données projet'!$B$10,Paramètres!$A$1:$I$89,3,0)*VLOOKUP('Données projet'!$B$10,Paramètres!$A$1:$I$89,5,0)</f>
        <v>260.83199999999988</v>
      </c>
      <c r="AK101" s="14">
        <f t="shared" si="89"/>
        <v>62.899693744110721</v>
      </c>
      <c r="AL101" s="22">
        <f t="shared" si="58"/>
        <v>563.8326999376593</v>
      </c>
      <c r="AM101" s="62">
        <f t="shared" si="59"/>
        <v>857.16603327099256</v>
      </c>
      <c r="AN101" s="62">
        <f ca="1">AVERAGE(OFFSET($AM$3,0,0,'Données projet'!$E$10+1,1))-AVERAGE(OFFSET($H$3,0,0,'Données projet'!$E$10+1,1))</f>
        <v>174.46631997577833</v>
      </c>
      <c r="AO101" s="62">
        <f t="shared" si="90"/>
        <v>79.07564466480153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488.6098562290428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2.6602720026858149E-14</v>
      </c>
      <c r="P102" s="14">
        <f t="shared" si="87"/>
        <v>4.6624771586320878E-13</v>
      </c>
      <c r="Q102" s="22">
        <f t="shared" si="107"/>
        <v>8.583811758418665E-13</v>
      </c>
      <c r="R102" s="62">
        <f t="shared" si="55"/>
        <v>293.33333333333417</v>
      </c>
      <c r="S102" s="62">
        <f ca="1">AVERAGE(OFFSET($R$3,0,0,'Données projet'!$E$9+1,1))-AVERAGE(OFFSET($H$3,0,0,'Données projet'!$E$9+1,1))</f>
        <v>110.90259639804435</v>
      </c>
      <c r="T102" s="62">
        <f t="shared" si="88"/>
        <v>156.34514945935405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0.69222119596452092</v>
      </c>
      <c r="AA102" s="23">
        <f>EXP(-LN(2)/25)*AA101+(1-EXP(-LN(2)/25))/(LN(2)/25)*Calculateur!V102*Calculateur!X102*VLOOKUP('Données projet'!$B$9,Paramètres!$A$1:$I$89,3,0)*0.475*44/12</f>
        <v>0.39916079734945087</v>
      </c>
      <c r="AB102" s="23">
        <f>EXP(-LN(2)/2)*AB101+(1-EXP(-LN(2)/2))/(LN(2)/2)*V102*Y102*VLOOKUP('Données projet'!$B$9,Paramètres!$A$1:$I$89,3,0)*0.475*44/12</f>
        <v>8.3605515462666437E-10</v>
      </c>
      <c r="AC102" s="24">
        <f t="shared" si="57"/>
        <v>1.0913819941500269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6</v>
      </c>
      <c r="AI102" s="14">
        <f>IF('Données projet'!$A$62&gt;35,AI101+AH102-AQ101,IF(A102&lt;'Données projet'!$A$62,$AF$205^A102,IF(A102='Données projet'!$A$62,'Données projet'!$B$62,AI101+AH102-AQ101)))</f>
        <v>309.99999999999983</v>
      </c>
      <c r="AJ102" s="14">
        <f>AI102*VLOOKUP('Données projet'!$B$10,Paramètres!$A$1:$I$89,3,0)*VLOOKUP('Données projet'!$B$10,Paramètres!$A$1:$I$89,5,0)</f>
        <v>265.9799999999999</v>
      </c>
      <c r="AK102" s="14">
        <f t="shared" si="89"/>
        <v>63.995380422211589</v>
      </c>
      <c r="AL102" s="22">
        <f t="shared" si="58"/>
        <v>574.70712090201835</v>
      </c>
      <c r="AM102" s="62">
        <f t="shared" si="59"/>
        <v>868.04045423535172</v>
      </c>
      <c r="AN102" s="62">
        <f ca="1">AVERAGE(OFFSET($AM$3,0,0,'Données projet'!$E$10+1,1))-AVERAGE(OFFSET($H$3,0,0,'Données projet'!$E$10+1,1))</f>
        <v>174.46631997577833</v>
      </c>
      <c r="AO102" s="62">
        <f t="shared" si="90"/>
        <v>79.07564466480153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490.53279670439605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2.6602720026858149E-14</v>
      </c>
      <c r="P103" s="14">
        <f t="shared" si="87"/>
        <v>4.6624771586320878E-13</v>
      </c>
      <c r="Q103" s="22">
        <f t="shared" si="107"/>
        <v>8.583811758418665E-13</v>
      </c>
      <c r="R103" s="62">
        <f t="shared" si="55"/>
        <v>293.33333333333417</v>
      </c>
      <c r="S103" s="62">
        <f ca="1">AVERAGE(OFFSET($R$3,0,0,'Données projet'!$E$9+1,1))-AVERAGE(OFFSET($H$3,0,0,'Données projet'!$E$9+1,1))</f>
        <v>110.90259639804435</v>
      </c>
      <c r="T103" s="62">
        <f t="shared" si="88"/>
        <v>156.34514945935405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0.67864716052489615</v>
      </c>
      <c r="AA103" s="23">
        <f>EXP(-LN(2)/25)*AA102+(1-EXP(-LN(2)/25))/(LN(2)/25)*Calculateur!V103*Calculateur!X103*VLOOKUP('Données projet'!$B$9,Paramètres!$A$1:$I$89,3,0)*0.475*44/12</f>
        <v>0.38824572435497612</v>
      </c>
      <c r="AB103" s="23">
        <f>EXP(-LN(2)/2)*AB102+(1-EXP(-LN(2)/2))/(LN(2)/2)*V103*Y103*VLOOKUP('Données projet'!$B$9,Paramètres!$A$1:$I$89,3,0)*0.475*44/12</f>
        <v>5.9118026928248191E-10</v>
      </c>
      <c r="AC103" s="24">
        <f t="shared" si="57"/>
        <v>1.0668928854710524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316</v>
      </c>
      <c r="AG103" s="13">
        <f>VLOOKUP(A103,'Données projet'!$A$61:$I$81,9,0)</f>
        <v>6</v>
      </c>
      <c r="AH103" s="13">
        <f t="array" ref="AH103">INDEX(AG:AG,MIN(IF(ISNUMBER(AG103:AG299),ROW(AG103:AG299),"")))</f>
        <v>6</v>
      </c>
      <c r="AI103" s="14">
        <f>IF('Données projet'!$A$62&gt;35,AI102+AH103-AQ102,IF(A103&lt;'Données projet'!$A$62,$AF$205^A103,IF(A103='Données projet'!$A$62,'Données projet'!$B$62,AI102+AH103-AQ102)))</f>
        <v>315.99999999999983</v>
      </c>
      <c r="AJ103" s="14">
        <f>AI103*VLOOKUP('Données projet'!$B$10,Paramètres!$A$1:$I$89,3,0)*VLOOKUP('Données projet'!$B$10,Paramètres!$A$1:$I$89,5,0)</f>
        <v>271.12799999999987</v>
      </c>
      <c r="AK103" s="14">
        <f t="shared" si="89"/>
        <v>65.088601240045278</v>
      </c>
      <c r="AL103" s="22">
        <f t="shared" si="58"/>
        <v>585.5772471597453</v>
      </c>
      <c r="AM103" s="62">
        <f t="shared" si="59"/>
        <v>878.91058049307867</v>
      </c>
      <c r="AN103" s="62">
        <f ca="1">AVERAGE(OFFSET($AM$3,0,0,'Données projet'!$E$10+1,1))-AVERAGE(OFFSET($H$3,0,0,'Données projet'!$E$10+1,1))</f>
        <v>174.46631997577833</v>
      </c>
      <c r="AO103" s="62">
        <f t="shared" si="90"/>
        <v>79.07564466480153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316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492.4553017979585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2.6602720026858149E-14</v>
      </c>
      <c r="P104" s="14">
        <f t="shared" si="87"/>
        <v>4.6624771586320878E-13</v>
      </c>
      <c r="Q104" s="22">
        <f t="shared" si="107"/>
        <v>8.583811758418665E-13</v>
      </c>
      <c r="R104" s="62">
        <f t="shared" si="55"/>
        <v>293.33333333333417</v>
      </c>
      <c r="S104" s="62">
        <f ca="1">AVERAGE(OFFSET($R$3,0,0,'Données projet'!$E$9+1,1))-AVERAGE(OFFSET($H$3,0,0,'Données projet'!$E$9+1,1))</f>
        <v>110.90259639804435</v>
      </c>
      <c r="T104" s="62">
        <f t="shared" si="88"/>
        <v>156.34514945935405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0.66533930364089833</v>
      </c>
      <c r="AA104" s="23">
        <f>EXP(-LN(2)/25)*AA103+(1-EXP(-LN(2)/25))/(LN(2)/25)*Calculateur!V104*Calculateur!X104*VLOOKUP('Données projet'!$B$9,Paramètres!$A$1:$I$89,3,0)*0.475*44/12</f>
        <v>0.37762912460553399</v>
      </c>
      <c r="AB104" s="23">
        <f>EXP(-LN(2)/2)*AB103+(1-EXP(-LN(2)/2))/(LN(2)/2)*V104*Y104*VLOOKUP('Données projet'!$B$9,Paramètres!$A$1:$I$89,3,0)*0.475*44/12</f>
        <v>4.1802757731333218E-10</v>
      </c>
      <c r="AC104" s="24">
        <f t="shared" si="57"/>
        <v>1.0429684286644598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-1.7053025658242404E-13</v>
      </c>
      <c r="AJ104" s="14">
        <f>AI104*VLOOKUP('Données projet'!$B$10,Paramètres!$A$1:$I$89,3,0)*VLOOKUP('Données projet'!$B$10,Paramètres!$A$1:$I$89,5,0)</f>
        <v>-1.4631496014771985E-13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174.46631997577833</v>
      </c>
      <c r="AO104" s="62">
        <f t="shared" si="90"/>
        <v>79.07564466480153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494.37737631959351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2.6602720026858149E-14</v>
      </c>
      <c r="P105" s="14">
        <f t="shared" si="87"/>
        <v>4.6624771586320878E-13</v>
      </c>
      <c r="Q105" s="22">
        <f t="shared" si="107"/>
        <v>8.583811758418665E-13</v>
      </c>
      <c r="R105" s="62">
        <f t="shared" si="55"/>
        <v>293.33333333333417</v>
      </c>
      <c r="S105" s="62">
        <f ca="1">AVERAGE(OFFSET($R$3,0,0,'Données projet'!$E$9+1,1))-AVERAGE(OFFSET($H$3,0,0,'Données projet'!$E$9+1,1))</f>
        <v>110.90259639804435</v>
      </c>
      <c r="T105" s="62">
        <f t="shared" si="88"/>
        <v>156.34514945935405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0.65229240571340441</v>
      </c>
      <c r="AA105" s="23">
        <f>EXP(-LN(2)/25)*AA104+(1-EXP(-LN(2)/25))/(LN(2)/25)*Calculateur!V105*Calculateur!X105*VLOOKUP('Données projet'!$B$9,Paramètres!$A$1:$I$89,3,0)*0.475*44/12</f>
        <v>0.36730283633454308</v>
      </c>
      <c r="AB105" s="23">
        <f>EXP(-LN(2)/2)*AB104+(1-EXP(-LN(2)/2))/(LN(2)/2)*V105*Y105*VLOOKUP('Données projet'!$B$9,Paramètres!$A$1:$I$89,3,0)*0.475*44/12</f>
        <v>2.9559013464124095E-10</v>
      </c>
      <c r="AC105" s="24">
        <f t="shared" si="57"/>
        <v>1.0195952423435377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-1.7053025658242404E-13</v>
      </c>
      <c r="AJ105" s="14">
        <f>AI105*VLOOKUP('Données projet'!$B$10,Paramètres!$A$1:$I$89,3,0)*VLOOKUP('Données projet'!$B$10,Paramètres!$A$1:$I$89,5,0)</f>
        <v>-1.4631496014771985E-13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174.46631997577833</v>
      </c>
      <c r="AO105" s="62">
        <f t="shared" si="90"/>
        <v>79.07564466480153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496.29902497941657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2.6602720026858149E-14</v>
      </c>
      <c r="P106" s="14">
        <f t="shared" si="87"/>
        <v>4.6624771586320878E-13</v>
      </c>
      <c r="Q106" s="22">
        <f t="shared" si="107"/>
        <v>8.583811758418665E-13</v>
      </c>
      <c r="R106" s="62">
        <f t="shared" si="55"/>
        <v>293.33333333333417</v>
      </c>
      <c r="S106" s="62">
        <f ca="1">AVERAGE(OFFSET($R$3,0,0,'Données projet'!$E$9+1,1))-AVERAGE(OFFSET($H$3,0,0,'Données projet'!$E$9+1,1))</f>
        <v>110.90259639804435</v>
      </c>
      <c r="T106" s="62">
        <f t="shared" si="88"/>
        <v>156.34514945935405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0.63950134949644677</v>
      </c>
      <c r="AA106" s="23">
        <f>EXP(-LN(2)/25)*AA105+(1-EXP(-LN(2)/25))/(LN(2)/25)*Calculateur!V106*Calculateur!X106*VLOOKUP('Données projet'!$B$9,Paramètres!$A$1:$I$89,3,0)*0.475*44/12</f>
        <v>0.35725892095935829</v>
      </c>
      <c r="AB106" s="23">
        <f>EXP(-LN(2)/2)*AB105+(1-EXP(-LN(2)/2))/(LN(2)/2)*V106*Y106*VLOOKUP('Données projet'!$B$9,Paramètres!$A$1:$I$89,3,0)*0.475*44/12</f>
        <v>2.0901378865666609E-10</v>
      </c>
      <c r="AC106" s="24">
        <f t="shared" si="57"/>
        <v>0.99676027066481887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-1.7053025658242404E-13</v>
      </c>
      <c r="AJ106" s="14">
        <f>AI106*VLOOKUP('Données projet'!$B$10,Paramètres!$A$1:$I$89,3,0)*VLOOKUP('Données projet'!$B$10,Paramètres!$A$1:$I$89,5,0)</f>
        <v>-1.4631496014771985E-13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174.46631997577833</v>
      </c>
      <c r="AO106" s="62">
        <f t="shared" si="90"/>
        <v>79.07564466480153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498.22025239081199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2.6602720026858149E-14</v>
      </c>
      <c r="P107" s="14">
        <f t="shared" si="87"/>
        <v>4.6624771586320878E-13</v>
      </c>
      <c r="Q107" s="22">
        <f t="shared" si="107"/>
        <v>8.583811758418665E-13</v>
      </c>
      <c r="R107" s="62">
        <f t="shared" si="55"/>
        <v>293.33333333333417</v>
      </c>
      <c r="S107" s="62">
        <f ca="1">AVERAGE(OFFSET($R$3,0,0,'Données projet'!$E$9+1,1))-AVERAGE(OFFSET($H$3,0,0,'Données projet'!$E$9+1,1))</f>
        <v>110.90259639804435</v>
      </c>
      <c r="T107" s="62">
        <f t="shared" si="88"/>
        <v>156.34514945935405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0.62696111809012967</v>
      </c>
      <c r="AA107" s="23">
        <f>EXP(-LN(2)/25)*AA106+(1-EXP(-LN(2)/25))/(LN(2)/25)*Calculateur!V107*Calculateur!X107*VLOOKUP('Données projet'!$B$9,Paramètres!$A$1:$I$89,3,0)*0.475*44/12</f>
        <v>0.34748965697829454</v>
      </c>
      <c r="AB107" s="23">
        <f>EXP(-LN(2)/2)*AB106+(1-EXP(-LN(2)/2))/(LN(2)/2)*V107*Y107*VLOOKUP('Données projet'!$B$9,Paramètres!$A$1:$I$89,3,0)*0.475*44/12</f>
        <v>1.4779506732062048E-10</v>
      </c>
      <c r="AC107" s="24">
        <f t="shared" si="57"/>
        <v>0.97445077521621926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-1.7053025658242404E-13</v>
      </c>
      <c r="AJ107" s="14">
        <f>AI107*VLOOKUP('Données projet'!$B$10,Paramètres!$A$1:$I$89,3,0)*VLOOKUP('Données projet'!$B$10,Paramètres!$A$1:$I$89,5,0)</f>
        <v>-1.4631496014771985E-13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174.46631997577833</v>
      </c>
      <c r="AO107" s="62">
        <f t="shared" si="90"/>
        <v>79.07564466480153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500.14106307332992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2.6602720026858149E-14</v>
      </c>
      <c r="P108" s="14">
        <f t="shared" si="87"/>
        <v>4.6624771586320878E-13</v>
      </c>
      <c r="Q108" s="22">
        <f t="shared" si="107"/>
        <v>8.583811758418665E-13</v>
      </c>
      <c r="R108" s="62">
        <f t="shared" si="55"/>
        <v>293.33333333333417</v>
      </c>
      <c r="S108" s="62">
        <f ca="1">AVERAGE(OFFSET($R$3,0,0,'Données projet'!$E$9+1,1))-AVERAGE(OFFSET($H$3,0,0,'Données projet'!$E$9+1,1))</f>
        <v>110.90259639804435</v>
      </c>
      <c r="T108" s="62">
        <f t="shared" si="88"/>
        <v>156.34514945935405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0.61466679297290461</v>
      </c>
      <c r="AA108" s="23">
        <f>EXP(-LN(2)/25)*AA107+(1-EXP(-LN(2)/25))/(LN(2)/25)*Calculateur!V108*Calculateur!X108*VLOOKUP('Données projet'!$B$9,Paramètres!$A$1:$I$89,3,0)*0.475*44/12</f>
        <v>0.33798753403453619</v>
      </c>
      <c r="AB108" s="23">
        <f>EXP(-LN(2)/2)*AB107+(1-EXP(-LN(2)/2))/(LN(2)/2)*V108*Y108*VLOOKUP('Données projet'!$B$9,Paramètres!$A$1:$I$89,3,0)*0.475*44/12</f>
        <v>1.0450689432833305E-10</v>
      </c>
      <c r="AC108" s="24">
        <f t="shared" si="57"/>
        <v>0.95265432711194764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-1.7053025658242404E-13</v>
      </c>
      <c r="AJ108" s="14">
        <f>AI108*VLOOKUP('Données projet'!$B$10,Paramètres!$A$1:$I$89,3,0)*VLOOKUP('Données projet'!$B$10,Paramètres!$A$1:$I$89,5,0)</f>
        <v>-1.4631496014771985E-13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174.46631997577833</v>
      </c>
      <c r="AO108" s="62">
        <f t="shared" si="90"/>
        <v>79.07564466480153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502.06146145546995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2.6602720026858149E-14</v>
      </c>
      <c r="P109" s="14">
        <f t="shared" si="87"/>
        <v>4.6624771586320878E-13</v>
      </c>
      <c r="Q109" s="22">
        <f t="shared" si="107"/>
        <v>8.583811758418665E-13</v>
      </c>
      <c r="R109" s="62">
        <f t="shared" si="55"/>
        <v>293.33333333333417</v>
      </c>
      <c r="S109" s="62">
        <f ca="1">AVERAGE(OFFSET($R$3,0,0,'Données projet'!$E$9+1,1))-AVERAGE(OFFSET($H$3,0,0,'Données projet'!$E$9+1,1))</f>
        <v>110.90259639804435</v>
      </c>
      <c r="T109" s="62">
        <f t="shared" si="88"/>
        <v>156.34514945935405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0.60261355207243039</v>
      </c>
      <c r="AA109" s="23">
        <f>EXP(-LN(2)/25)*AA108+(1-EXP(-LN(2)/25))/(LN(2)/25)*Calculateur!V109*Calculateur!X109*VLOOKUP('Données projet'!$B$9,Paramètres!$A$1:$I$89,3,0)*0.475*44/12</f>
        <v>0.32874524714236986</v>
      </c>
      <c r="AB109" s="23">
        <f>EXP(-LN(2)/2)*AB108+(1-EXP(-LN(2)/2))/(LN(2)/2)*V109*Y109*VLOOKUP('Données projet'!$B$9,Paramètres!$A$1:$I$89,3,0)*0.475*44/12</f>
        <v>7.3897533660310239E-11</v>
      </c>
      <c r="AC109" s="24">
        <f t="shared" si="57"/>
        <v>0.9313587992886978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-1.7053025658242404E-13</v>
      </c>
      <c r="AJ109" s="14">
        <f>AI109*VLOOKUP('Données projet'!$B$10,Paramètres!$A$1:$I$89,3,0)*VLOOKUP('Données projet'!$B$10,Paramètres!$A$1:$I$89,5,0)</f>
        <v>-1.4631496014771985E-13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174.46631997577833</v>
      </c>
      <c r="AO109" s="62">
        <f t="shared" si="90"/>
        <v>79.07564466480153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503.98145187735673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2.6602720026858149E-14</v>
      </c>
      <c r="P110" s="14">
        <f t="shared" si="87"/>
        <v>4.6624771586320878E-13</v>
      </c>
      <c r="Q110" s="22">
        <f t="shared" si="107"/>
        <v>8.583811758418665E-13</v>
      </c>
      <c r="R110" s="62">
        <f t="shared" si="55"/>
        <v>293.33333333333417</v>
      </c>
      <c r="S110" s="62">
        <f ca="1">AVERAGE(OFFSET($R$3,0,0,'Données projet'!$E$9+1,1))-AVERAGE(OFFSET($H$3,0,0,'Données projet'!$E$9+1,1))</f>
        <v>110.90259639804435</v>
      </c>
      <c r="T110" s="62">
        <f t="shared" si="88"/>
        <v>156.34514945935405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0.59079666787426344</v>
      </c>
      <c r="AA110" s="23">
        <f>EXP(-LN(2)/25)*AA109+(1-EXP(-LN(2)/25))/(LN(2)/25)*Calculateur!V110*Calculateur!X110*VLOOKUP('Données projet'!$B$9,Paramètres!$A$1:$I$89,3,0)*0.475*44/12</f>
        <v>0.31975569107130059</v>
      </c>
      <c r="AB110" s="23">
        <f>EXP(-LN(2)/2)*AB109+(1-EXP(-LN(2)/2))/(LN(2)/2)*V110*Y110*VLOOKUP('Données projet'!$B$9,Paramètres!$A$1:$I$89,3,0)*0.475*44/12</f>
        <v>5.2253447164166523E-11</v>
      </c>
      <c r="AC110" s="24">
        <f t="shared" si="57"/>
        <v>0.91055235899781739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-1.7053025658242404E-13</v>
      </c>
      <c r="AJ110" s="14">
        <f>AI110*VLOOKUP('Données projet'!$B$10,Paramètres!$A$1:$I$89,3,0)*VLOOKUP('Données projet'!$B$10,Paramètres!$A$1:$I$89,5,0)</f>
        <v>-1.4631496014771985E-13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174.46631997577833</v>
      </c>
      <c r="AO110" s="62">
        <f t="shared" si="90"/>
        <v>79.07564466480153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505.90103859331265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2.6602720026858149E-14</v>
      </c>
      <c r="P111" s="14">
        <f t="shared" si="87"/>
        <v>4.6624771586320878E-13</v>
      </c>
      <c r="Q111" s="22">
        <f t="shared" si="107"/>
        <v>8.583811758418665E-13</v>
      </c>
      <c r="R111" s="62">
        <f t="shared" si="55"/>
        <v>293.33333333333417</v>
      </c>
      <c r="S111" s="62">
        <f ca="1">AVERAGE(OFFSET($R$3,0,0,'Données projet'!$E$9+1,1))-AVERAGE(OFFSET($H$3,0,0,'Données projet'!$E$9+1,1))</f>
        <v>110.90259639804435</v>
      </c>
      <c r="T111" s="62">
        <f t="shared" si="88"/>
        <v>156.34514945935405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0.5792115055676349</v>
      </c>
      <c r="AA111" s="23">
        <f>EXP(-LN(2)/25)*AA110+(1-EXP(-LN(2)/25))/(LN(2)/25)*Calculateur!V111*Calculateur!X111*VLOOKUP('Données projet'!$B$9,Paramètres!$A$1:$I$89,3,0)*0.475*44/12</f>
        <v>0.3110119548837349</v>
      </c>
      <c r="AB111" s="23">
        <f>EXP(-LN(2)/2)*AB110+(1-EXP(-LN(2)/2))/(LN(2)/2)*V111*Y111*VLOOKUP('Données projet'!$B$9,Paramètres!$A$1:$I$89,3,0)*0.475*44/12</f>
        <v>3.6948766830155119E-11</v>
      </c>
      <c r="AC111" s="24">
        <f t="shared" si="57"/>
        <v>0.89022346048831857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-1.7053025658242404E-13</v>
      </c>
      <c r="AJ111" s="14">
        <f>AI111*VLOOKUP('Données projet'!$B$10,Paramètres!$A$1:$I$89,3,0)*VLOOKUP('Données projet'!$B$10,Paramètres!$A$1:$I$89,5,0)</f>
        <v>-1.4631496014771985E-13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174.46631997577833</v>
      </c>
      <c r="AO111" s="62">
        <f t="shared" si="90"/>
        <v>79.07564466480153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507.82022577433264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2.6602720026858149E-14</v>
      </c>
      <c r="P112" s="14">
        <f t="shared" si="87"/>
        <v>4.6624771586320878E-13</v>
      </c>
      <c r="Q112" s="22">
        <f t="shared" si="107"/>
        <v>8.583811758418665E-13</v>
      </c>
      <c r="R112" s="62">
        <f t="shared" si="55"/>
        <v>293.33333333333417</v>
      </c>
      <c r="S112" s="62">
        <f ca="1">AVERAGE(OFFSET($R$3,0,0,'Données projet'!$E$9+1,1))-AVERAGE(OFFSET($H$3,0,0,'Données projet'!$E$9+1,1))</f>
        <v>110.90259639804435</v>
      </c>
      <c r="T112" s="62">
        <f t="shared" si="88"/>
        <v>156.34514945935405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0.56785352122758803</v>
      </c>
      <c r="AA112" s="23">
        <f>EXP(-LN(2)/25)*AA111+(1-EXP(-LN(2)/25))/(LN(2)/25)*Calculateur!V112*Calculateur!X112*VLOOKUP('Données projet'!$B$9,Paramètres!$A$1:$I$89,3,0)*0.475*44/12</f>
        <v>0.30250731662203129</v>
      </c>
      <c r="AB112" s="23">
        <f>EXP(-LN(2)/2)*AB111+(1-EXP(-LN(2)/2))/(LN(2)/2)*V112*Y112*VLOOKUP('Données projet'!$B$9,Paramètres!$A$1:$I$89,3,0)*0.475*44/12</f>
        <v>2.6126723582083261E-11</v>
      </c>
      <c r="AC112" s="24">
        <f t="shared" si="57"/>
        <v>0.87036083787574603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-1.7053025658242404E-13</v>
      </c>
      <c r="AJ112" s="14">
        <f>AI112*VLOOKUP('Données projet'!$B$10,Paramètres!$A$1:$I$89,3,0)*VLOOKUP('Données projet'!$B$10,Paramètres!$A$1:$I$89,5,0)</f>
        <v>-1.4631496014771985E-13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174.46631997577833</v>
      </c>
      <c r="AO112" s="62">
        <f t="shared" si="90"/>
        <v>79.07564466480153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509.73901751046503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2.6602720026858149E-14</v>
      </c>
      <c r="P113" s="14">
        <f t="shared" si="87"/>
        <v>4.6624771586320878E-13</v>
      </c>
      <c r="Q113" s="22">
        <f t="shared" si="107"/>
        <v>8.583811758418665E-13</v>
      </c>
      <c r="R113" s="62">
        <f t="shared" si="55"/>
        <v>293.33333333333417</v>
      </c>
      <c r="S113" s="62">
        <f ca="1">AVERAGE(OFFSET($R$3,0,0,'Données projet'!$E$9+1,1))-AVERAGE(OFFSET($H$3,0,0,'Données projet'!$E$9+1,1))</f>
        <v>110.90259639804435</v>
      </c>
      <c r="T113" s="62">
        <f t="shared" si="88"/>
        <v>156.34514945935405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0.55671826003276315</v>
      </c>
      <c r="AA113" s="23">
        <f>EXP(-LN(2)/25)*AA112+(1-EXP(-LN(2)/25))/(LN(2)/25)*Calculateur!V113*Calculateur!X113*VLOOKUP('Données projet'!$B$9,Paramètres!$A$1:$I$89,3,0)*0.475*44/12</f>
        <v>0.29423523814083347</v>
      </c>
      <c r="AB113" s="23">
        <f>EXP(-LN(2)/2)*AB112+(1-EXP(-LN(2)/2))/(LN(2)/2)*V113*Y113*VLOOKUP('Données projet'!$B$9,Paramètres!$A$1:$I$89,3,0)*0.475*44/12</f>
        <v>1.847438341507756E-11</v>
      </c>
      <c r="AC113" s="24">
        <f t="shared" si="57"/>
        <v>0.850953498192071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-1.7053025658242404E-13</v>
      </c>
      <c r="AJ113" s="14">
        <f>AI113*VLOOKUP('Données projet'!$B$10,Paramètres!$A$1:$I$89,3,0)*VLOOKUP('Données projet'!$B$10,Paramètres!$A$1:$I$89,5,0)</f>
        <v>-1.4631496014771985E-13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174.46631997577833</v>
      </c>
      <c r="AO113" s="62">
        <f t="shared" si="90"/>
        <v>79.07564466480153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511.6574178131043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2.6602720026858149E-14</v>
      </c>
      <c r="P114" s="14">
        <f t="shared" si="87"/>
        <v>4.6624771586320878E-13</v>
      </c>
      <c r="Q114" s="22">
        <f t="shared" si="107"/>
        <v>8.583811758418665E-13</v>
      </c>
      <c r="R114" s="62">
        <f t="shared" si="55"/>
        <v>293.33333333333417</v>
      </c>
      <c r="S114" s="62">
        <f ca="1">AVERAGE(OFFSET($R$3,0,0,'Données projet'!$E$9+1,1))-AVERAGE(OFFSET($H$3,0,0,'Données projet'!$E$9+1,1))</f>
        <v>110.90259639804435</v>
      </c>
      <c r="T114" s="62">
        <f t="shared" si="88"/>
        <v>156.34514945935405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0.54580135451813006</v>
      </c>
      <c r="AA114" s="23">
        <f>EXP(-LN(2)/25)*AA113+(1-EXP(-LN(2)/25))/(LN(2)/25)*Calculateur!V114*Calculateur!X114*VLOOKUP('Données projet'!$B$9,Paramètres!$A$1:$I$89,3,0)*0.475*44/12</f>
        <v>0.28618936008071366</v>
      </c>
      <c r="AB114" s="23">
        <f>EXP(-LN(2)/2)*AB113+(1-EXP(-LN(2)/2))/(LN(2)/2)*V114*Y114*VLOOKUP('Données projet'!$B$9,Paramètres!$A$1:$I$89,3,0)*0.475*44/12</f>
        <v>1.3063361791041631E-11</v>
      </c>
      <c r="AC114" s="24">
        <f t="shared" si="57"/>
        <v>0.83199071461190699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-1.7053025658242404E-13</v>
      </c>
      <c r="AJ114" s="14">
        <f>AI114*VLOOKUP('Données projet'!$B$10,Paramètres!$A$1:$I$89,3,0)*VLOOKUP('Données projet'!$B$10,Paramètres!$A$1:$I$89,5,0)</f>
        <v>-1.4631496014771985E-13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174.46631997577833</v>
      </c>
      <c r="AO114" s="62">
        <f t="shared" si="90"/>
        <v>79.07564466480153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513.57543061719775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2.6602720026858149E-14</v>
      </c>
      <c r="P115" s="14">
        <f t="shared" si="87"/>
        <v>4.6624771586320878E-13</v>
      </c>
      <c r="Q115" s="22">
        <f t="shared" si="107"/>
        <v>8.583811758418665E-13</v>
      </c>
      <c r="R115" s="62">
        <f t="shared" si="55"/>
        <v>293.33333333333417</v>
      </c>
      <c r="S115" s="62">
        <f ca="1">AVERAGE(OFFSET($R$3,0,0,'Données projet'!$E$9+1,1))-AVERAGE(OFFSET($H$3,0,0,'Données projet'!$E$9+1,1))</f>
        <v>110.90259639804435</v>
      </c>
      <c r="T115" s="62">
        <f t="shared" si="88"/>
        <v>156.34514945935405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0.53509852286198401</v>
      </c>
      <c r="AA115" s="23">
        <f>EXP(-LN(2)/25)*AA114+(1-EXP(-LN(2)/25))/(LN(2)/25)*Calculateur!V115*Calculateur!X115*VLOOKUP('Données projet'!$B$9,Paramètres!$A$1:$I$89,3,0)*0.475*44/12</f>
        <v>0.27836349697926221</v>
      </c>
      <c r="AB115" s="23">
        <f>EXP(-LN(2)/2)*AB114+(1-EXP(-LN(2)/2))/(LN(2)/2)*V115*Y115*VLOOKUP('Données projet'!$B$9,Paramètres!$A$1:$I$89,3,0)*0.475*44/12</f>
        <v>9.2371917075387798E-12</v>
      </c>
      <c r="AC115" s="24">
        <f t="shared" si="57"/>
        <v>0.81346201985048339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-1.7053025658242404E-13</v>
      </c>
      <c r="AJ115" s="14">
        <f>AI115*VLOOKUP('Données projet'!$B$10,Paramètres!$A$1:$I$89,3,0)*VLOOKUP('Données projet'!$B$10,Paramètres!$A$1:$I$89,5,0)</f>
        <v>-1.4631496014771985E-13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174.46631997577833</v>
      </c>
      <c r="AO115" s="62">
        <f t="shared" si="90"/>
        <v>79.07564466480153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515.49305978337225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2.6602720026858149E-14</v>
      </c>
      <c r="P116" s="14">
        <f t="shared" si="87"/>
        <v>4.6624771586320878E-13</v>
      </c>
      <c r="Q116" s="22">
        <f t="shared" si="107"/>
        <v>8.583811758418665E-13</v>
      </c>
      <c r="R116" s="62">
        <f t="shared" si="55"/>
        <v>293.33333333333417</v>
      </c>
      <c r="S116" s="62">
        <f ca="1">AVERAGE(OFFSET($R$3,0,0,'Données projet'!$E$9+1,1))-AVERAGE(OFFSET($H$3,0,0,'Données projet'!$E$9+1,1))</f>
        <v>110.90259639804435</v>
      </c>
      <c r="T116" s="62">
        <f t="shared" si="88"/>
        <v>156.34514945935405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0.52460556720653229</v>
      </c>
      <c r="AA116" s="23">
        <f>EXP(-LN(2)/25)*AA115+(1-EXP(-LN(2)/25))/(LN(2)/25)*Calculateur!V116*Calculateur!X116*VLOOKUP('Données projet'!$B$9,Paramètres!$A$1:$I$89,3,0)*0.475*44/12</f>
        <v>0.2707516325158642</v>
      </c>
      <c r="AB116" s="23">
        <f>EXP(-LN(2)/2)*AB115+(1-EXP(-LN(2)/2))/(LN(2)/2)*V116*Y116*VLOOKUP('Données projet'!$B$9,Paramètres!$A$1:$I$89,3,0)*0.475*44/12</f>
        <v>6.5316808955208154E-12</v>
      </c>
      <c r="AC116" s="24">
        <f t="shared" si="57"/>
        <v>0.79535719972892815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-1.7053025658242404E-13</v>
      </c>
      <c r="AJ116" s="14">
        <f>AI116*VLOOKUP('Données projet'!$B$10,Paramètres!$A$1:$I$89,3,0)*VLOOKUP('Données projet'!$B$10,Paramètres!$A$1:$I$89,5,0)</f>
        <v>-1.4631496014771985E-13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174.46631997577833</v>
      </c>
      <c r="AO116" s="62">
        <f t="shared" si="90"/>
        <v>79.07564466480153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517.41030909998244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2.6602720026858149E-14</v>
      </c>
      <c r="P117" s="14">
        <f t="shared" si="87"/>
        <v>4.6624771586320878E-13</v>
      </c>
      <c r="Q117" s="22">
        <f t="shared" si="107"/>
        <v>8.583811758418665E-13</v>
      </c>
      <c r="R117" s="62">
        <f t="shared" si="55"/>
        <v>293.33333333333417</v>
      </c>
      <c r="S117" s="62">
        <f ca="1">AVERAGE(OFFSET($R$3,0,0,'Données projet'!$E$9+1,1))-AVERAGE(OFFSET($H$3,0,0,'Données projet'!$E$9+1,1))</f>
        <v>110.90259639804435</v>
      </c>
      <c r="T117" s="62">
        <f t="shared" si="88"/>
        <v>156.34514945935405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0.51431837201141295</v>
      </c>
      <c r="AA117" s="23">
        <f>EXP(-LN(2)/25)*AA116+(1-EXP(-LN(2)/25))/(LN(2)/25)*Calculateur!V117*Calculateur!X117*VLOOKUP('Données projet'!$B$9,Paramètres!$A$1:$I$89,3,0)*0.475*44/12</f>
        <v>0.26334791488650833</v>
      </c>
      <c r="AB117" s="23">
        <f>EXP(-LN(2)/2)*AB116+(1-EXP(-LN(2)/2))/(LN(2)/2)*V117*Y117*VLOOKUP('Données projet'!$B$9,Paramètres!$A$1:$I$89,3,0)*0.475*44/12</f>
        <v>4.6185958537693899E-12</v>
      </c>
      <c r="AC117" s="24">
        <f t="shared" si="57"/>
        <v>0.77766628690253992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-1.7053025658242404E-13</v>
      </c>
      <c r="AJ117" s="14">
        <f>AI117*VLOOKUP('Données projet'!$B$10,Paramètres!$A$1:$I$89,3,0)*VLOOKUP('Données projet'!$B$10,Paramètres!$A$1:$I$89,5,0)</f>
        <v>-1.4631496014771985E-13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174.46631997577833</v>
      </c>
      <c r="AO117" s="62">
        <f t="shared" si="90"/>
        <v>79.07564466480153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519.32718228508566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2.6602720026858149E-14</v>
      </c>
      <c r="P118" s="14">
        <f t="shared" si="87"/>
        <v>4.6624771586320878E-13</v>
      </c>
      <c r="Q118" s="22">
        <f t="shared" si="107"/>
        <v>8.583811758418665E-13</v>
      </c>
      <c r="R118" s="62">
        <f t="shared" si="55"/>
        <v>293.33333333333417</v>
      </c>
      <c r="S118" s="62">
        <f ca="1">AVERAGE(OFFSET($R$3,0,0,'Données projet'!$E$9+1,1))-AVERAGE(OFFSET($H$3,0,0,'Données projet'!$E$9+1,1))</f>
        <v>110.90259639804435</v>
      </c>
      <c r="T118" s="62">
        <f t="shared" si="88"/>
        <v>156.34514945935405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0.50423290243950047</v>
      </c>
      <c r="AA118" s="23">
        <f>EXP(-LN(2)/25)*AA117+(1-EXP(-LN(2)/25))/(LN(2)/25)*Calculateur!V118*Calculateur!X118*VLOOKUP('Données projet'!$B$9,Paramètres!$A$1:$I$89,3,0)*0.475*44/12</f>
        <v>0.25614665230507178</v>
      </c>
      <c r="AB118" s="23">
        <f>EXP(-LN(2)/2)*AB117+(1-EXP(-LN(2)/2))/(LN(2)/2)*V118*Y118*VLOOKUP('Données projet'!$B$9,Paramètres!$A$1:$I$89,3,0)*0.475*44/12</f>
        <v>3.2658404477604077E-12</v>
      </c>
      <c r="AC118" s="24">
        <f t="shared" si="57"/>
        <v>0.76037955474783803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-1.7053025658242404E-13</v>
      </c>
      <c r="AJ118" s="14">
        <f>AI118*VLOOKUP('Données projet'!$B$10,Paramètres!$A$1:$I$89,3,0)*VLOOKUP('Données projet'!$B$10,Paramètres!$A$1:$I$89,5,0)</f>
        <v>-1.4631496014771985E-13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174.46631997577833</v>
      </c>
      <c r="AO118" s="62">
        <f t="shared" si="90"/>
        <v>79.07564466480153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521.24368298834622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2.6602720026858149E-14</v>
      </c>
      <c r="P119" s="14">
        <f t="shared" si="87"/>
        <v>4.6624771586320878E-13</v>
      </c>
      <c r="Q119" s="22">
        <f t="shared" si="107"/>
        <v>8.583811758418665E-13</v>
      </c>
      <c r="R119" s="62">
        <f t="shared" si="55"/>
        <v>293.33333333333417</v>
      </c>
      <c r="S119" s="62">
        <f ca="1">AVERAGE(OFFSET($R$3,0,0,'Données projet'!$E$9+1,1))-AVERAGE(OFFSET($H$3,0,0,'Données projet'!$E$9+1,1))</f>
        <v>110.90259639804435</v>
      </c>
      <c r="T119" s="62">
        <f t="shared" si="88"/>
        <v>156.34514945935405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0.49434520277436417</v>
      </c>
      <c r="AA119" s="23">
        <f>EXP(-LN(2)/25)*AA118+(1-EXP(-LN(2)/25))/(LN(2)/25)*Calculateur!V119*Calculateur!X119*VLOOKUP('Données projet'!$B$9,Paramètres!$A$1:$I$89,3,0)*0.475*44/12</f>
        <v>0.24914230862762257</v>
      </c>
      <c r="AB119" s="23">
        <f>EXP(-LN(2)/2)*AB118+(1-EXP(-LN(2)/2))/(LN(2)/2)*V119*Y119*VLOOKUP('Données projet'!$B$9,Paramètres!$A$1:$I$89,3,0)*0.475*44/12</f>
        <v>2.309297926884695E-12</v>
      </c>
      <c r="AC119" s="24">
        <f t="shared" si="57"/>
        <v>0.74348751140429603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-1.7053025658242404E-13</v>
      </c>
      <c r="AJ119" s="14">
        <f>AI119*VLOOKUP('Données projet'!$B$10,Paramètres!$A$1:$I$89,3,0)*VLOOKUP('Données projet'!$B$10,Paramètres!$A$1:$I$89,5,0)</f>
        <v>-1.4631496014771985E-13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174.46631997577833</v>
      </c>
      <c r="AO119" s="62">
        <f t="shared" si="90"/>
        <v>79.07564466480153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523.15981479287188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2.6602720026858149E-14</v>
      </c>
      <c r="P120" s="14">
        <f t="shared" si="87"/>
        <v>4.6624771586320878E-13</v>
      </c>
      <c r="Q120" s="22">
        <f t="shared" si="107"/>
        <v>8.583811758418665E-13</v>
      </c>
      <c r="R120" s="62">
        <f t="shared" si="55"/>
        <v>293.33333333333417</v>
      </c>
      <c r="S120" s="62">
        <f ca="1">AVERAGE(OFFSET($R$3,0,0,'Données projet'!$E$9+1,1))-AVERAGE(OFFSET($H$3,0,0,'Données projet'!$E$9+1,1))</f>
        <v>110.90259639804435</v>
      </c>
      <c r="T120" s="62">
        <f t="shared" si="88"/>
        <v>156.34514945935405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0.48465139486875985</v>
      </c>
      <c r="AA120" s="23">
        <f>EXP(-LN(2)/25)*AA119+(1-EXP(-LN(2)/25))/(LN(2)/25)*Calculateur!V120*Calculateur!X120*VLOOKUP('Données projet'!$B$9,Paramètres!$A$1:$I$89,3,0)*0.475*44/12</f>
        <v>0.24232949909637563</v>
      </c>
      <c r="AB120" s="23">
        <f>EXP(-LN(2)/2)*AB119+(1-EXP(-LN(2)/2))/(LN(2)/2)*V120*Y120*VLOOKUP('Données projet'!$B$9,Paramètres!$A$1:$I$89,3,0)*0.475*44/12</f>
        <v>1.6329202238802038E-12</v>
      </c>
      <c r="AC120" s="24">
        <f t="shared" si="57"/>
        <v>0.72698089396676835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-1.7053025658242404E-13</v>
      </c>
      <c r="AJ120" s="14">
        <f>AI120*VLOOKUP('Données projet'!$B$10,Paramètres!$A$1:$I$89,3,0)*VLOOKUP('Données projet'!$B$10,Paramètres!$A$1:$I$89,5,0)</f>
        <v>-1.4631496014771985E-13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174.46631997577833</v>
      </c>
      <c r="AO120" s="62">
        <f t="shared" si="90"/>
        <v>79.07564466480153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525.07558121698594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2.6602720026858149E-14</v>
      </c>
      <c r="P121" s="14">
        <f t="shared" si="87"/>
        <v>4.6624771586320878E-13</v>
      </c>
      <c r="Q121" s="22">
        <f t="shared" si="107"/>
        <v>8.583811758418665E-13</v>
      </c>
      <c r="R121" s="62">
        <f t="shared" si="55"/>
        <v>293.33333333333417</v>
      </c>
      <c r="S121" s="62">
        <f ca="1">AVERAGE(OFFSET($R$3,0,0,'Données projet'!$E$9+1,1))-AVERAGE(OFFSET($H$3,0,0,'Données projet'!$E$9+1,1))</f>
        <v>110.90259639804435</v>
      </c>
      <c r="T121" s="62">
        <f t="shared" si="88"/>
        <v>156.34514945935405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0.47514767662354546</v>
      </c>
      <c r="AA121" s="23">
        <f>EXP(-LN(2)/25)*AA120+(1-EXP(-LN(2)/25))/(LN(2)/25)*Calculateur!V121*Calculateur!X121*VLOOKUP('Données projet'!$B$9,Paramètres!$A$1:$I$89,3,0)*0.475*44/12</f>
        <v>0.23570298620003075</v>
      </c>
      <c r="AB121" s="23">
        <f>EXP(-LN(2)/2)*AB120+(1-EXP(-LN(2)/2))/(LN(2)/2)*V121*Y121*VLOOKUP('Données projet'!$B$9,Paramètres!$A$1:$I$89,3,0)*0.475*44/12</f>
        <v>1.1546489634423475E-12</v>
      </c>
      <c r="AC121" s="24">
        <f t="shared" si="57"/>
        <v>0.71085066282473086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-1.7053025658242404E-13</v>
      </c>
      <c r="AJ121" s="14">
        <f>AI121*VLOOKUP('Données projet'!$B$10,Paramètres!$A$1:$I$89,3,0)*VLOOKUP('Données projet'!$B$10,Paramètres!$A$1:$I$89,5,0)</f>
        <v>-1.4631496014771985E-13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174.46631997577833</v>
      </c>
      <c r="AO121" s="62">
        <f t="shared" si="90"/>
        <v>79.07564466480153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526.9909857159372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2.6602720026858149E-14</v>
      </c>
      <c r="P122" s="14">
        <f t="shared" si="87"/>
        <v>4.6624771586320878E-13</v>
      </c>
      <c r="Q122" s="22">
        <f t="shared" si="107"/>
        <v>8.583811758418665E-13</v>
      </c>
      <c r="R122" s="62">
        <f t="shared" si="55"/>
        <v>293.33333333333417</v>
      </c>
      <c r="S122" s="62">
        <f ca="1">AVERAGE(OFFSET($R$3,0,0,'Données projet'!$E$9+1,1))-AVERAGE(OFFSET($H$3,0,0,'Données projet'!$E$9+1,1))</f>
        <v>110.90259639804435</v>
      </c>
      <c r="T122" s="62">
        <f t="shared" si="88"/>
        <v>156.34514945935405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0.46583032049642398</v>
      </c>
      <c r="AA122" s="23">
        <f>EXP(-LN(2)/25)*AA121+(1-EXP(-LN(2)/25))/(LN(2)/25)*Calculateur!V122*Calculateur!X122*VLOOKUP('Données projet'!$B$9,Paramètres!$A$1:$I$89,3,0)*0.475*44/12</f>
        <v>0.22925767564730956</v>
      </c>
      <c r="AB122" s="23">
        <f>EXP(-LN(2)/2)*AB121+(1-EXP(-LN(2)/2))/(LN(2)/2)*V122*Y122*VLOOKUP('Données projet'!$B$9,Paramètres!$A$1:$I$89,3,0)*0.475*44/12</f>
        <v>8.1646011194010192E-13</v>
      </c>
      <c r="AC122" s="24">
        <f t="shared" si="57"/>
        <v>0.69508799614454997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-1.7053025658242404E-13</v>
      </c>
      <c r="AJ122" s="14">
        <f>AI122*VLOOKUP('Données projet'!$B$10,Paramètres!$A$1:$I$89,3,0)*VLOOKUP('Données projet'!$B$10,Paramètres!$A$1:$I$89,5,0)</f>
        <v>-1.4631496014771985E-13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174.46631997577833</v>
      </c>
      <c r="AO122" s="62">
        <f t="shared" si="90"/>
        <v>79.07564466480153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528.90603168355119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2.6602720026858149E-14</v>
      </c>
      <c r="P123" s="14">
        <f t="shared" si="87"/>
        <v>4.6624771586320878E-13</v>
      </c>
      <c r="Q123" s="22">
        <f t="shared" si="107"/>
        <v>8.583811758418665E-13</v>
      </c>
      <c r="R123" s="62">
        <f t="shared" si="55"/>
        <v>293.33333333333417</v>
      </c>
      <c r="S123" s="62">
        <f ca="1">AVERAGE(OFFSET($R$3,0,0,'Données projet'!$E$9+1,1))-AVERAGE(OFFSET($H$3,0,0,'Données projet'!$E$9+1,1))</f>
        <v>110.90259639804435</v>
      </c>
      <c r="T123" s="62">
        <f t="shared" si="88"/>
        <v>156.34514945935405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0.45669567203992928</v>
      </c>
      <c r="AA123" s="23">
        <f>EXP(-LN(2)/25)*AA122+(1-EXP(-LN(2)/25))/(LN(2)/25)*Calculateur!V123*Calculateur!X123*VLOOKUP('Données projet'!$B$9,Paramètres!$A$1:$I$89,3,0)*0.475*44/12</f>
        <v>0.2229886124505967</v>
      </c>
      <c r="AB123" s="23">
        <f>EXP(-LN(2)/2)*AB122+(1-EXP(-LN(2)/2))/(LN(2)/2)*V123*Y123*VLOOKUP('Données projet'!$B$9,Paramètres!$A$1:$I$89,3,0)*0.475*44/12</f>
        <v>5.7732448172117374E-13</v>
      </c>
      <c r="AC123" s="24">
        <f t="shared" si="57"/>
        <v>0.6796842844911033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-1.7053025658242404E-13</v>
      </c>
      <c r="AJ123" s="14">
        <f>AI123*VLOOKUP('Données projet'!$B$10,Paramètres!$A$1:$I$89,3,0)*VLOOKUP('Données projet'!$B$10,Paramètres!$A$1:$I$89,5,0)</f>
        <v>-1.4631496014771985E-13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174.46631997577833</v>
      </c>
      <c r="AO123" s="62">
        <f t="shared" si="90"/>
        <v>79.07564466480153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530.8207224538246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2.6602720026858149E-14</v>
      </c>
      <c r="P124" s="14">
        <f t="shared" si="87"/>
        <v>4.6624771586320878E-13</v>
      </c>
      <c r="Q124" s="22">
        <f t="shared" si="107"/>
        <v>8.583811758418665E-13</v>
      </c>
      <c r="R124" s="62">
        <f t="shared" si="55"/>
        <v>293.33333333333417</v>
      </c>
      <c r="S124" s="62">
        <f ca="1">AVERAGE(OFFSET($R$3,0,0,'Données projet'!$E$9+1,1))-AVERAGE(OFFSET($H$3,0,0,'Données projet'!$E$9+1,1))</f>
        <v>110.90259639804435</v>
      </c>
      <c r="T124" s="62">
        <f t="shared" si="88"/>
        <v>156.34514945935405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0.44774014846808102</v>
      </c>
      <c r="AA124" s="23">
        <f>EXP(-LN(2)/25)*AA123+(1-EXP(-LN(2)/25))/(LN(2)/25)*Calculateur!V124*Calculateur!X124*VLOOKUP('Données projet'!$B$9,Paramètres!$A$1:$I$89,3,0)*0.475*44/12</f>
        <v>0.21689097711667366</v>
      </c>
      <c r="AB124" s="23">
        <f>EXP(-LN(2)/2)*AB123+(1-EXP(-LN(2)/2))/(LN(2)/2)*V124*Y124*VLOOKUP('Données projet'!$B$9,Paramètres!$A$1:$I$89,3,0)*0.475*44/12</f>
        <v>4.0823005597005096E-13</v>
      </c>
      <c r="AC124" s="24">
        <f t="shared" si="57"/>
        <v>0.66463112558516291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-1.7053025658242404E-13</v>
      </c>
      <c r="AJ124" s="14">
        <f>AI124*VLOOKUP('Données projet'!$B$10,Paramètres!$A$1:$I$89,3,0)*VLOOKUP('Données projet'!$B$10,Paramètres!$A$1:$I$89,5,0)</f>
        <v>-1.4631496014771985E-13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174.46631997577833</v>
      </c>
      <c r="AO124" s="62">
        <f t="shared" si="90"/>
        <v>79.07564466480153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532.73506130246597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2.6602720026858149E-14</v>
      </c>
      <c r="P125" s="14">
        <f t="shared" si="87"/>
        <v>4.6624771586320878E-13</v>
      </c>
      <c r="Q125" s="22">
        <f t="shared" si="107"/>
        <v>8.583811758418665E-13</v>
      </c>
      <c r="R125" s="62">
        <f t="shared" si="55"/>
        <v>293.33333333333417</v>
      </c>
      <c r="S125" s="62">
        <f ca="1">AVERAGE(OFFSET($R$3,0,0,'Données projet'!$E$9+1,1))-AVERAGE(OFFSET($H$3,0,0,'Données projet'!$E$9+1,1))</f>
        <v>110.90259639804435</v>
      </c>
      <c r="T125" s="62">
        <f t="shared" si="88"/>
        <v>156.34514945935405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0.43896023725114669</v>
      </c>
      <c r="AA125" s="23">
        <f>EXP(-LN(2)/25)*AA124+(1-EXP(-LN(2)/25))/(LN(2)/25)*Calculateur!V125*Calculateur!X125*VLOOKUP('Données projet'!$B$9,Paramètres!$A$1:$I$89,3,0)*0.475*44/12</f>
        <v>0.21096008194161744</v>
      </c>
      <c r="AB125" s="23">
        <f>EXP(-LN(2)/2)*AB124+(1-EXP(-LN(2)/2))/(LN(2)/2)*V125*Y125*VLOOKUP('Données projet'!$B$9,Paramètres!$A$1:$I$89,3,0)*0.475*44/12</f>
        <v>2.8866224086058687E-13</v>
      </c>
      <c r="AC125" s="24">
        <f t="shared" si="57"/>
        <v>0.64992031919305282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-1.7053025658242404E-13</v>
      </c>
      <c r="AJ125" s="14">
        <f>AI125*VLOOKUP('Données projet'!$B$10,Paramètres!$A$1:$I$89,3,0)*VLOOKUP('Données projet'!$B$10,Paramètres!$A$1:$I$89,5,0)</f>
        <v>-1.4631496014771985E-13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174.46631997577833</v>
      </c>
      <c r="AO125" s="62">
        <f t="shared" si="90"/>
        <v>79.07564466480153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534.64905144838292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2.6602720026858149E-14</v>
      </c>
      <c r="P126" s="14">
        <f t="shared" si="87"/>
        <v>4.6624771586320878E-13</v>
      </c>
      <c r="Q126" s="22">
        <f t="shared" si="107"/>
        <v>8.583811758418665E-13</v>
      </c>
      <c r="R126" s="62">
        <f t="shared" si="55"/>
        <v>293.33333333333417</v>
      </c>
      <c r="S126" s="62">
        <f ca="1">AVERAGE(OFFSET($R$3,0,0,'Données projet'!$E$9+1,1))-AVERAGE(OFFSET($H$3,0,0,'Données projet'!$E$9+1,1))</f>
        <v>110.90259639804435</v>
      </c>
      <c r="T126" s="62">
        <f t="shared" si="88"/>
        <v>156.34514945935405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0.43035249473795939</v>
      </c>
      <c r="AA126" s="23">
        <f>EXP(-LN(2)/25)*AA125+(1-EXP(-LN(2)/25))/(LN(2)/25)*Calculateur!V126*Calculateur!X126*VLOOKUP('Données projet'!$B$9,Paramètres!$A$1:$I$89,3,0)*0.475*44/12</f>
        <v>0.20519136740701535</v>
      </c>
      <c r="AB126" s="23">
        <f>EXP(-LN(2)/2)*AB125+(1-EXP(-LN(2)/2))/(LN(2)/2)*V126*Y126*VLOOKUP('Données projet'!$B$9,Paramètres!$A$1:$I$89,3,0)*0.475*44/12</f>
        <v>2.0411502798502548E-13</v>
      </c>
      <c r="AC126" s="24">
        <f t="shared" si="57"/>
        <v>0.63554386214517888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-1.7053025658242404E-13</v>
      </c>
      <c r="AJ126" s="14">
        <f>AI126*VLOOKUP('Données projet'!$B$10,Paramètres!$A$1:$I$89,3,0)*VLOOKUP('Données projet'!$B$10,Paramètres!$A$1:$I$89,5,0)</f>
        <v>-1.4631496014771985E-13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174.46631997577833</v>
      </c>
      <c r="AO126" s="62">
        <f t="shared" si="90"/>
        <v>79.07564466480153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536.56269605512193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2.6602720026858149E-14</v>
      </c>
      <c r="P127" s="14">
        <f t="shared" si="87"/>
        <v>4.6624771586320878E-13</v>
      </c>
      <c r="Q127" s="22">
        <f t="shared" si="107"/>
        <v>8.583811758418665E-13</v>
      </c>
      <c r="R127" s="62">
        <f t="shared" si="55"/>
        <v>293.33333333333417</v>
      </c>
      <c r="S127" s="62">
        <f ca="1">AVERAGE(OFFSET($R$3,0,0,'Données projet'!$E$9+1,1))-AVERAGE(OFFSET($H$3,0,0,'Données projet'!$E$9+1,1))</f>
        <v>110.90259639804435</v>
      </c>
      <c r="T127" s="62">
        <f t="shared" si="88"/>
        <v>156.34514945935405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0.42191354480525117</v>
      </c>
      <c r="AA127" s="23">
        <f>EXP(-LN(2)/25)*AA126+(1-EXP(-LN(2)/25))/(LN(2)/25)*Calculateur!V127*Calculateur!X127*VLOOKUP('Données projet'!$B$9,Paramètres!$A$1:$I$89,3,0)*0.475*44/12</f>
        <v>0.19958039867472546</v>
      </c>
      <c r="AB127" s="23">
        <f>EXP(-LN(2)/2)*AB126+(1-EXP(-LN(2)/2))/(LN(2)/2)*V127*Y127*VLOOKUP('Données projet'!$B$9,Paramètres!$A$1:$I$89,3,0)*0.475*44/12</f>
        <v>1.4433112043029343E-13</v>
      </c>
      <c r="AC127" s="24">
        <f t="shared" si="57"/>
        <v>0.62149394348012099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-1.7053025658242404E-13</v>
      </c>
      <c r="AJ127" s="14">
        <f>AI127*VLOOKUP('Données projet'!$B$10,Paramètres!$A$1:$I$89,3,0)*VLOOKUP('Données projet'!$B$10,Paramètres!$A$1:$I$89,5,0)</f>
        <v>-1.4631496014771985E-13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174.46631997577833</v>
      </c>
      <c r="AO127" s="62">
        <f t="shared" si="90"/>
        <v>79.07564466480153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538.47599823225801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2.6602720026858149E-14</v>
      </c>
      <c r="P128" s="14">
        <f t="shared" si="87"/>
        <v>4.6624771586320878E-13</v>
      </c>
      <c r="Q128" s="22">
        <f t="shared" si="107"/>
        <v>8.583811758418665E-13</v>
      </c>
      <c r="R128" s="62">
        <f t="shared" si="55"/>
        <v>293.33333333333417</v>
      </c>
      <c r="S128" s="62">
        <f ca="1">AVERAGE(OFFSET($R$3,0,0,'Données projet'!$E$9+1,1))-AVERAGE(OFFSET($H$3,0,0,'Données projet'!$E$9+1,1))</f>
        <v>110.90259639804435</v>
      </c>
      <c r="T128" s="62">
        <f t="shared" si="88"/>
        <v>156.34514945935405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0.41364007753347215</v>
      </c>
      <c r="AA128" s="23">
        <f>EXP(-LN(2)/25)*AA127+(1-EXP(-LN(2)/25))/(LN(2)/25)*Calculateur!V128*Calculateur!X128*VLOOKUP('Données projet'!$B$9,Paramètres!$A$1:$I$89,3,0)*0.475*44/12</f>
        <v>0.19412286217748809</v>
      </c>
      <c r="AB128" s="23">
        <f>EXP(-LN(2)/2)*AB127+(1-EXP(-LN(2)/2))/(LN(2)/2)*V128*Y128*VLOOKUP('Données projet'!$B$9,Paramètres!$A$1:$I$89,3,0)*0.475*44/12</f>
        <v>1.0205751399251274E-13</v>
      </c>
      <c r="AC128" s="24">
        <f t="shared" si="57"/>
        <v>0.60776293971106232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-1.7053025658242404E-13</v>
      </c>
      <c r="AJ128" s="14">
        <f>AI128*VLOOKUP('Données projet'!$B$10,Paramètres!$A$1:$I$89,3,0)*VLOOKUP('Données projet'!$B$10,Paramètres!$A$1:$I$89,5,0)</f>
        <v>-1.4631496014771985E-13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174.46631997577833</v>
      </c>
      <c r="AO128" s="62">
        <f t="shared" si="90"/>
        <v>79.07564466480153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540.38896103674051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2.6602720026858149E-14</v>
      </c>
      <c r="P129" s="14">
        <f t="shared" si="87"/>
        <v>4.6624771586320878E-13</v>
      </c>
      <c r="Q129" s="22">
        <f t="shared" si="107"/>
        <v>8.583811758418665E-13</v>
      </c>
      <c r="R129" s="62">
        <f t="shared" si="55"/>
        <v>293.33333333333417</v>
      </c>
      <c r="S129" s="62">
        <f ca="1">AVERAGE(OFFSET($R$3,0,0,'Données projet'!$E$9+1,1))-AVERAGE(OFFSET($H$3,0,0,'Données projet'!$E$9+1,1))</f>
        <v>110.90259639804435</v>
      </c>
      <c r="T129" s="62">
        <f t="shared" si="88"/>
        <v>156.34514945935405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0.40552884790857596</v>
      </c>
      <c r="AA129" s="23">
        <f>EXP(-LN(2)/25)*AA128+(1-EXP(-LN(2)/25))/(LN(2)/25)*Calculateur!V129*Calculateur!X129*VLOOKUP('Données projet'!$B$9,Paramètres!$A$1:$I$89,3,0)*0.475*44/12</f>
        <v>0.18881456230276703</v>
      </c>
      <c r="AB129" s="23">
        <f>EXP(-LN(2)/2)*AB128+(1-EXP(-LN(2)/2))/(LN(2)/2)*V129*Y129*VLOOKUP('Données projet'!$B$9,Paramètres!$A$1:$I$89,3,0)*0.475*44/12</f>
        <v>7.2165560215146717E-14</v>
      </c>
      <c r="AC129" s="24">
        <f t="shared" si="57"/>
        <v>0.59434341021141512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-1.7053025658242404E-13</v>
      </c>
      <c r="AJ129" s="14">
        <f>AI129*VLOOKUP('Données projet'!$B$10,Paramètres!$A$1:$I$89,3,0)*VLOOKUP('Données projet'!$B$10,Paramètres!$A$1:$I$89,5,0)</f>
        <v>-1.4631496014771985E-13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174.46631997577833</v>
      </c>
      <c r="AO129" s="62">
        <f t="shared" si="90"/>
        <v>79.07564466480153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542.30158747419375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2.6602720026858149E-14</v>
      </c>
      <c r="P130" s="14">
        <f t="shared" si="87"/>
        <v>4.6624771586320878E-13</v>
      </c>
      <c r="Q130" s="22">
        <f t="shared" si="107"/>
        <v>8.583811758418665E-13</v>
      </c>
      <c r="R130" s="62">
        <f t="shared" si="55"/>
        <v>293.33333333333417</v>
      </c>
      <c r="S130" s="62">
        <f ca="1">AVERAGE(OFFSET($R$3,0,0,'Données projet'!$E$9+1,1))-AVERAGE(OFFSET($H$3,0,0,'Données projet'!$E$9+1,1))</f>
        <v>110.90259639804435</v>
      </c>
      <c r="T130" s="62">
        <f t="shared" si="88"/>
        <v>156.34514945935405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0.39757667454926243</v>
      </c>
      <c r="AA130" s="23">
        <f>EXP(-LN(2)/25)*AA129+(1-EXP(-LN(2)/25))/(LN(2)/25)*Calculateur!V130*Calculateur!X130*VLOOKUP('Données projet'!$B$9,Paramètres!$A$1:$I$89,3,0)*0.475*44/12</f>
        <v>0.18365141816727157</v>
      </c>
      <c r="AB130" s="23">
        <f>EXP(-LN(2)/2)*AB129+(1-EXP(-LN(2)/2))/(LN(2)/2)*V130*Y130*VLOOKUP('Données projet'!$B$9,Paramètres!$A$1:$I$89,3,0)*0.475*44/12</f>
        <v>5.102875699625637E-14</v>
      </c>
      <c r="AC130" s="24">
        <f t="shared" si="57"/>
        <v>0.58122809271658504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-1.7053025658242404E-13</v>
      </c>
      <c r="AJ130" s="14">
        <f>AI130*VLOOKUP('Données projet'!$B$10,Paramètres!$A$1:$I$89,3,0)*VLOOKUP('Données projet'!$B$10,Paramètres!$A$1:$I$89,5,0)</f>
        <v>-1.4631496014771985E-13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174.46631997577833</v>
      </c>
      <c r="AO130" s="62">
        <f t="shared" si="90"/>
        <v>79.07564466480153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544.21388050017583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2.6602720026858149E-14</v>
      </c>
      <c r="P131" s="14">
        <f t="shared" si="87"/>
        <v>4.6624771586320878E-13</v>
      </c>
      <c r="Q131" s="22">
        <f t="shared" ref="Q131:Q153" si="108">(O131+P131)*0.475*44/12</f>
        <v>8.583811758418665E-13</v>
      </c>
      <c r="R131" s="62">
        <f t="shared" ref="R131:R194" si="109">Q131+(I131+J131)*44/12</f>
        <v>293.33333333333417</v>
      </c>
      <c r="S131" s="62">
        <f ca="1">AVERAGE(OFFSET($R$3,0,0,'Données projet'!$E$9+1,1))-AVERAGE(OFFSET($H$3,0,0,'Données projet'!$E$9+1,1))</f>
        <v>110.90259639804435</v>
      </c>
      <c r="T131" s="62">
        <f t="shared" si="88"/>
        <v>156.34514945935405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0.3897804384591782</v>
      </c>
      <c r="AA131" s="23">
        <f>EXP(-LN(2)/25)*AA130+(1-EXP(-LN(2)/25))/(LN(2)/25)*Calculateur!V131*Calculateur!X131*VLOOKUP('Données projet'!$B$9,Paramètres!$A$1:$I$89,3,0)*0.475*44/12</f>
        <v>0.17862946047967918</v>
      </c>
      <c r="AB131" s="23">
        <f>EXP(-LN(2)/2)*AB130+(1-EXP(-LN(2)/2))/(LN(2)/2)*V131*Y131*VLOOKUP('Données projet'!$B$9,Paramètres!$A$1:$I$89,3,0)*0.475*44/12</f>
        <v>3.6082780107573359E-14</v>
      </c>
      <c r="AC131" s="24">
        <f t="shared" si="57"/>
        <v>0.56840989893889349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-1.7053025658242404E-13</v>
      </c>
      <c r="AJ131" s="14">
        <f>AI131*VLOOKUP('Données projet'!$B$10,Paramètres!$A$1:$I$89,3,0)*VLOOKUP('Données projet'!$B$10,Paramètres!$A$1:$I$89,5,0)</f>
        <v>-1.4631496014771985E-13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174.46631997577833</v>
      </c>
      <c r="AO131" s="62">
        <f t="shared" si="90"/>
        <v>79.07564466480153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546.12584302139749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2.6602720026858149E-14</v>
      </c>
      <c r="P132" s="14">
        <f t="shared" si="87"/>
        <v>4.6624771586320878E-13</v>
      </c>
      <c r="Q132" s="22">
        <f t="shared" si="108"/>
        <v>8.583811758418665E-13</v>
      </c>
      <c r="R132" s="62">
        <f t="shared" si="109"/>
        <v>293.33333333333417</v>
      </c>
      <c r="S132" s="62">
        <f ca="1">AVERAGE(OFFSET($R$3,0,0,'Données projet'!$E$9+1,1))-AVERAGE(OFFSET($H$3,0,0,'Données projet'!$E$9+1,1))</f>
        <v>110.90259639804435</v>
      </c>
      <c r="T132" s="62">
        <f t="shared" si="88"/>
        <v>156.34514945935405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0.38213708180358602</v>
      </c>
      <c r="AA132" s="23">
        <f>EXP(-LN(2)/25)*AA131+(1-EXP(-LN(2)/25))/(LN(2)/25)*Calculateur!V132*Calculateur!X132*VLOOKUP('Données projet'!$B$9,Paramètres!$A$1:$I$89,3,0)*0.475*44/12</f>
        <v>0.1737448284891473</v>
      </c>
      <c r="AB132" s="23">
        <f>EXP(-LN(2)/2)*AB131+(1-EXP(-LN(2)/2))/(LN(2)/2)*V132*Y132*VLOOKUP('Données projet'!$B$9,Paramètres!$A$1:$I$89,3,0)*0.475*44/12</f>
        <v>2.5514378498128185E-14</v>
      </c>
      <c r="AC132" s="24">
        <f t="shared" ref="AC132:AC153" si="111">SUM(Z132:AB132)</f>
        <v>0.5558819102927588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-1.7053025658242404E-13</v>
      </c>
      <c r="AJ132" s="14">
        <f>AI132*VLOOKUP('Données projet'!$B$10,Paramètres!$A$1:$I$89,3,0)*VLOOKUP('Données projet'!$B$10,Paramètres!$A$1:$I$89,5,0)</f>
        <v>-1.4631496014771985E-13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174.46631997577833</v>
      </c>
      <c r="AO132" s="62">
        <f t="shared" si="90"/>
        <v>79.07564466480153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548.03747789690146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2.6602720026858149E-14</v>
      </c>
      <c r="P133" s="14">
        <f t="shared" ref="P133:P196" si="141">EXP(-1.0587+0.8836*LN(O133)+0.284)</f>
        <v>4.6624771586320878E-13</v>
      </c>
      <c r="Q133" s="22">
        <f t="shared" si="108"/>
        <v>8.583811758418665E-13</v>
      </c>
      <c r="R133" s="62">
        <f t="shared" si="109"/>
        <v>293.33333333333417</v>
      </c>
      <c r="S133" s="62">
        <f ca="1">AVERAGE(OFFSET($R$3,0,0,'Données projet'!$E$9+1,1))-AVERAGE(OFFSET($H$3,0,0,'Données projet'!$E$9+1,1))</f>
        <v>110.90259639804435</v>
      </c>
      <c r="T133" s="62">
        <f t="shared" ref="T133:T196" si="142">$T$3</f>
        <v>156.34514945935405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0.37464360671002278</v>
      </c>
      <c r="AA133" s="23">
        <f>EXP(-LN(2)/25)*AA132+(1-EXP(-LN(2)/25))/(LN(2)/25)*Calculateur!V133*Calculateur!X133*VLOOKUP('Données projet'!$B$9,Paramètres!$A$1:$I$89,3,0)*0.475*44/12</f>
        <v>0.16899376701726812</v>
      </c>
      <c r="AB133" s="23">
        <f>EXP(-LN(2)/2)*AB132+(1-EXP(-LN(2)/2))/(LN(2)/2)*V133*Y133*VLOOKUP('Données projet'!$B$9,Paramètres!$A$1:$I$89,3,0)*0.475*44/12</f>
        <v>1.8041390053786679E-14</v>
      </c>
      <c r="AC133" s="24">
        <f t="shared" si="111"/>
        <v>0.54363737372730903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-1.7053025658242404E-13</v>
      </c>
      <c r="AJ133" s="14">
        <f>AI133*VLOOKUP('Données projet'!$B$10,Paramètres!$A$1:$I$89,3,0)*VLOOKUP('Données projet'!$B$10,Paramètres!$A$1:$I$89,5,0)</f>
        <v>-1.4631496014771985E-13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174.46631997577833</v>
      </c>
      <c r="AO133" s="62">
        <f t="shared" ref="AO133:AO196" si="144">$AO$3</f>
        <v>79.07564466480153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549.94878793920475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2.6602720026858149E-14</v>
      </c>
      <c r="P134" s="14">
        <f t="shared" si="141"/>
        <v>4.6624771586320878E-13</v>
      </c>
      <c r="Q134" s="22">
        <f t="shared" si="108"/>
        <v>8.583811758418665E-13</v>
      </c>
      <c r="R134" s="62">
        <f t="shared" si="109"/>
        <v>293.33333333333417</v>
      </c>
      <c r="S134" s="62">
        <f ca="1">AVERAGE(OFFSET($R$3,0,0,'Données projet'!$E$9+1,1))-AVERAGE(OFFSET($H$3,0,0,'Données projet'!$E$9+1,1))</f>
        <v>110.90259639804435</v>
      </c>
      <c r="T134" s="62">
        <f t="shared" si="142"/>
        <v>156.34514945935405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0.36729707409247586</v>
      </c>
      <c r="AA134" s="23">
        <f>EXP(-LN(2)/25)*AA133+(1-EXP(-LN(2)/25))/(LN(2)/25)*Calculateur!V134*Calculateur!X134*VLOOKUP('Données projet'!$B$9,Paramètres!$A$1:$I$89,3,0)*0.475*44/12</f>
        <v>0.16437262357118496</v>
      </c>
      <c r="AB134" s="23">
        <f>EXP(-LN(2)/2)*AB133+(1-EXP(-LN(2)/2))/(LN(2)/2)*V134*Y134*VLOOKUP('Données projet'!$B$9,Paramètres!$A$1:$I$89,3,0)*0.475*44/12</f>
        <v>1.2757189249064093E-14</v>
      </c>
      <c r="AC134" s="24">
        <f t="shared" si="111"/>
        <v>0.53166969766367356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-1.7053025658242404E-13</v>
      </c>
      <c r="AJ134" s="14">
        <f>AI134*VLOOKUP('Données projet'!$B$10,Paramètres!$A$1:$I$89,3,0)*VLOOKUP('Données projet'!$B$10,Paramètres!$A$1:$I$89,5,0)</f>
        <v>-1.4631496014771985E-13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174.46631997577833</v>
      </c>
      <c r="AO134" s="62">
        <f t="shared" si="144"/>
        <v>79.07564466480153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551.85977591540495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2.6602720026858149E-14</v>
      </c>
      <c r="P135" s="14">
        <f t="shared" si="141"/>
        <v>4.6624771586320878E-13</v>
      </c>
      <c r="Q135" s="22">
        <f t="shared" si="108"/>
        <v>8.583811758418665E-13</v>
      </c>
      <c r="R135" s="62">
        <f t="shared" si="109"/>
        <v>293.33333333333417</v>
      </c>
      <c r="S135" s="62">
        <f ca="1">AVERAGE(OFFSET($R$3,0,0,'Données projet'!$E$9+1,1))-AVERAGE(OFFSET($H$3,0,0,'Données projet'!$E$9+1,1))</f>
        <v>110.90259639804435</v>
      </c>
      <c r="T135" s="62">
        <f t="shared" si="142"/>
        <v>156.34514945935405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0.36009460249861658</v>
      </c>
      <c r="AA135" s="23">
        <f>EXP(-LN(2)/25)*AA134+(1-EXP(-LN(2)/25))/(LN(2)/25)*Calculateur!V135*Calculateur!X135*VLOOKUP('Données projet'!$B$9,Paramètres!$A$1:$I$89,3,0)*0.475*44/12</f>
        <v>0.15987784553565032</v>
      </c>
      <c r="AB135" s="23">
        <f>EXP(-LN(2)/2)*AB134+(1-EXP(-LN(2)/2))/(LN(2)/2)*V135*Y135*VLOOKUP('Données projet'!$B$9,Paramètres!$A$1:$I$89,3,0)*0.475*44/12</f>
        <v>9.0206950268933397E-15</v>
      </c>
      <c r="AC135" s="24">
        <f t="shared" si="111"/>
        <v>0.51997244803427589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-1.7053025658242404E-13</v>
      </c>
      <c r="AJ135" s="14">
        <f>AI135*VLOOKUP('Données projet'!$B$10,Paramètres!$A$1:$I$89,3,0)*VLOOKUP('Données projet'!$B$10,Paramètres!$A$1:$I$89,5,0)</f>
        <v>-1.4631496014771985E-13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174.46631997577833</v>
      </c>
      <c r="AO135" s="62">
        <f t="shared" si="144"/>
        <v>79.07564466480153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553.77044454825227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2.6602720026858149E-14</v>
      </c>
      <c r="P136" s="14">
        <f t="shared" si="141"/>
        <v>4.6624771586320878E-13</v>
      </c>
      <c r="Q136" s="22">
        <f t="shared" si="108"/>
        <v>8.583811758418665E-13</v>
      </c>
      <c r="R136" s="62">
        <f t="shared" si="109"/>
        <v>293.33333333333417</v>
      </c>
      <c r="S136" s="62">
        <f ca="1">AVERAGE(OFFSET($R$3,0,0,'Données projet'!$E$9+1,1))-AVERAGE(OFFSET($H$3,0,0,'Données projet'!$E$9+1,1))</f>
        <v>110.90259639804435</v>
      </c>
      <c r="T136" s="62">
        <f t="shared" si="142"/>
        <v>156.34514945935405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0.353033366979639</v>
      </c>
      <c r="AA136" s="23">
        <f>EXP(-LN(2)/25)*AA135+(1-EXP(-LN(2)/25))/(LN(2)/25)*Calculateur!V136*Calculateur!X136*VLOOKUP('Données projet'!$B$9,Paramètres!$A$1:$I$89,3,0)*0.475*44/12</f>
        <v>0.15550597744186748</v>
      </c>
      <c r="AB136" s="23">
        <f>EXP(-LN(2)/2)*AB135+(1-EXP(-LN(2)/2))/(LN(2)/2)*V136*Y136*VLOOKUP('Données projet'!$B$9,Paramètres!$A$1:$I$89,3,0)*0.475*44/12</f>
        <v>6.3785946245320463E-15</v>
      </c>
      <c r="AC136" s="24">
        <f t="shared" si="111"/>
        <v>0.50853934442151283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-1.7053025658242404E-13</v>
      </c>
      <c r="AJ136" s="14">
        <f>AI136*VLOOKUP('Données projet'!$B$10,Paramètres!$A$1:$I$89,3,0)*VLOOKUP('Données projet'!$B$10,Paramètres!$A$1:$I$89,5,0)</f>
        <v>-1.4631496014771985E-13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174.46631997577833</v>
      </c>
      <c r="AO136" s="62">
        <f t="shared" si="144"/>
        <v>79.07564466480153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555.68079651718767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2.6602720026858149E-14</v>
      </c>
      <c r="P137" s="14">
        <f t="shared" si="141"/>
        <v>4.6624771586320878E-13</v>
      </c>
      <c r="Q137" s="22">
        <f t="shared" si="108"/>
        <v>8.583811758418665E-13</v>
      </c>
      <c r="R137" s="62">
        <f t="shared" si="109"/>
        <v>293.33333333333417</v>
      </c>
      <c r="S137" s="62">
        <f ca="1">AVERAGE(OFFSET($R$3,0,0,'Données projet'!$E$9+1,1))-AVERAGE(OFFSET($H$3,0,0,'Données projet'!$E$9+1,1))</f>
        <v>110.90259639804435</v>
      </c>
      <c r="T137" s="62">
        <f t="shared" si="142"/>
        <v>156.34514945935405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0.34611059798226013</v>
      </c>
      <c r="AA137" s="23">
        <f>EXP(-LN(2)/25)*AA136+(1-EXP(-LN(2)/25))/(LN(2)/25)*Calculateur!V137*Calculateur!X137*VLOOKUP('Données projet'!$B$9,Paramètres!$A$1:$I$89,3,0)*0.475*44/12</f>
        <v>0.15125365831101567</v>
      </c>
      <c r="AB137" s="23">
        <f>EXP(-LN(2)/2)*AB136+(1-EXP(-LN(2)/2))/(LN(2)/2)*V137*Y137*VLOOKUP('Données projet'!$B$9,Paramètres!$A$1:$I$89,3,0)*0.475*44/12</f>
        <v>4.5103475134466698E-15</v>
      </c>
      <c r="AC137" s="24">
        <f t="shared" si="111"/>
        <v>0.49736425629328029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-1.7053025658242404E-13</v>
      </c>
      <c r="AJ137" s="14">
        <f>AI137*VLOOKUP('Données projet'!$B$10,Paramètres!$A$1:$I$89,3,0)*VLOOKUP('Données projet'!$B$10,Paramètres!$A$1:$I$89,5,0)</f>
        <v>-1.4631496014771985E-13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174.46631997577833</v>
      </c>
      <c r="AO137" s="62">
        <f t="shared" si="144"/>
        <v>79.07564466480153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557.59083445935073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2.6602720026858149E-14</v>
      </c>
      <c r="P138" s="14">
        <f t="shared" si="141"/>
        <v>4.6624771586320878E-13</v>
      </c>
      <c r="Q138" s="22">
        <f t="shared" si="108"/>
        <v>8.583811758418665E-13</v>
      </c>
      <c r="R138" s="62">
        <f t="shared" si="109"/>
        <v>293.33333333333417</v>
      </c>
      <c r="S138" s="62">
        <f ca="1">AVERAGE(OFFSET($R$3,0,0,'Données projet'!$E$9+1,1))-AVERAGE(OFFSET($H$3,0,0,'Données projet'!$E$9+1,1))</f>
        <v>110.90259639804435</v>
      </c>
      <c r="T138" s="62">
        <f t="shared" si="142"/>
        <v>156.34514945935405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0.33932358026244774</v>
      </c>
      <c r="AA138" s="23">
        <f>EXP(-LN(2)/25)*AA137+(1-EXP(-LN(2)/25))/(LN(2)/25)*Calculateur!V138*Calculateur!X138*VLOOKUP('Données projet'!$B$9,Paramètres!$A$1:$I$89,3,0)*0.475*44/12</f>
        <v>0.14711761907041676</v>
      </c>
      <c r="AB138" s="23">
        <f>EXP(-LN(2)/2)*AB137+(1-EXP(-LN(2)/2))/(LN(2)/2)*V138*Y138*VLOOKUP('Données projet'!$B$9,Paramètres!$A$1:$I$89,3,0)*0.475*44/12</f>
        <v>3.1892973122660231E-15</v>
      </c>
      <c r="AC138" s="24">
        <f t="shared" si="111"/>
        <v>0.48644119933286767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-1.7053025658242404E-13</v>
      </c>
      <c r="AJ138" s="14">
        <f>AI138*VLOOKUP('Données projet'!$B$10,Paramètres!$A$1:$I$89,3,0)*VLOOKUP('Données projet'!$B$10,Paramètres!$A$1:$I$89,5,0)</f>
        <v>-1.4631496014771985E-13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174.46631997577833</v>
      </c>
      <c r="AO138" s="62">
        <f t="shared" si="144"/>
        <v>79.07564466480153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559.50056097055494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2.6602720026858149E-14</v>
      </c>
      <c r="P139" s="14">
        <f t="shared" si="141"/>
        <v>4.6624771586320878E-13</v>
      </c>
      <c r="Q139" s="22">
        <f t="shared" si="108"/>
        <v>8.583811758418665E-13</v>
      </c>
      <c r="R139" s="62">
        <f t="shared" si="109"/>
        <v>293.33333333333417</v>
      </c>
      <c r="S139" s="62">
        <f ca="1">AVERAGE(OFFSET($R$3,0,0,'Données projet'!$E$9+1,1))-AVERAGE(OFFSET($H$3,0,0,'Données projet'!$E$9+1,1))</f>
        <v>110.90259639804435</v>
      </c>
      <c r="T139" s="62">
        <f t="shared" si="142"/>
        <v>156.34514945935405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0.33266965182044883</v>
      </c>
      <c r="AA139" s="23">
        <f>EXP(-LN(2)/25)*AA138+(1-EXP(-LN(2)/25))/(LN(2)/25)*Calculateur!V139*Calculateur!X139*VLOOKUP('Données projet'!$B$9,Paramètres!$A$1:$I$89,3,0)*0.475*44/12</f>
        <v>0.14309468004035686</v>
      </c>
      <c r="AB139" s="23">
        <f>EXP(-LN(2)/2)*AB138+(1-EXP(-LN(2)/2))/(LN(2)/2)*V139*Y139*VLOOKUP('Données projet'!$B$9,Paramètres!$A$1:$I$89,3,0)*0.475*44/12</f>
        <v>2.2551737567233349E-15</v>
      </c>
      <c r="AC139" s="24">
        <f t="shared" si="111"/>
        <v>0.47576433186080797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-1.7053025658242404E-13</v>
      </c>
      <c r="AJ139" s="14">
        <f>AI139*VLOOKUP('Données projet'!$B$10,Paramètres!$A$1:$I$89,3,0)*VLOOKUP('Données projet'!$B$10,Paramètres!$A$1:$I$89,5,0)</f>
        <v>-1.4631496014771985E-13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174.46631997577833</v>
      </c>
      <c r="AO139" s="62">
        <f t="shared" si="144"/>
        <v>79.07564466480153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561.40997860623452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2.6602720026858149E-14</v>
      </c>
      <c r="P140" s="14">
        <f t="shared" si="141"/>
        <v>4.6624771586320878E-13</v>
      </c>
      <c r="Q140" s="22">
        <f t="shared" si="108"/>
        <v>8.583811758418665E-13</v>
      </c>
      <c r="R140" s="62">
        <f t="shared" si="109"/>
        <v>293.33333333333417</v>
      </c>
      <c r="S140" s="62">
        <f ca="1">AVERAGE(OFFSET($R$3,0,0,'Données projet'!$E$9+1,1))-AVERAGE(OFFSET($H$3,0,0,'Données projet'!$E$9+1,1))</f>
        <v>110.90259639804435</v>
      </c>
      <c r="T140" s="62">
        <f t="shared" si="142"/>
        <v>156.34514945935405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0.32614620285670187</v>
      </c>
      <c r="AA140" s="23">
        <f>EXP(-LN(2)/25)*AA139+(1-EXP(-LN(2)/25))/(LN(2)/25)*Calculateur!V140*Calculateur!X140*VLOOKUP('Données projet'!$B$9,Paramètres!$A$1:$I$89,3,0)*0.475*44/12</f>
        <v>0.13918174848963114</v>
      </c>
      <c r="AB140" s="23">
        <f>EXP(-LN(2)/2)*AB139+(1-EXP(-LN(2)/2))/(LN(2)/2)*V140*Y140*VLOOKUP('Données projet'!$B$9,Paramètres!$A$1:$I$89,3,0)*0.475*44/12</f>
        <v>1.5946486561330116E-15</v>
      </c>
      <c r="AC140" s="24">
        <f t="shared" si="111"/>
        <v>0.46532795134633459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-1.7053025658242404E-13</v>
      </c>
      <c r="AJ140" s="14">
        <f>AI140*VLOOKUP('Données projet'!$B$10,Paramètres!$A$1:$I$89,3,0)*VLOOKUP('Données projet'!$B$10,Paramètres!$A$1:$I$89,5,0)</f>
        <v>-1.4631496014771985E-13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174.46631997577833</v>
      </c>
      <c r="AO140" s="62">
        <f t="shared" si="144"/>
        <v>79.07564466480153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563.31908988236285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2.6602720026858149E-14</v>
      </c>
      <c r="P141" s="14">
        <f t="shared" si="141"/>
        <v>4.6624771586320878E-13</v>
      </c>
      <c r="Q141" s="22">
        <f t="shared" si="108"/>
        <v>8.583811758418665E-13</v>
      </c>
      <c r="R141" s="62">
        <f t="shared" si="109"/>
        <v>293.33333333333417</v>
      </c>
      <c r="S141" s="62">
        <f ca="1">AVERAGE(OFFSET($R$3,0,0,'Données projet'!$E$9+1,1))-AVERAGE(OFFSET($H$3,0,0,'Données projet'!$E$9+1,1))</f>
        <v>110.90259639804435</v>
      </c>
      <c r="T141" s="62">
        <f t="shared" si="142"/>
        <v>156.34514945935405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0.31975067474822305</v>
      </c>
      <c r="AA141" s="23">
        <f>EXP(-LN(2)/25)*AA140+(1-EXP(-LN(2)/25))/(LN(2)/25)*Calculateur!V141*Calculateur!X141*VLOOKUP('Données projet'!$B$9,Paramètres!$A$1:$I$89,3,0)*0.475*44/12</f>
        <v>0.13537581625793213</v>
      </c>
      <c r="AB141" s="23">
        <f>EXP(-LN(2)/2)*AB140+(1-EXP(-LN(2)/2))/(LN(2)/2)*V141*Y141*VLOOKUP('Données projet'!$B$9,Paramètres!$A$1:$I$89,3,0)*0.475*44/12</f>
        <v>1.1275868783616675E-15</v>
      </c>
      <c r="AC141" s="24">
        <f t="shared" si="111"/>
        <v>0.45512649100615632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-1.7053025658242404E-13</v>
      </c>
      <c r="AJ141" s="14">
        <f>AI141*VLOOKUP('Données projet'!$B$10,Paramètres!$A$1:$I$89,3,0)*VLOOKUP('Données projet'!$B$10,Paramètres!$A$1:$I$89,5,0)</f>
        <v>-1.4631496014771985E-13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174.46631997577833</v>
      </c>
      <c r="AO141" s="62">
        <f t="shared" si="144"/>
        <v>79.07564466480153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565.22789727634256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2.6602720026858149E-14</v>
      </c>
      <c r="P142" s="14">
        <f t="shared" si="141"/>
        <v>4.6624771586320878E-13</v>
      </c>
      <c r="Q142" s="22">
        <f t="shared" si="108"/>
        <v>8.583811758418665E-13</v>
      </c>
      <c r="R142" s="62">
        <f t="shared" si="109"/>
        <v>293.33333333333417</v>
      </c>
      <c r="S142" s="62">
        <f ca="1">AVERAGE(OFFSET($R$3,0,0,'Données projet'!$E$9+1,1))-AVERAGE(OFFSET($H$3,0,0,'Données projet'!$E$9+1,1))</f>
        <v>110.90259639804435</v>
      </c>
      <c r="T142" s="62">
        <f t="shared" si="142"/>
        <v>156.34514945935405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0.3134805590450645</v>
      </c>
      <c r="AA142" s="23">
        <f>EXP(-LN(2)/25)*AA141+(1-EXP(-LN(2)/25))/(LN(2)/25)*Calculateur!V142*Calculateur!X142*VLOOKUP('Données projet'!$B$9,Paramètres!$A$1:$I$89,3,0)*0.475*44/12</f>
        <v>0.13167395744325419</v>
      </c>
      <c r="AB142" s="23">
        <f>EXP(-LN(2)/2)*AB141+(1-EXP(-LN(2)/2))/(LN(2)/2)*V142*Y142*VLOOKUP('Données projet'!$B$9,Paramètres!$A$1:$I$89,3,0)*0.475*44/12</f>
        <v>7.9732432806650578E-16</v>
      </c>
      <c r="AC142" s="24">
        <f t="shared" si="111"/>
        <v>0.4451545164883195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-1.7053025658242404E-13</v>
      </c>
      <c r="AJ142" s="14">
        <f>AI142*VLOOKUP('Données projet'!$B$10,Paramètres!$A$1:$I$89,3,0)*VLOOKUP('Données projet'!$B$10,Paramètres!$A$1:$I$89,5,0)</f>
        <v>-1.4631496014771985E-13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174.46631997577833</v>
      </c>
      <c r="AO142" s="62">
        <f t="shared" si="144"/>
        <v>79.07564466480153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567.13640322787103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2.6602720026858149E-14</v>
      </c>
      <c r="P143" s="14">
        <f t="shared" si="141"/>
        <v>4.6624771586320878E-13</v>
      </c>
      <c r="Q143" s="22">
        <f t="shared" si="108"/>
        <v>8.583811758418665E-13</v>
      </c>
      <c r="R143" s="62">
        <f t="shared" si="109"/>
        <v>293.33333333333417</v>
      </c>
      <c r="S143" s="62">
        <f ca="1">AVERAGE(OFFSET($R$3,0,0,'Données projet'!$E$9+1,1))-AVERAGE(OFFSET($H$3,0,0,'Données projet'!$E$9+1,1))</f>
        <v>110.90259639804435</v>
      </c>
      <c r="T143" s="62">
        <f t="shared" si="142"/>
        <v>156.34514945935405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0.30733339648645197</v>
      </c>
      <c r="AA143" s="23">
        <f>EXP(-LN(2)/25)*AA142+(1-EXP(-LN(2)/25))/(LN(2)/25)*Calculateur!V143*Calculateur!X143*VLOOKUP('Données projet'!$B$9,Paramètres!$A$1:$I$89,3,0)*0.475*44/12</f>
        <v>0.12807332615253592</v>
      </c>
      <c r="AB143" s="23">
        <f>EXP(-LN(2)/2)*AB142+(1-EXP(-LN(2)/2))/(LN(2)/2)*V143*Y143*VLOOKUP('Données projet'!$B$9,Paramètres!$A$1:$I$89,3,0)*0.475*44/12</f>
        <v>5.6379343918083373E-16</v>
      </c>
      <c r="AC143" s="24">
        <f t="shared" si="111"/>
        <v>0.43540672263898844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-1.7053025658242404E-13</v>
      </c>
      <c r="AJ143" s="14">
        <f>AI143*VLOOKUP('Données projet'!$B$10,Paramètres!$A$1:$I$89,3,0)*VLOOKUP('Données projet'!$B$10,Paramètres!$A$1:$I$89,5,0)</f>
        <v>-1.4631496014771985E-13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174.46631997577833</v>
      </c>
      <c r="AO143" s="62">
        <f t="shared" si="144"/>
        <v>79.07564466480153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569.04461013977823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2.6602720026858149E-14</v>
      </c>
      <c r="P144" s="14">
        <f t="shared" si="141"/>
        <v>4.6624771586320878E-13</v>
      </c>
      <c r="Q144" s="22">
        <f t="shared" si="108"/>
        <v>8.583811758418665E-13</v>
      </c>
      <c r="R144" s="62">
        <f t="shared" si="109"/>
        <v>293.33333333333417</v>
      </c>
      <c r="S144" s="62">
        <f ca="1">AVERAGE(OFFSET($R$3,0,0,'Données projet'!$E$9+1,1))-AVERAGE(OFFSET($H$3,0,0,'Données projet'!$E$9+1,1))</f>
        <v>110.90259639804435</v>
      </c>
      <c r="T144" s="62">
        <f t="shared" si="142"/>
        <v>156.34514945935405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0.30130677603621486</v>
      </c>
      <c r="AA144" s="23">
        <f>EXP(-LN(2)/25)*AA143+(1-EXP(-LN(2)/25))/(LN(2)/25)*Calculateur!V144*Calculateur!X144*VLOOKUP('Données projet'!$B$9,Paramètres!$A$1:$I$89,3,0)*0.475*44/12</f>
        <v>0.12457115431381131</v>
      </c>
      <c r="AB144" s="23">
        <f>EXP(-LN(2)/2)*AB143+(1-EXP(-LN(2)/2))/(LN(2)/2)*V144*Y144*VLOOKUP('Données projet'!$B$9,Paramètres!$A$1:$I$89,3,0)*0.475*44/12</f>
        <v>3.9866216403325289E-16</v>
      </c>
      <c r="AC144" s="24">
        <f t="shared" si="111"/>
        <v>0.42587793035002658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-1.7053025658242404E-13</v>
      </c>
      <c r="AJ144" s="14">
        <f>AI144*VLOOKUP('Données projet'!$B$10,Paramètres!$A$1:$I$89,3,0)*VLOOKUP('Données projet'!$B$10,Paramètres!$A$1:$I$89,5,0)</f>
        <v>-1.4631496014771985E-13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174.46631997577833</v>
      </c>
      <c r="AO144" s="62">
        <f t="shared" si="144"/>
        <v>79.07564466480153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570.95252037884222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2.6602720026858149E-14</v>
      </c>
      <c r="P145" s="14">
        <f t="shared" si="141"/>
        <v>4.6624771586320878E-13</v>
      </c>
      <c r="Q145" s="22">
        <f t="shared" si="108"/>
        <v>8.583811758418665E-13</v>
      </c>
      <c r="R145" s="62">
        <f t="shared" si="109"/>
        <v>293.33333333333417</v>
      </c>
      <c r="S145" s="62">
        <f ca="1">AVERAGE(OFFSET($R$3,0,0,'Données projet'!$E$9+1,1))-AVERAGE(OFFSET($H$3,0,0,'Données projet'!$E$9+1,1))</f>
        <v>110.90259639804435</v>
      </c>
      <c r="T145" s="62">
        <f t="shared" si="142"/>
        <v>156.34514945935405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0.29539833393713139</v>
      </c>
      <c r="AA145" s="23">
        <f>EXP(-LN(2)/25)*AA144+(1-EXP(-LN(2)/25))/(LN(2)/25)*Calculateur!V145*Calculateur!X145*VLOOKUP('Données projet'!$B$9,Paramètres!$A$1:$I$89,3,0)*0.475*44/12</f>
        <v>0.12116474954818784</v>
      </c>
      <c r="AB145" s="23">
        <f>EXP(-LN(2)/2)*AB144+(1-EXP(-LN(2)/2))/(LN(2)/2)*V145*Y145*VLOOKUP('Données projet'!$B$9,Paramètres!$A$1:$I$89,3,0)*0.475*44/12</f>
        <v>2.8189671959041686E-16</v>
      </c>
      <c r="AC145" s="24">
        <f t="shared" si="111"/>
        <v>0.41656308348531951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-1.7053025658242404E-13</v>
      </c>
      <c r="AJ145" s="14">
        <f>AI145*VLOOKUP('Données projet'!$B$10,Paramètres!$A$1:$I$89,3,0)*VLOOKUP('Données projet'!$B$10,Paramètres!$A$1:$I$89,5,0)</f>
        <v>-1.4631496014771985E-13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174.46631997577833</v>
      </c>
      <c r="AO145" s="62">
        <f t="shared" si="144"/>
        <v>79.07564466480153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572.8601362765794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2.6602720026858149E-14</v>
      </c>
      <c r="P146" s="14">
        <f t="shared" si="141"/>
        <v>4.6624771586320878E-13</v>
      </c>
      <c r="Q146" s="22">
        <f t="shared" si="108"/>
        <v>8.583811758418665E-13</v>
      </c>
      <c r="R146" s="62">
        <f t="shared" si="109"/>
        <v>293.33333333333417</v>
      </c>
      <c r="S146" s="62">
        <f ca="1">AVERAGE(OFFSET($R$3,0,0,'Données projet'!$E$9+1,1))-AVERAGE(OFFSET($H$3,0,0,'Données projet'!$E$9+1,1))</f>
        <v>110.90259639804435</v>
      </c>
      <c r="T146" s="62">
        <f t="shared" si="142"/>
        <v>156.34514945935405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0.28960575278381712</v>
      </c>
      <c r="AA146" s="23">
        <f>EXP(-LN(2)/25)*AA145+(1-EXP(-LN(2)/25))/(LN(2)/25)*Calculateur!V146*Calculateur!X146*VLOOKUP('Données projet'!$B$9,Paramètres!$A$1:$I$89,3,0)*0.475*44/12</f>
        <v>0.1178514931000154</v>
      </c>
      <c r="AB146" s="23">
        <f>EXP(-LN(2)/2)*AB145+(1-EXP(-LN(2)/2))/(LN(2)/2)*V146*Y146*VLOOKUP('Données projet'!$B$9,Paramètres!$A$1:$I$89,3,0)*0.475*44/12</f>
        <v>1.9933108201662645E-16</v>
      </c>
      <c r="AC146" s="24">
        <f t="shared" si="111"/>
        <v>0.40745724588383275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-1.7053025658242404E-13</v>
      </c>
      <c r="AJ146" s="14">
        <f>AI146*VLOOKUP('Données projet'!$B$10,Paramètres!$A$1:$I$89,3,0)*VLOOKUP('Données projet'!$B$10,Paramètres!$A$1:$I$89,5,0)</f>
        <v>-1.4631496014771985E-13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174.46631997577833</v>
      </c>
      <c r="AO146" s="62">
        <f t="shared" si="144"/>
        <v>79.07564466480153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574.76746013001298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2.6602720026858149E-14</v>
      </c>
      <c r="P147" s="14">
        <f t="shared" si="141"/>
        <v>4.6624771586320878E-13</v>
      </c>
      <c r="Q147" s="22">
        <f t="shared" si="108"/>
        <v>8.583811758418665E-13</v>
      </c>
      <c r="R147" s="62">
        <f t="shared" si="109"/>
        <v>293.33333333333417</v>
      </c>
      <c r="S147" s="62">
        <f ca="1">AVERAGE(OFFSET($R$3,0,0,'Données projet'!$E$9+1,1))-AVERAGE(OFFSET($H$3,0,0,'Données projet'!$E$9+1,1))</f>
        <v>110.90259639804435</v>
      </c>
      <c r="T147" s="62">
        <f t="shared" si="142"/>
        <v>156.34514945935405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0.28392676061379368</v>
      </c>
      <c r="AA147" s="23">
        <f>EXP(-LN(2)/25)*AA146+(1-EXP(-LN(2)/25))/(LN(2)/25)*Calculateur!V147*Calculateur!X147*VLOOKUP('Données projet'!$B$9,Paramètres!$A$1:$I$89,3,0)*0.475*44/12</f>
        <v>0.11462883782365481</v>
      </c>
      <c r="AB147" s="23">
        <f>EXP(-LN(2)/2)*AB146+(1-EXP(-LN(2)/2))/(LN(2)/2)*V147*Y147*VLOOKUP('Données projet'!$B$9,Paramètres!$A$1:$I$89,3,0)*0.475*44/12</f>
        <v>1.4094835979520843E-16</v>
      </c>
      <c r="AC147" s="24">
        <f t="shared" si="111"/>
        <v>0.39855559843744864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-1.7053025658242404E-13</v>
      </c>
      <c r="AJ147" s="14">
        <f>AI147*VLOOKUP('Données projet'!$B$10,Paramètres!$A$1:$I$89,3,0)*VLOOKUP('Données projet'!$B$10,Paramètres!$A$1:$I$89,5,0)</f>
        <v>-1.4631496014771985E-13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174.46631997577833</v>
      </c>
      <c r="AO147" s="62">
        <f t="shared" si="144"/>
        <v>79.07564466480153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576.6744942024194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2.6602720026858149E-14</v>
      </c>
      <c r="P148" s="14">
        <f t="shared" si="141"/>
        <v>4.6624771586320878E-13</v>
      </c>
      <c r="Q148" s="22">
        <f t="shared" si="108"/>
        <v>8.583811758418665E-13</v>
      </c>
      <c r="R148" s="62">
        <f t="shared" si="109"/>
        <v>293.33333333333417</v>
      </c>
      <c r="S148" s="62">
        <f ca="1">AVERAGE(OFFSET($R$3,0,0,'Données projet'!$E$9+1,1))-AVERAGE(OFFSET($H$3,0,0,'Données projet'!$E$9+1,1))</f>
        <v>110.90259639804435</v>
      </c>
      <c r="T148" s="62">
        <f t="shared" si="142"/>
        <v>156.34514945935405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0.27835913001638124</v>
      </c>
      <c r="AA148" s="23">
        <f>EXP(-LN(2)/25)*AA147+(1-EXP(-LN(2)/25))/(LN(2)/25)*Calculateur!V148*Calculateur!X148*VLOOKUP('Données projet'!$B$9,Paramètres!$A$1:$I$89,3,0)*0.475*44/12</f>
        <v>0.11149430622529838</v>
      </c>
      <c r="AB148" s="23">
        <f>EXP(-LN(2)/2)*AB147+(1-EXP(-LN(2)/2))/(LN(2)/2)*V148*Y148*VLOOKUP('Données projet'!$B$9,Paramètres!$A$1:$I$89,3,0)*0.475*44/12</f>
        <v>9.9665541008313223E-17</v>
      </c>
      <c r="AC148" s="24">
        <f t="shared" si="111"/>
        <v>0.38985343624167973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-1.7053025658242404E-13</v>
      </c>
      <c r="AJ148" s="14">
        <f>AI148*VLOOKUP('Données projet'!$B$10,Paramètres!$A$1:$I$89,3,0)*VLOOKUP('Données projet'!$B$10,Paramètres!$A$1:$I$89,5,0)</f>
        <v>-1.4631496014771985E-13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174.46631997577833</v>
      </c>
      <c r="AO148" s="62">
        <f t="shared" si="144"/>
        <v>79.07564466480153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578.58124072405269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2.6602720026858149E-14</v>
      </c>
      <c r="P149" s="14">
        <f t="shared" si="141"/>
        <v>4.6624771586320878E-13</v>
      </c>
      <c r="Q149" s="22">
        <f t="shared" si="108"/>
        <v>8.583811758418665E-13</v>
      </c>
      <c r="R149" s="62">
        <f t="shared" si="109"/>
        <v>293.33333333333417</v>
      </c>
      <c r="S149" s="62">
        <f ca="1">AVERAGE(OFFSET($R$3,0,0,'Données projet'!$E$9+1,1))-AVERAGE(OFFSET($H$3,0,0,'Données projet'!$E$9+1,1))</f>
        <v>110.90259639804435</v>
      </c>
      <c r="T149" s="62">
        <f t="shared" si="142"/>
        <v>156.34514945935405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0.27290067725906469</v>
      </c>
      <c r="AA149" s="23">
        <f>EXP(-LN(2)/25)*AA148+(1-EXP(-LN(2)/25))/(LN(2)/25)*Calculateur!V149*Calculateur!X149*VLOOKUP('Données projet'!$B$9,Paramètres!$A$1:$I$89,3,0)*0.475*44/12</f>
        <v>0.10844548855833686</v>
      </c>
      <c r="AB149" s="23">
        <f>EXP(-LN(2)/2)*AB148+(1-EXP(-LN(2)/2))/(LN(2)/2)*V149*Y149*VLOOKUP('Données projet'!$B$9,Paramètres!$A$1:$I$89,3,0)*0.475*44/12</f>
        <v>7.0474179897604216E-17</v>
      </c>
      <c r="AC149" s="24">
        <f t="shared" si="111"/>
        <v>0.38134616581740161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-1.7053025658242404E-13</v>
      </c>
      <c r="AJ149" s="14">
        <f>AI149*VLOOKUP('Données projet'!$B$10,Paramètres!$A$1:$I$89,3,0)*VLOOKUP('Données projet'!$B$10,Paramètres!$A$1:$I$89,5,0)</f>
        <v>-1.4631496014771985E-13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174.46631997577833</v>
      </c>
      <c r="AO149" s="62">
        <f t="shared" si="144"/>
        <v>79.07564466480153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580.48770189284971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2.6602720026858149E-14</v>
      </c>
      <c r="P150" s="14">
        <f t="shared" si="141"/>
        <v>4.6624771586320878E-13</v>
      </c>
      <c r="Q150" s="22">
        <f t="shared" si="108"/>
        <v>8.583811758418665E-13</v>
      </c>
      <c r="R150" s="62">
        <f t="shared" si="109"/>
        <v>293.33333333333417</v>
      </c>
      <c r="S150" s="62">
        <f ca="1">AVERAGE(OFFSET($R$3,0,0,'Données projet'!$E$9+1,1))-AVERAGE(OFFSET($H$3,0,0,'Données projet'!$E$9+1,1))</f>
        <v>110.90259639804435</v>
      </c>
      <c r="T150" s="62">
        <f t="shared" si="142"/>
        <v>156.34514945935405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0.26754926143099172</v>
      </c>
      <c r="AA150" s="23">
        <f>EXP(-LN(2)/25)*AA149+(1-EXP(-LN(2)/25))/(LN(2)/25)*Calculateur!V150*Calculateur!X150*VLOOKUP('Données projet'!$B$9,Paramètres!$A$1:$I$89,3,0)*0.475*44/12</f>
        <v>0.10548004097080875</v>
      </c>
      <c r="AB150" s="23">
        <f>EXP(-LN(2)/2)*AB149+(1-EXP(-LN(2)/2))/(LN(2)/2)*V150*Y150*VLOOKUP('Données projet'!$B$9,Paramètres!$A$1:$I$89,3,0)*0.475*44/12</f>
        <v>4.9832770504156611E-17</v>
      </c>
      <c r="AC150" s="24">
        <f t="shared" si="111"/>
        <v>0.37302930240180054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-1.7053025658242404E-13</v>
      </c>
      <c r="AJ150" s="14">
        <f>AI150*VLOOKUP('Données projet'!$B$10,Paramètres!$A$1:$I$89,3,0)*VLOOKUP('Données projet'!$B$10,Paramètres!$A$1:$I$89,5,0)</f>
        <v>-1.4631496014771985E-13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174.46631997577833</v>
      </c>
      <c r="AO150" s="62">
        <f t="shared" si="144"/>
        <v>79.07564466480153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582.39387987511509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2.6602720026858149E-14</v>
      </c>
      <c r="P151" s="14">
        <f t="shared" si="141"/>
        <v>4.6624771586320878E-13</v>
      </c>
      <c r="Q151" s="22">
        <f t="shared" si="108"/>
        <v>8.583811758418665E-13</v>
      </c>
      <c r="R151" s="62">
        <f t="shared" si="109"/>
        <v>293.33333333333417</v>
      </c>
      <c r="S151" s="62">
        <f ca="1">AVERAGE(OFFSET($R$3,0,0,'Données projet'!$E$9+1,1))-AVERAGE(OFFSET($H$3,0,0,'Données projet'!$E$9+1,1))</f>
        <v>110.90259639804435</v>
      </c>
      <c r="T151" s="62">
        <f t="shared" si="142"/>
        <v>156.34514945935405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0.26230278360326587</v>
      </c>
      <c r="AA151" s="23">
        <f>EXP(-LN(2)/25)*AA150+(1-EXP(-LN(2)/25))/(LN(2)/25)*Calculateur!V151*Calculateur!X151*VLOOKUP('Données projet'!$B$9,Paramètres!$A$1:$I$89,3,0)*0.475*44/12</f>
        <v>0.1025956837035077</v>
      </c>
      <c r="AB151" s="23">
        <f>EXP(-LN(2)/2)*AB150+(1-EXP(-LN(2)/2))/(LN(2)/2)*V151*Y151*VLOOKUP('Données projet'!$B$9,Paramètres!$A$1:$I$89,3,0)*0.475*44/12</f>
        <v>3.5237089948802108E-17</v>
      </c>
      <c r="AC151" s="24">
        <f t="shared" si="111"/>
        <v>0.36489846730677361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-1.7053025658242404E-13</v>
      </c>
      <c r="AJ151" s="14">
        <f>AI151*VLOOKUP('Données projet'!$B$10,Paramètres!$A$1:$I$89,3,0)*VLOOKUP('Données projet'!$B$10,Paramètres!$A$1:$I$89,5,0)</f>
        <v>-1.4631496014771985E-13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174.46631997577833</v>
      </c>
      <c r="AO151" s="62">
        <f t="shared" si="144"/>
        <v>79.07564466480153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584.29977680618606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2.6602720026858149E-14</v>
      </c>
      <c r="P152" s="14">
        <f t="shared" si="141"/>
        <v>4.6624771586320878E-13</v>
      </c>
      <c r="Q152" s="22">
        <f t="shared" si="108"/>
        <v>8.583811758418665E-13</v>
      </c>
      <c r="R152" s="62">
        <f t="shared" si="109"/>
        <v>293.33333333333417</v>
      </c>
      <c r="S152" s="62">
        <f ca="1">AVERAGE(OFFSET($R$3,0,0,'Données projet'!$E$9+1,1))-AVERAGE(OFFSET($H$3,0,0,'Données projet'!$E$9+1,1))</f>
        <v>110.90259639804435</v>
      </c>
      <c r="T152" s="62">
        <f t="shared" si="142"/>
        <v>156.34514945935405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0.25715918600570625</v>
      </c>
      <c r="AA152" s="23">
        <f>EXP(-LN(2)/25)*AA151+(1-EXP(-LN(2)/25))/(LN(2)/25)*Calculateur!V152*Calculateur!X152*VLOOKUP('Données projet'!$B$9,Paramètres!$A$1:$I$89,3,0)*0.475*44/12</f>
        <v>9.9790199337362759E-2</v>
      </c>
      <c r="AB152" s="23">
        <f>EXP(-LN(2)/2)*AB151+(1-EXP(-LN(2)/2))/(LN(2)/2)*V152*Y152*VLOOKUP('Données projet'!$B$9,Paramètres!$A$1:$I$89,3,0)*0.475*44/12</f>
        <v>2.4916385252078306E-17</v>
      </c>
      <c r="AC152" s="24">
        <f t="shared" si="111"/>
        <v>0.35694938534306903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-1.7053025658242404E-13</v>
      </c>
      <c r="AJ152" s="14">
        <f>AI152*VLOOKUP('Données projet'!$B$10,Paramètres!$A$1:$I$89,3,0)*VLOOKUP('Données projet'!$B$10,Paramètres!$A$1:$I$89,5,0)</f>
        <v>-1.4631496014771985E-13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174.46631997577833</v>
      </c>
      <c r="AO152" s="62">
        <f t="shared" si="144"/>
        <v>79.07564466480153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586.20539479108152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2.6602720026858149E-14</v>
      </c>
      <c r="P153" s="14">
        <f t="shared" si="141"/>
        <v>4.6624771586320878E-13</v>
      </c>
      <c r="Q153" s="22">
        <f t="shared" si="108"/>
        <v>8.583811758418665E-13</v>
      </c>
      <c r="R153" s="62">
        <f t="shared" si="109"/>
        <v>293.33333333333417</v>
      </c>
      <c r="S153" s="62">
        <f ca="1">AVERAGE(OFFSET($R$3,0,0,'Données projet'!$E$9+1,1))-AVERAGE(OFFSET($H$3,0,0,'Données projet'!$E$9+1,1))</f>
        <v>110.90259639804435</v>
      </c>
      <c r="T153" s="62">
        <f t="shared" si="142"/>
        <v>156.34514945935405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0.25211645121975002</v>
      </c>
      <c r="AA153" s="23">
        <f>EXP(-LN(2)/25)*AA152+(1-EXP(-LN(2)/25))/(LN(2)/25)*Calculateur!V153*Calculateur!X153*VLOOKUP('Données projet'!$B$9,Paramètres!$A$1:$I$89,3,0)*0.475*44/12</f>
        <v>9.7061431088744071E-2</v>
      </c>
      <c r="AB153" s="23">
        <f>EXP(-LN(2)/2)*AB152+(1-EXP(-LN(2)/2))/(LN(2)/2)*V153*Y153*VLOOKUP('Données projet'!$B$9,Paramètres!$A$1:$I$89,3,0)*0.475*44/12</f>
        <v>1.7618544974401054E-17</v>
      </c>
      <c r="AC153" s="24">
        <f t="shared" si="111"/>
        <v>0.34917788230849411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-1.7053025658242404E-13</v>
      </c>
      <c r="AJ153" s="14">
        <f>AI153*VLOOKUP('Données projet'!$B$10,Paramètres!$A$1:$I$89,3,0)*VLOOKUP('Données projet'!$B$10,Paramètres!$A$1:$I$89,5,0)</f>
        <v>-1.4631496014771985E-13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174.46631997577833</v>
      </c>
      <c r="AO153" s="62">
        <f t="shared" si="144"/>
        <v>79.07564466480153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588.11073590513013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2.6602720026858149E-14</v>
      </c>
      <c r="P154" s="14">
        <f t="shared" si="141"/>
        <v>4.6624771586320878E-13</v>
      </c>
      <c r="Q154" s="22">
        <f t="shared" ref="Q154:Q203" si="162">(O154+P154)*0.475*44/12</f>
        <v>8.583811758418665E-13</v>
      </c>
      <c r="R154" s="62">
        <f t="shared" si="109"/>
        <v>293.33333333333417</v>
      </c>
      <c r="S154" s="62">
        <f ca="1">AVERAGE(OFFSET($R$3,0,0,'Données projet'!$E$9+1,1))-AVERAGE(OFFSET($H$3,0,0,'Données projet'!$E$9+1,1))</f>
        <v>110.90259639804435</v>
      </c>
      <c r="T154" s="62">
        <f t="shared" si="142"/>
        <v>156.34514945935405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0.24717260138718186</v>
      </c>
      <c r="AA154" s="23">
        <f>EXP(-LN(2)/25)*AA153+(1-EXP(-LN(2)/25))/(LN(2)/25)*Calculateur!V154*Calculateur!X154*VLOOKUP('Données projet'!$B$9,Paramètres!$A$1:$I$89,3,0)*0.475*44/12</f>
        <v>9.440728115138354E-2</v>
      </c>
      <c r="AB154" s="23">
        <f>EXP(-LN(2)/2)*AB153+(1-EXP(-LN(2)/2))/(LN(2)/2)*V154*Y154*VLOOKUP('Données projet'!$B$9,Paramètres!$A$1:$I$89,3,0)*0.475*44/12</f>
        <v>1.2458192626039153E-17</v>
      </c>
      <c r="AC154" s="24">
        <f t="shared" ref="AC154:AC203" si="163">SUM(Z154:AB154)</f>
        <v>0.34157988253856542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-1.7053025658242404E-13</v>
      </c>
      <c r="AJ154" s="14">
        <f>AI154*VLOOKUP('Données projet'!$B$10,Paramètres!$A$1:$I$89,3,0)*VLOOKUP('Données projet'!$B$10,Paramètres!$A$1:$I$89,5,0)</f>
        <v>-1.4631496014771985E-13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174.46631997577833</v>
      </c>
      <c r="AO154" s="62">
        <f t="shared" si="144"/>
        <v>79.07564466480153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590.0158021945839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2.6602720026858149E-14</v>
      </c>
      <c r="P155" s="14">
        <f t="shared" si="141"/>
        <v>4.6624771586320878E-13</v>
      </c>
      <c r="Q155" s="22">
        <f t="shared" si="162"/>
        <v>8.583811758418665E-13</v>
      </c>
      <c r="R155" s="62">
        <f t="shared" si="109"/>
        <v>293.33333333333417</v>
      </c>
      <c r="S155" s="62">
        <f ca="1">AVERAGE(OFFSET($R$3,0,0,'Données projet'!$E$9+1,1))-AVERAGE(OFFSET($H$3,0,0,'Données projet'!$E$9+1,1))</f>
        <v>110.90259639804435</v>
      </c>
      <c r="T155" s="62">
        <f t="shared" si="142"/>
        <v>156.34514945935405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0.24232569743437971</v>
      </c>
      <c r="AA155" s="23">
        <f>EXP(-LN(2)/25)*AA154+(1-EXP(-LN(2)/25))/(LN(2)/25)*Calculateur!V155*Calculateur!X155*VLOOKUP('Données projet'!$B$9,Paramètres!$A$1:$I$89,3,0)*0.475*44/12</f>
        <v>9.1825709083635812E-2</v>
      </c>
      <c r="AB155" s="23">
        <f>EXP(-LN(2)/2)*AB154+(1-EXP(-LN(2)/2))/(LN(2)/2)*V155*Y155*VLOOKUP('Données projet'!$B$9,Paramètres!$A$1:$I$89,3,0)*0.475*44/12</f>
        <v>8.809272487200527E-18</v>
      </c>
      <c r="AC155" s="24">
        <f t="shared" si="163"/>
        <v>0.3341514065180155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-1.7053025658242404E-13</v>
      </c>
      <c r="AJ155" s="14">
        <f>AI155*VLOOKUP('Données projet'!$B$10,Paramètres!$A$1:$I$89,3,0)*VLOOKUP('Données projet'!$B$10,Paramètres!$A$1:$I$89,5,0)</f>
        <v>-1.4631496014771985E-13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174.46631997577833</v>
      </c>
      <c r="AO155" s="62">
        <f t="shared" si="144"/>
        <v>79.07564466480153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591.92059567721367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2.6602720026858149E-14</v>
      </c>
      <c r="P156" s="14">
        <f t="shared" si="141"/>
        <v>4.6624771586320878E-13</v>
      </c>
      <c r="Q156" s="22">
        <f t="shared" si="162"/>
        <v>8.583811758418665E-13</v>
      </c>
      <c r="R156" s="62">
        <f t="shared" si="109"/>
        <v>293.33333333333417</v>
      </c>
      <c r="S156" s="62">
        <f ca="1">AVERAGE(OFFSET($R$3,0,0,'Données projet'!$E$9+1,1))-AVERAGE(OFFSET($H$3,0,0,'Données projet'!$E$9+1,1))</f>
        <v>110.90259639804435</v>
      </c>
      <c r="T156" s="62">
        <f t="shared" si="142"/>
        <v>156.34514945935405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0.23757383831177251</v>
      </c>
      <c r="AA156" s="23">
        <f>EXP(-LN(2)/25)*AA155+(1-EXP(-LN(2)/25))/(LN(2)/25)*Calculateur!V156*Calculateur!X156*VLOOKUP('Données projet'!$B$9,Paramètres!$A$1:$I$89,3,0)*0.475*44/12</f>
        <v>8.9314730239839615E-2</v>
      </c>
      <c r="AB156" s="23">
        <f>EXP(-LN(2)/2)*AB155+(1-EXP(-LN(2)/2))/(LN(2)/2)*V156*Y156*VLOOKUP('Données projet'!$B$9,Paramètres!$A$1:$I$89,3,0)*0.475*44/12</f>
        <v>6.2290963130195764E-18</v>
      </c>
      <c r="AC156" s="24">
        <f t="shared" si="163"/>
        <v>0.32688856855161214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-1.7053025658242404E-13</v>
      </c>
      <c r="AJ156" s="14">
        <f>AI156*VLOOKUP('Données projet'!$B$10,Paramètres!$A$1:$I$89,3,0)*VLOOKUP('Données projet'!$B$10,Paramètres!$A$1:$I$89,5,0)</f>
        <v>-1.4631496014771985E-13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174.46631997577833</v>
      </c>
      <c r="AO156" s="62">
        <f t="shared" si="144"/>
        <v>79.07564466480153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593.82511834288903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2.6602720026858149E-14</v>
      </c>
      <c r="P157" s="14">
        <f t="shared" si="141"/>
        <v>4.6624771586320878E-13</v>
      </c>
      <c r="Q157" s="22">
        <f t="shared" si="162"/>
        <v>8.583811758418665E-13</v>
      </c>
      <c r="R157" s="62">
        <f t="shared" si="109"/>
        <v>293.33333333333417</v>
      </c>
      <c r="S157" s="62">
        <f ca="1">AVERAGE(OFFSET($R$3,0,0,'Données projet'!$E$9+1,1))-AVERAGE(OFFSET($H$3,0,0,'Données projet'!$E$9+1,1))</f>
        <v>110.90259639804435</v>
      </c>
      <c r="T157" s="62">
        <f t="shared" si="142"/>
        <v>156.34514945935405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0.23291516024821177</v>
      </c>
      <c r="AA157" s="23">
        <f>EXP(-LN(2)/25)*AA156+(1-EXP(-LN(2)/25))/(LN(2)/25)*Calculateur!V157*Calculateur!X157*VLOOKUP('Données projet'!$B$9,Paramètres!$A$1:$I$89,3,0)*0.475*44/12</f>
        <v>8.6872414244573676E-2</v>
      </c>
      <c r="AB157" s="23">
        <f>EXP(-LN(2)/2)*AB156+(1-EXP(-LN(2)/2))/(LN(2)/2)*V157*Y157*VLOOKUP('Données projet'!$B$9,Paramètres!$A$1:$I$89,3,0)*0.475*44/12</f>
        <v>4.4046362436002635E-18</v>
      </c>
      <c r="AC157" s="24">
        <f t="shared" si="163"/>
        <v>0.31978757449278544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-1.7053025658242404E-13</v>
      </c>
      <c r="AJ157" s="14">
        <f>AI157*VLOOKUP('Données projet'!$B$10,Paramètres!$A$1:$I$89,3,0)*VLOOKUP('Données projet'!$B$10,Paramètres!$A$1:$I$89,5,0)</f>
        <v>-1.4631496014771985E-13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174.46631997577833</v>
      </c>
      <c r="AO157" s="62">
        <f t="shared" si="144"/>
        <v>79.07564466480153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595.72937215414299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2.6602720026858149E-14</v>
      </c>
      <c r="P158" s="14">
        <f t="shared" si="141"/>
        <v>4.6624771586320878E-13</v>
      </c>
      <c r="Q158" s="22">
        <f t="shared" si="162"/>
        <v>8.583811758418665E-13</v>
      </c>
      <c r="R158" s="62">
        <f t="shared" si="109"/>
        <v>293.33333333333417</v>
      </c>
      <c r="S158" s="62">
        <f ca="1">AVERAGE(OFFSET($R$3,0,0,'Données projet'!$E$9+1,1))-AVERAGE(OFFSET($H$3,0,0,'Données projet'!$E$9+1,1))</f>
        <v>110.90259639804435</v>
      </c>
      <c r="T158" s="62">
        <f t="shared" si="142"/>
        <v>156.34514945935405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0.22834783601996442</v>
      </c>
      <c r="AA158" s="23">
        <f>EXP(-LN(2)/25)*AA157+(1-EXP(-LN(2)/25))/(LN(2)/25)*Calculateur!V158*Calculateur!X158*VLOOKUP('Données projet'!$B$9,Paramètres!$A$1:$I$89,3,0)*0.475*44/12</f>
        <v>8.4496883508634088E-2</v>
      </c>
      <c r="AB158" s="23">
        <f>EXP(-LN(2)/2)*AB157+(1-EXP(-LN(2)/2))/(LN(2)/2)*V158*Y158*VLOOKUP('Données projet'!$B$9,Paramètres!$A$1:$I$89,3,0)*0.475*44/12</f>
        <v>3.1145481565097882E-18</v>
      </c>
      <c r="AC158" s="24">
        <f t="shared" si="163"/>
        <v>0.31284471952859849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-1.7053025658242404E-13</v>
      </c>
      <c r="AJ158" s="14">
        <f>AI158*VLOOKUP('Données projet'!$B$10,Paramètres!$A$1:$I$89,3,0)*VLOOKUP('Données projet'!$B$10,Paramètres!$A$1:$I$89,5,0)</f>
        <v>-1.4631496014771985E-13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174.46631997577833</v>
      </c>
      <c r="AO158" s="62">
        <f t="shared" si="144"/>
        <v>79.07564466480153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597.63335904672135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2.6602720026858149E-14</v>
      </c>
      <c r="P159" s="14">
        <f t="shared" si="141"/>
        <v>4.6624771586320878E-13</v>
      </c>
      <c r="Q159" s="22">
        <f t="shared" si="162"/>
        <v>8.583811758418665E-13</v>
      </c>
      <c r="R159" s="62">
        <f t="shared" si="109"/>
        <v>293.33333333333417</v>
      </c>
      <c r="S159" s="62">
        <f ca="1">AVERAGE(OFFSET($R$3,0,0,'Données projet'!$E$9+1,1))-AVERAGE(OFFSET($H$3,0,0,'Données projet'!$E$9+1,1))</f>
        <v>110.90259639804435</v>
      </c>
      <c r="T159" s="62">
        <f t="shared" si="142"/>
        <v>156.34514945935405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0.22387007423404029</v>
      </c>
      <c r="AA159" s="23">
        <f>EXP(-LN(2)/25)*AA158+(1-EXP(-LN(2)/25))/(LN(2)/25)*Calculateur!V159*Calculateur!X159*VLOOKUP('Données projet'!$B$9,Paramètres!$A$1:$I$89,3,0)*0.475*44/12</f>
        <v>8.2186311785592506E-2</v>
      </c>
      <c r="AB159" s="23">
        <f>EXP(-LN(2)/2)*AB158+(1-EXP(-LN(2)/2))/(LN(2)/2)*V159*Y159*VLOOKUP('Données projet'!$B$9,Paramètres!$A$1:$I$89,3,0)*0.475*44/12</f>
        <v>2.2023181218001318E-18</v>
      </c>
      <c r="AC159" s="24">
        <f t="shared" si="163"/>
        <v>0.30605638601963281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-1.7053025658242404E-13</v>
      </c>
      <c r="AJ159" s="14">
        <f>AI159*VLOOKUP('Données projet'!$B$10,Paramètres!$A$1:$I$89,3,0)*VLOOKUP('Données projet'!$B$10,Paramètres!$A$1:$I$89,5,0)</f>
        <v>-1.4631496014771985E-13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174.46631997577833</v>
      </c>
      <c r="AO159" s="62">
        <f t="shared" si="144"/>
        <v>79.07564466480153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599.53708093011733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2.6602720026858149E-14</v>
      </c>
      <c r="P160" s="14">
        <f t="shared" si="141"/>
        <v>4.6624771586320878E-13</v>
      </c>
      <c r="Q160" s="22">
        <f t="shared" si="162"/>
        <v>8.583811758418665E-13</v>
      </c>
      <c r="R160" s="62">
        <f t="shared" si="109"/>
        <v>293.33333333333417</v>
      </c>
      <c r="S160" s="62">
        <f ca="1">AVERAGE(OFFSET($R$3,0,0,'Données projet'!$E$9+1,1))-AVERAGE(OFFSET($H$3,0,0,'Données projet'!$E$9+1,1))</f>
        <v>110.90259639804435</v>
      </c>
      <c r="T160" s="62">
        <f t="shared" si="142"/>
        <v>156.34514945935405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0.21948011862557312</v>
      </c>
      <c r="AA160" s="23">
        <f>EXP(-LN(2)/25)*AA159+(1-EXP(-LN(2)/25))/(LN(2)/25)*Calculateur!V160*Calculateur!X160*VLOOKUP('Données projet'!$B$9,Paramètres!$A$1:$I$89,3,0)*0.475*44/12</f>
        <v>7.9938922767825188E-2</v>
      </c>
      <c r="AB160" s="23">
        <f>EXP(-LN(2)/2)*AB159+(1-EXP(-LN(2)/2))/(LN(2)/2)*V160*Y160*VLOOKUP('Données projet'!$B$9,Paramètres!$A$1:$I$89,3,0)*0.475*44/12</f>
        <v>1.5572740782548941E-18</v>
      </c>
      <c r="AC160" s="24">
        <f t="shared" si="163"/>
        <v>0.29941904139339831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-1.7053025658242404E-13</v>
      </c>
      <c r="AJ160" s="14">
        <f>AI160*VLOOKUP('Données projet'!$B$10,Paramètres!$A$1:$I$89,3,0)*VLOOKUP('Données projet'!$B$10,Paramètres!$A$1:$I$89,5,0)</f>
        <v>-1.4631496014771985E-13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174.46631997577833</v>
      </c>
      <c r="AO160" s="62">
        <f t="shared" si="144"/>
        <v>79.07564466480153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601.44053968809271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2.6602720026858149E-14</v>
      </c>
      <c r="P161" s="14">
        <f t="shared" si="141"/>
        <v>4.6624771586320878E-13</v>
      </c>
      <c r="Q161" s="22">
        <f t="shared" si="162"/>
        <v>8.583811758418665E-13</v>
      </c>
      <c r="R161" s="62">
        <f t="shared" si="109"/>
        <v>293.33333333333417</v>
      </c>
      <c r="S161" s="62">
        <f ca="1">AVERAGE(OFFSET($R$3,0,0,'Données projet'!$E$9+1,1))-AVERAGE(OFFSET($H$3,0,0,'Données projet'!$E$9+1,1))</f>
        <v>110.90259639804435</v>
      </c>
      <c r="T161" s="62">
        <f t="shared" si="142"/>
        <v>156.34514945935405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0.21517624736897947</v>
      </c>
      <c r="AA161" s="23">
        <f>EXP(-LN(2)/25)*AA160+(1-EXP(-LN(2)/25))/(LN(2)/25)*Calculateur!V161*Calculateur!X161*VLOOKUP('Données projet'!$B$9,Paramètres!$A$1:$I$89,3,0)*0.475*44/12</f>
        <v>7.7752988720933766E-2</v>
      </c>
      <c r="AB161" s="23">
        <f>EXP(-LN(2)/2)*AB160+(1-EXP(-LN(2)/2))/(LN(2)/2)*V161*Y161*VLOOKUP('Données projet'!$B$9,Paramètres!$A$1:$I$89,3,0)*0.475*44/12</f>
        <v>1.1011590609000659E-18</v>
      </c>
      <c r="AC161" s="24">
        <f t="shared" si="163"/>
        <v>0.29292923608991323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-1.7053025658242404E-13</v>
      </c>
      <c r="AJ161" s="14">
        <f>AI161*VLOOKUP('Données projet'!$B$10,Paramètres!$A$1:$I$89,3,0)*VLOOKUP('Données projet'!$B$10,Paramètres!$A$1:$I$89,5,0)</f>
        <v>-1.4631496014771985E-13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174.46631997577833</v>
      </c>
      <c r="AO161" s="62">
        <f t="shared" si="144"/>
        <v>79.07564466480153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603.34373717918538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2.6602720026858149E-14</v>
      </c>
      <c r="P162" s="14">
        <f t="shared" si="141"/>
        <v>4.6624771586320878E-13</v>
      </c>
      <c r="Q162" s="22">
        <f t="shared" si="162"/>
        <v>8.583811758418665E-13</v>
      </c>
      <c r="R162" s="62">
        <f t="shared" si="109"/>
        <v>293.33333333333417</v>
      </c>
      <c r="S162" s="62">
        <f ca="1">AVERAGE(OFFSET($R$3,0,0,'Données projet'!$E$9+1,1))-AVERAGE(OFFSET($H$3,0,0,'Données projet'!$E$9+1,1))</f>
        <v>110.90259639804435</v>
      </c>
      <c r="T162" s="62">
        <f t="shared" si="142"/>
        <v>156.34514945935405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0.21095677240262536</v>
      </c>
      <c r="AA162" s="23">
        <f>EXP(-LN(2)/25)*AA161+(1-EXP(-LN(2)/25))/(LN(2)/25)*Calculateur!V162*Calculateur!X162*VLOOKUP('Données projet'!$B$9,Paramètres!$A$1:$I$89,3,0)*0.475*44/12</f>
        <v>7.5626829155507863E-2</v>
      </c>
      <c r="AB162" s="23">
        <f>EXP(-LN(2)/2)*AB161+(1-EXP(-LN(2)/2))/(LN(2)/2)*V162*Y162*VLOOKUP('Données projet'!$B$9,Paramètres!$A$1:$I$89,3,0)*0.475*44/12</f>
        <v>7.7863703912744705E-19</v>
      </c>
      <c r="AC162" s="24">
        <f t="shared" si="163"/>
        <v>0.28658360155813323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-1.7053025658242404E-13</v>
      </c>
      <c r="AJ162" s="14">
        <f>AI162*VLOOKUP('Données projet'!$B$10,Paramètres!$A$1:$I$89,3,0)*VLOOKUP('Données projet'!$B$10,Paramètres!$A$1:$I$89,5,0)</f>
        <v>-1.4631496014771985E-13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174.46631997577833</v>
      </c>
      <c r="AO162" s="62">
        <f t="shared" si="144"/>
        <v>79.07564466480153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605.24667523720336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2.6602720026858149E-14</v>
      </c>
      <c r="P163" s="14">
        <f t="shared" si="141"/>
        <v>4.6624771586320878E-13</v>
      </c>
      <c r="Q163" s="22">
        <f t="shared" si="162"/>
        <v>8.583811758418665E-13</v>
      </c>
      <c r="R163" s="62">
        <f t="shared" si="109"/>
        <v>293.33333333333417</v>
      </c>
      <c r="S163" s="62">
        <f ca="1">AVERAGE(OFFSET($R$3,0,0,'Données projet'!$E$9+1,1))-AVERAGE(OFFSET($H$3,0,0,'Données projet'!$E$9+1,1))</f>
        <v>110.90259639804435</v>
      </c>
      <c r="T163" s="62">
        <f t="shared" si="142"/>
        <v>156.34514945935405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0.20682003876673585</v>
      </c>
      <c r="AA163" s="23">
        <f>EXP(-LN(2)/25)*AA162+(1-EXP(-LN(2)/25))/(LN(2)/25)*Calculateur!V163*Calculateur!X163*VLOOKUP('Données projet'!$B$9,Paramètres!$A$1:$I$89,3,0)*0.475*44/12</f>
        <v>7.3558809535208408E-2</v>
      </c>
      <c r="AB163" s="23">
        <f>EXP(-LN(2)/2)*AB162+(1-EXP(-LN(2)/2))/(LN(2)/2)*V163*Y163*VLOOKUP('Données projet'!$B$9,Paramètres!$A$1:$I$89,3,0)*0.475*44/12</f>
        <v>5.5057953045003294E-19</v>
      </c>
      <c r="AC163" s="24">
        <f t="shared" si="163"/>
        <v>0.28037884830194426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-1.7053025658242404E-13</v>
      </c>
      <c r="AJ163" s="14">
        <f>AI163*VLOOKUP('Données projet'!$B$10,Paramètres!$A$1:$I$89,3,0)*VLOOKUP('Données projet'!$B$10,Paramètres!$A$1:$I$89,5,0)</f>
        <v>-1.4631496014771985E-13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174.46631997577833</v>
      </c>
      <c r="AO163" s="62">
        <f t="shared" si="144"/>
        <v>79.07564466480153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607.14935567170596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2.6602720026858149E-14</v>
      </c>
      <c r="P164" s="14">
        <f t="shared" si="141"/>
        <v>4.6624771586320878E-13</v>
      </c>
      <c r="Q164" s="22">
        <f t="shared" si="162"/>
        <v>8.583811758418665E-13</v>
      </c>
      <c r="R164" s="62">
        <f t="shared" si="109"/>
        <v>293.33333333333417</v>
      </c>
      <c r="S164" s="62">
        <f ca="1">AVERAGE(OFFSET($R$3,0,0,'Données projet'!$E$9+1,1))-AVERAGE(OFFSET($H$3,0,0,'Données projet'!$E$9+1,1))</f>
        <v>110.90259639804435</v>
      </c>
      <c r="T164" s="62">
        <f t="shared" si="142"/>
        <v>156.34514945935405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0.20276442395428776</v>
      </c>
      <c r="AA164" s="23">
        <f>EXP(-LN(2)/25)*AA163+(1-EXP(-LN(2)/25))/(LN(2)/25)*Calculateur!V164*Calculateur!X164*VLOOKUP('Données projet'!$B$9,Paramètres!$A$1:$I$89,3,0)*0.475*44/12</f>
        <v>7.1547340020178457E-2</v>
      </c>
      <c r="AB164" s="23">
        <f>EXP(-LN(2)/2)*AB163+(1-EXP(-LN(2)/2))/(LN(2)/2)*V164*Y164*VLOOKUP('Données projet'!$B$9,Paramètres!$A$1:$I$89,3,0)*0.475*44/12</f>
        <v>3.8931851956372353E-19</v>
      </c>
      <c r="AC164" s="24">
        <f t="shared" si="163"/>
        <v>0.27431176397446622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-1.7053025658242404E-13</v>
      </c>
      <c r="AJ164" s="14">
        <f>AI164*VLOOKUP('Données projet'!$B$10,Paramètres!$A$1:$I$89,3,0)*VLOOKUP('Données projet'!$B$10,Paramètres!$A$1:$I$89,5,0)</f>
        <v>-1.4631496014771985E-13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174.46631997577833</v>
      </c>
      <c r="AO164" s="62">
        <f t="shared" si="144"/>
        <v>79.07564466480153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609.05178026847398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2.6602720026858149E-14</v>
      </c>
      <c r="P165" s="14">
        <f t="shared" si="141"/>
        <v>4.6624771586320878E-13</v>
      </c>
      <c r="Q165" s="22">
        <f t="shared" si="162"/>
        <v>8.583811758418665E-13</v>
      </c>
      <c r="R165" s="62">
        <f t="shared" si="109"/>
        <v>293.33333333333417</v>
      </c>
      <c r="S165" s="62">
        <f ca="1">AVERAGE(OFFSET($R$3,0,0,'Données projet'!$E$9+1,1))-AVERAGE(OFFSET($H$3,0,0,'Données projet'!$E$9+1,1))</f>
        <v>110.90259639804435</v>
      </c>
      <c r="T165" s="62">
        <f t="shared" si="142"/>
        <v>156.34514945935405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0.19878833727463099</v>
      </c>
      <c r="AA165" s="23">
        <f>EXP(-LN(2)/25)*AA164+(1-EXP(-LN(2)/25))/(LN(2)/25)*Calculateur!V165*Calculateur!X165*VLOOKUP('Données projet'!$B$9,Paramètres!$A$1:$I$89,3,0)*0.475*44/12</f>
        <v>6.9590874244815595E-2</v>
      </c>
      <c r="AB165" s="23">
        <f>EXP(-LN(2)/2)*AB164+(1-EXP(-LN(2)/2))/(LN(2)/2)*V165*Y165*VLOOKUP('Données projet'!$B$9,Paramètres!$A$1:$I$89,3,0)*0.475*44/12</f>
        <v>2.7528976522501647E-19</v>
      </c>
      <c r="AC165" s="24">
        <f t="shared" si="163"/>
        <v>0.2683792115194466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-1.7053025658242404E-13</v>
      </c>
      <c r="AJ165" s="14">
        <f>AI165*VLOOKUP('Données projet'!$B$10,Paramètres!$A$1:$I$89,3,0)*VLOOKUP('Données projet'!$B$10,Paramètres!$A$1:$I$89,5,0)</f>
        <v>-1.4631496014771985E-13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174.46631997577833</v>
      </c>
      <c r="AO165" s="62">
        <f t="shared" si="144"/>
        <v>79.07564466480153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610.95395078996603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2.6602720026858149E-14</v>
      </c>
      <c r="P166" s="14">
        <f t="shared" si="141"/>
        <v>4.6624771586320878E-13</v>
      </c>
      <c r="Q166" s="22">
        <f t="shared" si="162"/>
        <v>8.583811758418665E-13</v>
      </c>
      <c r="R166" s="62">
        <f t="shared" si="109"/>
        <v>293.33333333333417</v>
      </c>
      <c r="S166" s="62">
        <f ca="1">AVERAGE(OFFSET($R$3,0,0,'Données projet'!$E$9+1,1))-AVERAGE(OFFSET($H$3,0,0,'Données projet'!$E$9+1,1))</f>
        <v>110.90259639804435</v>
      </c>
      <c r="T166" s="62">
        <f t="shared" si="142"/>
        <v>156.34514945935405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0.19489021922958888</v>
      </c>
      <c r="AA166" s="23">
        <f>EXP(-LN(2)/25)*AA165+(1-EXP(-LN(2)/25))/(LN(2)/25)*Calculateur!V166*Calculateur!X166*VLOOKUP('Données projet'!$B$9,Paramètres!$A$1:$I$89,3,0)*0.475*44/12</f>
        <v>6.7687908128966093E-2</v>
      </c>
      <c r="AB166" s="23">
        <f>EXP(-LN(2)/2)*AB165+(1-EXP(-LN(2)/2))/(LN(2)/2)*V166*Y166*VLOOKUP('Données projet'!$B$9,Paramètres!$A$1:$I$89,3,0)*0.475*44/12</f>
        <v>1.9465925978186176E-19</v>
      </c>
      <c r="AC166" s="24">
        <f t="shared" si="163"/>
        <v>0.26257812735855496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-1.7053025658242404E-13</v>
      </c>
      <c r="AJ166" s="14">
        <f>AI166*VLOOKUP('Données projet'!$B$10,Paramètres!$A$1:$I$89,3,0)*VLOOKUP('Données projet'!$B$10,Paramètres!$A$1:$I$89,5,0)</f>
        <v>-1.4631496014771985E-13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174.46631997577833</v>
      </c>
      <c r="AO166" s="62">
        <f t="shared" si="144"/>
        <v>79.07564466480153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612.85586897576445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2.6602720026858149E-14</v>
      </c>
      <c r="P167" s="14">
        <f t="shared" si="141"/>
        <v>4.6624771586320878E-13</v>
      </c>
      <c r="Q167" s="22">
        <f t="shared" si="162"/>
        <v>8.583811758418665E-13</v>
      </c>
      <c r="R167" s="62">
        <f t="shared" si="109"/>
        <v>293.33333333333417</v>
      </c>
      <c r="S167" s="62">
        <f ca="1">AVERAGE(OFFSET($R$3,0,0,'Données projet'!$E$9+1,1))-AVERAGE(OFFSET($H$3,0,0,'Données projet'!$E$9+1,1))</f>
        <v>110.90259639804435</v>
      </c>
      <c r="T167" s="62">
        <f t="shared" si="142"/>
        <v>156.34514945935405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0.19106854090179282</v>
      </c>
      <c r="AA167" s="23">
        <f>EXP(-LN(2)/25)*AA166+(1-EXP(-LN(2)/25))/(LN(2)/25)*Calculateur!V167*Calculateur!X167*VLOOKUP('Données projet'!$B$9,Paramètres!$A$1:$I$89,3,0)*0.475*44/12</f>
        <v>6.5836978721627124E-2</v>
      </c>
      <c r="AB167" s="23">
        <f>EXP(-LN(2)/2)*AB166+(1-EXP(-LN(2)/2))/(LN(2)/2)*V167*Y167*VLOOKUP('Données projet'!$B$9,Paramètres!$A$1:$I$89,3,0)*0.475*44/12</f>
        <v>1.3764488261250823E-19</v>
      </c>
      <c r="AC167" s="24">
        <f t="shared" si="163"/>
        <v>0.25690551962341995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-1.7053025658242404E-13</v>
      </c>
      <c r="AJ167" s="14">
        <f>AI167*VLOOKUP('Données projet'!$B$10,Paramètres!$A$1:$I$89,3,0)*VLOOKUP('Données projet'!$B$10,Paramètres!$A$1:$I$89,5,0)</f>
        <v>-1.4631496014771985E-13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174.46631997577833</v>
      </c>
      <c r="AO167" s="62">
        <f t="shared" si="144"/>
        <v>79.07564466480153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614.75753654301047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2.6602720026858149E-14</v>
      </c>
      <c r="P168" s="14">
        <f t="shared" si="141"/>
        <v>4.6624771586320878E-13</v>
      </c>
      <c r="Q168" s="22">
        <f t="shared" si="162"/>
        <v>8.583811758418665E-13</v>
      </c>
      <c r="R168" s="62">
        <f t="shared" si="109"/>
        <v>293.33333333333417</v>
      </c>
      <c r="S168" s="62">
        <f ca="1">AVERAGE(OFFSET($R$3,0,0,'Données projet'!$E$9+1,1))-AVERAGE(OFFSET($H$3,0,0,'Données projet'!$E$9+1,1))</f>
        <v>110.90259639804435</v>
      </c>
      <c r="T168" s="62">
        <f t="shared" si="142"/>
        <v>156.34514945935405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0.1873218033550112</v>
      </c>
      <c r="AA168" s="23">
        <f>EXP(-LN(2)/25)*AA167+(1-EXP(-LN(2)/25))/(LN(2)/25)*Calculateur!V168*Calculateur!X168*VLOOKUP('Données projet'!$B$9,Paramètres!$A$1:$I$89,3,0)*0.475*44/12</f>
        <v>6.4036663076267986E-2</v>
      </c>
      <c r="AB168" s="23">
        <f>EXP(-LN(2)/2)*AB167+(1-EXP(-LN(2)/2))/(LN(2)/2)*V168*Y168*VLOOKUP('Données projet'!$B$9,Paramètres!$A$1:$I$89,3,0)*0.475*44/12</f>
        <v>9.7329629890930882E-20</v>
      </c>
      <c r="AC168" s="24">
        <f t="shared" si="163"/>
        <v>0.25135846643127918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-1.7053025658242404E-13</v>
      </c>
      <c r="AJ168" s="14">
        <f>AI168*VLOOKUP('Données projet'!$B$10,Paramètres!$A$1:$I$89,3,0)*VLOOKUP('Données projet'!$B$10,Paramètres!$A$1:$I$89,5,0)</f>
        <v>-1.4631496014771985E-13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174.46631997577833</v>
      </c>
      <c r="AO168" s="62">
        <f t="shared" si="144"/>
        <v>79.07564466480153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616.65895518682692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2.6602720026858149E-14</v>
      </c>
      <c r="P169" s="14">
        <f t="shared" si="141"/>
        <v>4.6624771586320878E-13</v>
      </c>
      <c r="Q169" s="22">
        <f t="shared" si="162"/>
        <v>8.583811758418665E-13</v>
      </c>
      <c r="R169" s="62">
        <f t="shared" si="109"/>
        <v>293.33333333333417</v>
      </c>
      <c r="S169" s="62">
        <f ca="1">AVERAGE(OFFSET($R$3,0,0,'Données projet'!$E$9+1,1))-AVERAGE(OFFSET($H$3,0,0,'Données projet'!$E$9+1,1))</f>
        <v>110.90259639804435</v>
      </c>
      <c r="T169" s="62">
        <f t="shared" si="142"/>
        <v>156.34514945935405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0.18364853704623774</v>
      </c>
      <c r="AA169" s="23">
        <f>EXP(-LN(2)/25)*AA168+(1-EXP(-LN(2)/25))/(LN(2)/25)*Calculateur!V169*Calculateur!X169*VLOOKUP('Données projet'!$B$9,Paramètres!$A$1:$I$89,3,0)*0.475*44/12</f>
        <v>6.2285577156905685E-2</v>
      </c>
      <c r="AB169" s="23">
        <f>EXP(-LN(2)/2)*AB168+(1-EXP(-LN(2)/2))/(LN(2)/2)*V169*Y169*VLOOKUP('Données projet'!$B$9,Paramètres!$A$1:$I$89,3,0)*0.475*44/12</f>
        <v>6.8822441306254117E-20</v>
      </c>
      <c r="AC169" s="24">
        <f t="shared" si="163"/>
        <v>0.24593411420314343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-1.7053025658242404E-13</v>
      </c>
      <c r="AJ169" s="14">
        <f>AI169*VLOOKUP('Données projet'!$B$10,Paramètres!$A$1:$I$89,3,0)*VLOOKUP('Données projet'!$B$10,Paramètres!$A$1:$I$89,5,0)</f>
        <v>-1.4631496014771985E-13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174.46631997577833</v>
      </c>
      <c r="AO169" s="62">
        <f t="shared" si="144"/>
        <v>79.07564466480153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618.56012658073257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2.6602720026858149E-14</v>
      </c>
      <c r="P170" s="14">
        <f t="shared" si="141"/>
        <v>4.6624771586320878E-13</v>
      </c>
      <c r="Q170" s="22">
        <f t="shared" si="162"/>
        <v>8.583811758418665E-13</v>
      </c>
      <c r="R170" s="62">
        <f t="shared" si="109"/>
        <v>293.33333333333417</v>
      </c>
      <c r="S170" s="62">
        <f ca="1">AVERAGE(OFFSET($R$3,0,0,'Données projet'!$E$9+1,1))-AVERAGE(OFFSET($H$3,0,0,'Données projet'!$E$9+1,1))</f>
        <v>110.90259639804435</v>
      </c>
      <c r="T170" s="62">
        <f t="shared" si="142"/>
        <v>156.34514945935405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0.18004730124930809</v>
      </c>
      <c r="AA170" s="23">
        <f>EXP(-LN(2)/25)*AA169+(1-EXP(-LN(2)/25))/(LN(2)/25)*Calculateur!V170*Calculateur!X170*VLOOKUP('Données projet'!$B$9,Paramètres!$A$1:$I$89,3,0)*0.475*44/12</f>
        <v>6.058237477409395E-2</v>
      </c>
      <c r="AB170" s="23">
        <f>EXP(-LN(2)/2)*AB169+(1-EXP(-LN(2)/2))/(LN(2)/2)*V170*Y170*VLOOKUP('Données projet'!$B$9,Paramètres!$A$1:$I$89,3,0)*0.475*44/12</f>
        <v>4.8664814945465441E-20</v>
      </c>
      <c r="AC170" s="24">
        <f t="shared" si="163"/>
        <v>0.24062967602340204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-1.7053025658242404E-13</v>
      </c>
      <c r="AJ170" s="14">
        <f>AI170*VLOOKUP('Données projet'!$B$10,Paramètres!$A$1:$I$89,3,0)*VLOOKUP('Données projet'!$B$10,Paramètres!$A$1:$I$89,5,0)</f>
        <v>-1.4631496014771985E-13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174.46631997577833</v>
      </c>
      <c r="AO170" s="62">
        <f t="shared" si="144"/>
        <v>79.07564466480153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620.46105237704421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2.6602720026858149E-14</v>
      </c>
      <c r="P171" s="14">
        <f t="shared" si="141"/>
        <v>4.6624771586320878E-13</v>
      </c>
      <c r="Q171" s="22">
        <f t="shared" si="162"/>
        <v>8.583811758418665E-13</v>
      </c>
      <c r="R171" s="62">
        <f t="shared" si="109"/>
        <v>293.33333333333417</v>
      </c>
      <c r="S171" s="62">
        <f ca="1">AVERAGE(OFFSET($R$3,0,0,'Données projet'!$E$9+1,1))-AVERAGE(OFFSET($H$3,0,0,'Données projet'!$E$9+1,1))</f>
        <v>110.90259639804435</v>
      </c>
      <c r="T171" s="62">
        <f t="shared" si="142"/>
        <v>156.34514945935405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0.1765166834898193</v>
      </c>
      <c r="AA171" s="23">
        <f>EXP(-LN(2)/25)*AA170+(1-EXP(-LN(2)/25))/(LN(2)/25)*Calculateur!V171*Calculateur!X171*VLOOKUP('Données projet'!$B$9,Paramètres!$A$1:$I$89,3,0)*0.475*44/12</f>
        <v>5.8925746550007721E-2</v>
      </c>
      <c r="AB171" s="23">
        <f>EXP(-LN(2)/2)*AB170+(1-EXP(-LN(2)/2))/(LN(2)/2)*V171*Y171*VLOOKUP('Données projet'!$B$9,Paramètres!$A$1:$I$89,3,0)*0.475*44/12</f>
        <v>3.4411220653127059E-20</v>
      </c>
      <c r="AC171" s="24">
        <f t="shared" si="163"/>
        <v>0.23544243003982701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-1.7053025658242404E-13</v>
      </c>
      <c r="AJ171" s="14">
        <f>AI171*VLOOKUP('Données projet'!$B$10,Paramètres!$A$1:$I$89,3,0)*VLOOKUP('Données projet'!$B$10,Paramètres!$A$1:$I$89,5,0)</f>
        <v>-1.4631496014771985E-13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174.46631997577833</v>
      </c>
      <c r="AO171" s="62">
        <f t="shared" si="144"/>
        <v>79.07564466480153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622.36173420727039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2.6602720026858149E-14</v>
      </c>
      <c r="P172" s="14">
        <f t="shared" si="141"/>
        <v>4.6624771586320878E-13</v>
      </c>
      <c r="Q172" s="22">
        <f t="shared" si="162"/>
        <v>8.583811758418665E-13</v>
      </c>
      <c r="R172" s="62">
        <f t="shared" si="109"/>
        <v>293.33333333333417</v>
      </c>
      <c r="S172" s="62">
        <f ca="1">AVERAGE(OFFSET($R$3,0,0,'Données projet'!$E$9+1,1))-AVERAGE(OFFSET($H$3,0,0,'Données projet'!$E$9+1,1))</f>
        <v>110.90259639804435</v>
      </c>
      <c r="T172" s="62">
        <f t="shared" si="142"/>
        <v>156.34514945935405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0.1730552989911299</v>
      </c>
      <c r="AA172" s="23">
        <f>EXP(-LN(2)/25)*AA171+(1-EXP(-LN(2)/25))/(LN(2)/25)*Calculateur!V172*Calculateur!X172*VLOOKUP('Données projet'!$B$9,Paramètres!$A$1:$I$89,3,0)*0.475*44/12</f>
        <v>5.7314418911827425E-2</v>
      </c>
      <c r="AB172" s="23">
        <f>EXP(-LN(2)/2)*AB171+(1-EXP(-LN(2)/2))/(LN(2)/2)*V172*Y172*VLOOKUP('Données projet'!$B$9,Paramètres!$A$1:$I$89,3,0)*0.475*44/12</f>
        <v>2.433240747273272E-20</v>
      </c>
      <c r="AC172" s="24">
        <f t="shared" si="163"/>
        <v>0.23036971790295732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-1.7053025658242404E-13</v>
      </c>
      <c r="AJ172" s="14">
        <f>AI172*VLOOKUP('Données projet'!$B$10,Paramètres!$A$1:$I$89,3,0)*VLOOKUP('Données projet'!$B$10,Paramètres!$A$1:$I$89,5,0)</f>
        <v>-1.4631496014771985E-13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174.46631997577833</v>
      </c>
      <c r="AO172" s="62">
        <f t="shared" si="144"/>
        <v>79.07564466480153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624.26217368249513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2.6602720026858149E-14</v>
      </c>
      <c r="P173" s="14">
        <f t="shared" si="141"/>
        <v>4.6624771586320878E-13</v>
      </c>
      <c r="Q173" s="22">
        <f t="shared" si="162"/>
        <v>8.583811758418665E-13</v>
      </c>
      <c r="R173" s="62">
        <f t="shared" si="109"/>
        <v>293.33333333333417</v>
      </c>
      <c r="S173" s="62">
        <f ca="1">AVERAGE(OFFSET($R$3,0,0,'Données projet'!$E$9+1,1))-AVERAGE(OFFSET($H$3,0,0,'Données projet'!$E$9+1,1))</f>
        <v>110.90259639804435</v>
      </c>
      <c r="T173" s="62">
        <f t="shared" si="142"/>
        <v>156.34514945935405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0.16966179013122371</v>
      </c>
      <c r="AA173" s="23">
        <f>EXP(-LN(2)/25)*AA172+(1-EXP(-LN(2)/25))/(LN(2)/25)*Calculateur!V173*Calculateur!X173*VLOOKUP('Données projet'!$B$9,Paramètres!$A$1:$I$89,3,0)*0.475*44/12</f>
        <v>5.574715311264921E-2</v>
      </c>
      <c r="AB173" s="23">
        <f>EXP(-LN(2)/2)*AB172+(1-EXP(-LN(2)/2))/(LN(2)/2)*V173*Y173*VLOOKUP('Données projet'!$B$9,Paramètres!$A$1:$I$89,3,0)*0.475*44/12</f>
        <v>1.7205610326563529E-20</v>
      </c>
      <c r="AC173" s="24">
        <f t="shared" si="163"/>
        <v>0.22540894324387292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-1.7053025658242404E-13</v>
      </c>
      <c r="AJ173" s="14">
        <f>AI173*VLOOKUP('Données projet'!$B$10,Paramètres!$A$1:$I$89,3,0)*VLOOKUP('Données projet'!$B$10,Paramètres!$A$1:$I$89,5,0)</f>
        <v>-1.4631496014771985E-13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174.46631997577833</v>
      </c>
      <c r="AO173" s="62">
        <f t="shared" si="144"/>
        <v>79.07564466480153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626.1623723937513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2.6602720026858149E-14</v>
      </c>
      <c r="P174" s="14">
        <f t="shared" si="141"/>
        <v>4.6624771586320878E-13</v>
      </c>
      <c r="Q174" s="22">
        <f t="shared" si="162"/>
        <v>8.583811758418665E-13</v>
      </c>
      <c r="R174" s="62">
        <f t="shared" si="109"/>
        <v>293.33333333333417</v>
      </c>
      <c r="S174" s="62">
        <f ca="1">AVERAGE(OFFSET($R$3,0,0,'Données projet'!$E$9+1,1))-AVERAGE(OFFSET($H$3,0,0,'Données projet'!$E$9+1,1))</f>
        <v>110.90259639804435</v>
      </c>
      <c r="T174" s="62">
        <f t="shared" si="142"/>
        <v>156.34514945935405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0.16633482591022425</v>
      </c>
      <c r="AA174" s="23">
        <f>EXP(-LN(2)/25)*AA173+(1-EXP(-LN(2)/25))/(LN(2)/25)*Calculateur!V174*Calculateur!X174*VLOOKUP('Données projet'!$B$9,Paramètres!$A$1:$I$89,3,0)*0.475*44/12</f>
        <v>5.4222744279168449E-2</v>
      </c>
      <c r="AB174" s="23">
        <f>EXP(-LN(2)/2)*AB173+(1-EXP(-LN(2)/2))/(LN(2)/2)*V174*Y174*VLOOKUP('Données projet'!$B$9,Paramètres!$A$1:$I$89,3,0)*0.475*44/12</f>
        <v>1.216620373636636E-20</v>
      </c>
      <c r="AC174" s="24">
        <f t="shared" si="163"/>
        <v>0.2205575701893927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-1.7053025658242404E-13</v>
      </c>
      <c r="AJ174" s="14">
        <f>AI174*VLOOKUP('Données projet'!$B$10,Paramètres!$A$1:$I$89,3,0)*VLOOKUP('Données projet'!$B$10,Paramètres!$A$1:$I$89,5,0)</f>
        <v>-1.4631496014771985E-13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174.46631997577833</v>
      </c>
      <c r="AO174" s="62">
        <f t="shared" si="144"/>
        <v>79.07564466480153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628.06233191238698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2.6602720026858149E-14</v>
      </c>
      <c r="P175" s="14">
        <f t="shared" si="141"/>
        <v>4.6624771586320878E-13</v>
      </c>
      <c r="Q175" s="22">
        <f t="shared" si="162"/>
        <v>8.583811758418665E-13</v>
      </c>
      <c r="R175" s="62">
        <f t="shared" si="109"/>
        <v>293.33333333333417</v>
      </c>
      <c r="S175" s="62">
        <f ca="1">AVERAGE(OFFSET($R$3,0,0,'Données projet'!$E$9+1,1))-AVERAGE(OFFSET($H$3,0,0,'Données projet'!$E$9+1,1))</f>
        <v>110.90259639804435</v>
      </c>
      <c r="T175" s="62">
        <f t="shared" si="142"/>
        <v>156.34514945935405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0.1630731014283508</v>
      </c>
      <c r="AA175" s="23">
        <f>EXP(-LN(2)/25)*AA174+(1-EXP(-LN(2)/25))/(LN(2)/25)*Calculateur!V175*Calculateur!X175*VLOOKUP('Données projet'!$B$9,Paramètres!$A$1:$I$89,3,0)*0.475*44/12</f>
        <v>5.2740020485404396E-2</v>
      </c>
      <c r="AB175" s="23">
        <f>EXP(-LN(2)/2)*AB174+(1-EXP(-LN(2)/2))/(LN(2)/2)*V175*Y175*VLOOKUP('Données projet'!$B$9,Paramètres!$A$1:$I$89,3,0)*0.475*44/12</f>
        <v>8.6028051632817647E-21</v>
      </c>
      <c r="AC175" s="24">
        <f t="shared" si="163"/>
        <v>0.21581312191375518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-1.7053025658242404E-13</v>
      </c>
      <c r="AJ175" s="14">
        <f>AI175*VLOOKUP('Données projet'!$B$10,Paramètres!$A$1:$I$89,3,0)*VLOOKUP('Données projet'!$B$10,Paramètres!$A$1:$I$89,5,0)</f>
        <v>-1.4631496014771985E-13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174.46631997577833</v>
      </c>
      <c r="AO175" s="62">
        <f t="shared" si="144"/>
        <v>79.07564466480153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629.96205379042158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2.6602720026858149E-14</v>
      </c>
      <c r="P176" s="14">
        <f t="shared" si="141"/>
        <v>4.6624771586320878E-13</v>
      </c>
      <c r="Q176" s="22">
        <f t="shared" si="162"/>
        <v>8.583811758418665E-13</v>
      </c>
      <c r="R176" s="62">
        <f t="shared" si="109"/>
        <v>293.33333333333417</v>
      </c>
      <c r="S176" s="62">
        <f ca="1">AVERAGE(OFFSET($R$3,0,0,'Données projet'!$E$9+1,1))-AVERAGE(OFFSET($H$3,0,0,'Données projet'!$E$9+1,1))</f>
        <v>110.90259639804435</v>
      </c>
      <c r="T176" s="62">
        <f t="shared" si="142"/>
        <v>156.34514945935405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0.15987533737411139</v>
      </c>
      <c r="AA176" s="23">
        <f>EXP(-LN(2)/25)*AA175+(1-EXP(-LN(2)/25))/(LN(2)/25)*Calculateur!V176*Calculateur!X176*VLOOKUP('Données projet'!$B$9,Paramètres!$A$1:$I$89,3,0)*0.475*44/12</f>
        <v>5.1297841851753873E-2</v>
      </c>
      <c r="AB176" s="23">
        <f>EXP(-LN(2)/2)*AB175+(1-EXP(-LN(2)/2))/(LN(2)/2)*V176*Y176*VLOOKUP('Données projet'!$B$9,Paramètres!$A$1:$I$89,3,0)*0.475*44/12</f>
        <v>6.0831018681831801E-21</v>
      </c>
      <c r="AC176" s="24">
        <f t="shared" si="163"/>
        <v>0.21117317922586526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-1.7053025658242404E-13</v>
      </c>
      <c r="AJ176" s="14">
        <f>AI176*VLOOKUP('Données projet'!$B$10,Paramètres!$A$1:$I$89,3,0)*VLOOKUP('Données projet'!$B$10,Paramètres!$A$1:$I$89,5,0)</f>
        <v>-1.4631496014771985E-13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174.46631997577833</v>
      </c>
      <c r="AO176" s="62">
        <f t="shared" si="144"/>
        <v>79.07564466480153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631.86153956089356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2.6602720026858149E-14</v>
      </c>
      <c r="P177" s="14">
        <f t="shared" si="141"/>
        <v>4.6624771586320878E-13</v>
      </c>
      <c r="Q177" s="22">
        <f t="shared" si="162"/>
        <v>8.583811758418665E-13</v>
      </c>
      <c r="R177" s="62">
        <f t="shared" si="109"/>
        <v>293.33333333333417</v>
      </c>
      <c r="S177" s="62">
        <f ca="1">AVERAGE(OFFSET($R$3,0,0,'Données projet'!$E$9+1,1))-AVERAGE(OFFSET($H$3,0,0,'Données projet'!$E$9+1,1))</f>
        <v>110.90259639804435</v>
      </c>
      <c r="T177" s="62">
        <f t="shared" si="142"/>
        <v>156.34514945935405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0.15674027952253211</v>
      </c>
      <c r="AA177" s="23">
        <f>EXP(-LN(2)/25)*AA176+(1-EXP(-LN(2)/25))/(LN(2)/25)*Calculateur!V177*Calculateur!X177*VLOOKUP('Données projet'!$B$9,Paramètres!$A$1:$I$89,3,0)*0.475*44/12</f>
        <v>4.98950996686814E-2</v>
      </c>
      <c r="AB177" s="23">
        <f>EXP(-LN(2)/2)*AB176+(1-EXP(-LN(2)/2))/(LN(2)/2)*V177*Y177*VLOOKUP('Données projet'!$B$9,Paramètres!$A$1:$I$89,3,0)*0.475*44/12</f>
        <v>4.3014025816408823E-21</v>
      </c>
      <c r="AC177" s="24">
        <f t="shared" si="163"/>
        <v>0.2066353791912135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-1.7053025658242404E-13</v>
      </c>
      <c r="AJ177" s="14">
        <f>AI177*VLOOKUP('Données projet'!$B$10,Paramètres!$A$1:$I$89,3,0)*VLOOKUP('Données projet'!$B$10,Paramètres!$A$1:$I$89,5,0)</f>
        <v>-1.4631496014771985E-13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174.46631997577833</v>
      </c>
      <c r="AO177" s="62">
        <f t="shared" si="144"/>
        <v>79.07564466480153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633.76079073820119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2.6602720026858149E-14</v>
      </c>
      <c r="P178" s="14">
        <f t="shared" si="141"/>
        <v>4.6624771586320878E-13</v>
      </c>
      <c r="Q178" s="22">
        <f t="shared" si="162"/>
        <v>8.583811758418665E-13</v>
      </c>
      <c r="R178" s="62">
        <f t="shared" si="109"/>
        <v>293.33333333333417</v>
      </c>
      <c r="S178" s="62">
        <f ca="1">AVERAGE(OFFSET($R$3,0,0,'Données projet'!$E$9+1,1))-AVERAGE(OFFSET($H$3,0,0,'Données projet'!$E$9+1,1))</f>
        <v>110.90259639804435</v>
      </c>
      <c r="T178" s="62">
        <f t="shared" si="142"/>
        <v>156.34514945935405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0.15366669824322585</v>
      </c>
      <c r="AA178" s="23">
        <f>EXP(-LN(2)/25)*AA177+(1-EXP(-LN(2)/25))/(LN(2)/25)*Calculateur!V178*Calculateur!X178*VLOOKUP('Données projet'!$B$9,Paramètres!$A$1:$I$89,3,0)*0.475*44/12</f>
        <v>4.8530715544372049E-2</v>
      </c>
      <c r="AB178" s="23">
        <f>EXP(-LN(2)/2)*AB177+(1-EXP(-LN(2)/2))/(LN(2)/2)*V178*Y178*VLOOKUP('Données projet'!$B$9,Paramètres!$A$1:$I$89,3,0)*0.475*44/12</f>
        <v>3.0415509340915901E-21</v>
      </c>
      <c r="AC178" s="24">
        <f t="shared" si="163"/>
        <v>0.2021974137875979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-1.7053025658242404E-13</v>
      </c>
      <c r="AJ178" s="14">
        <f>AI178*VLOOKUP('Données projet'!$B$10,Paramètres!$A$1:$I$89,3,0)*VLOOKUP('Données projet'!$B$10,Paramètres!$A$1:$I$89,5,0)</f>
        <v>-1.4631496014771985E-13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174.46631997577833</v>
      </c>
      <c r="AO178" s="62">
        <f t="shared" si="144"/>
        <v>79.07564466480153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635.65980881843325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2.6602720026858149E-14</v>
      </c>
      <c r="P179" s="14">
        <f t="shared" si="141"/>
        <v>4.6624771586320878E-13</v>
      </c>
      <c r="Q179" s="22">
        <f t="shared" si="162"/>
        <v>8.583811758418665E-13</v>
      </c>
      <c r="R179" s="62">
        <f t="shared" si="109"/>
        <v>293.33333333333417</v>
      </c>
      <c r="S179" s="62">
        <f ca="1">AVERAGE(OFFSET($R$3,0,0,'Données projet'!$E$9+1,1))-AVERAGE(OFFSET($H$3,0,0,'Données projet'!$E$9+1,1))</f>
        <v>110.90259639804435</v>
      </c>
      <c r="T179" s="62">
        <f t="shared" si="142"/>
        <v>156.34514945935405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0.15065338801810729</v>
      </c>
      <c r="AA179" s="23">
        <f>EXP(-LN(2)/25)*AA178+(1-EXP(-LN(2)/25))/(LN(2)/25)*Calculateur!V179*Calculateur!X179*VLOOKUP('Données projet'!$B$9,Paramètres!$A$1:$I$89,3,0)*0.475*44/12</f>
        <v>4.7203640575691784E-2</v>
      </c>
      <c r="AB179" s="23">
        <f>EXP(-LN(2)/2)*AB178+(1-EXP(-LN(2)/2))/(LN(2)/2)*V179*Y179*VLOOKUP('Données projet'!$B$9,Paramètres!$A$1:$I$89,3,0)*0.475*44/12</f>
        <v>2.1507012908204412E-21</v>
      </c>
      <c r="AC179" s="24">
        <f t="shared" si="163"/>
        <v>0.19785702859379908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-1.7053025658242404E-13</v>
      </c>
      <c r="AJ179" s="14">
        <f>AI179*VLOOKUP('Données projet'!$B$10,Paramètres!$A$1:$I$89,3,0)*VLOOKUP('Données projet'!$B$10,Paramètres!$A$1:$I$89,5,0)</f>
        <v>-1.4631496014771985E-13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174.46631997577833</v>
      </c>
      <c r="AO179" s="62">
        <f t="shared" si="144"/>
        <v>79.07564466480153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637.55859527969415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2.6602720026858149E-14</v>
      </c>
      <c r="P180" s="14">
        <f t="shared" si="141"/>
        <v>4.6624771586320878E-13</v>
      </c>
      <c r="Q180" s="22">
        <f t="shared" si="162"/>
        <v>8.583811758418665E-13</v>
      </c>
      <c r="R180" s="62">
        <f t="shared" si="109"/>
        <v>293.33333333333417</v>
      </c>
      <c r="S180" s="62">
        <f ca="1">AVERAGE(OFFSET($R$3,0,0,'Données projet'!$E$9+1,1))-AVERAGE(OFFSET($H$3,0,0,'Données projet'!$E$9+1,1))</f>
        <v>110.90259639804435</v>
      </c>
      <c r="T180" s="62">
        <f t="shared" si="142"/>
        <v>156.34514945935405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0.14769916696856555</v>
      </c>
      <c r="AA180" s="23">
        <f>EXP(-LN(2)/25)*AA179+(1-EXP(-LN(2)/25))/(LN(2)/25)*Calculateur!V180*Calculateur!X180*VLOOKUP('Données projet'!$B$9,Paramètres!$A$1:$I$89,3,0)*0.475*44/12</f>
        <v>4.591285454181792E-2</v>
      </c>
      <c r="AB180" s="23">
        <f>EXP(-LN(2)/2)*AB179+(1-EXP(-LN(2)/2))/(LN(2)/2)*V180*Y180*VLOOKUP('Données projet'!$B$9,Paramètres!$A$1:$I$89,3,0)*0.475*44/12</f>
        <v>1.520775467045795E-21</v>
      </c>
      <c r="AC180" s="24">
        <f t="shared" si="163"/>
        <v>0.19361202151038348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-1.7053025658242404E-13</v>
      </c>
      <c r="AJ180" s="14">
        <f>AI180*VLOOKUP('Données projet'!$B$10,Paramètres!$A$1:$I$89,3,0)*VLOOKUP('Données projet'!$B$10,Paramètres!$A$1:$I$89,5,0)</f>
        <v>-1.4631496014771985E-13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174.46631997577833</v>
      </c>
      <c r="AO180" s="62">
        <f t="shared" si="144"/>
        <v>79.07564466480153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639.4571515824199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2.6602720026858149E-14</v>
      </c>
      <c r="P181" s="14">
        <f t="shared" si="141"/>
        <v>4.6624771586320878E-13</v>
      </c>
      <c r="Q181" s="22">
        <f t="shared" si="162"/>
        <v>8.583811758418665E-13</v>
      </c>
      <c r="R181" s="62">
        <f t="shared" si="109"/>
        <v>293.33333333333417</v>
      </c>
      <c r="S181" s="62">
        <f ca="1">AVERAGE(OFFSET($R$3,0,0,'Données projet'!$E$9+1,1))-AVERAGE(OFFSET($H$3,0,0,'Données projet'!$E$9+1,1))</f>
        <v>110.90259639804435</v>
      </c>
      <c r="T181" s="62">
        <f t="shared" si="142"/>
        <v>156.34514945935405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0.14480287639190842</v>
      </c>
      <c r="AA181" s="23">
        <f>EXP(-LN(2)/25)*AA180+(1-EXP(-LN(2)/25))/(LN(2)/25)*Calculateur!V181*Calculateur!X181*VLOOKUP('Données projet'!$B$9,Paramètres!$A$1:$I$89,3,0)*0.475*44/12</f>
        <v>4.4657365119919822E-2</v>
      </c>
      <c r="AB181" s="23">
        <f>EXP(-LN(2)/2)*AB180+(1-EXP(-LN(2)/2))/(LN(2)/2)*V181*Y181*VLOOKUP('Données projet'!$B$9,Paramètres!$A$1:$I$89,3,0)*0.475*44/12</f>
        <v>1.0753506454102206E-21</v>
      </c>
      <c r="AC181" s="24">
        <f t="shared" si="163"/>
        <v>0.18946024151182825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-1.7053025658242404E-13</v>
      </c>
      <c r="AJ181" s="14">
        <f>AI181*VLOOKUP('Données projet'!$B$10,Paramètres!$A$1:$I$89,3,0)*VLOOKUP('Données projet'!$B$10,Paramètres!$A$1:$I$89,5,0)</f>
        <v>-1.4631496014771985E-13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174.46631997577833</v>
      </c>
      <c r="AO181" s="62">
        <f t="shared" si="144"/>
        <v>79.07564466480153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641.35547916968733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2.6602720026858149E-14</v>
      </c>
      <c r="P182" s="14">
        <f t="shared" si="141"/>
        <v>4.6624771586320878E-13</v>
      </c>
      <c r="Q182" s="22">
        <f t="shared" si="162"/>
        <v>8.583811758418665E-13</v>
      </c>
      <c r="R182" s="62">
        <f t="shared" si="109"/>
        <v>293.33333333333417</v>
      </c>
      <c r="S182" s="62">
        <f ca="1">AVERAGE(OFFSET($R$3,0,0,'Données projet'!$E$9+1,1))-AVERAGE(OFFSET($H$3,0,0,'Données projet'!$E$9+1,1))</f>
        <v>110.90259639804435</v>
      </c>
      <c r="T182" s="62">
        <f t="shared" si="142"/>
        <v>156.34514945935405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0.14196338030689673</v>
      </c>
      <c r="AA182" s="23">
        <f>EXP(-LN(2)/25)*AA181+(1-EXP(-LN(2)/25))/(LN(2)/25)*Calculateur!V182*Calculateur!X182*VLOOKUP('Données projet'!$B$9,Paramètres!$A$1:$I$89,3,0)*0.475*44/12</f>
        <v>4.3436207122286845E-2</v>
      </c>
      <c r="AB182" s="23">
        <f>EXP(-LN(2)/2)*AB181+(1-EXP(-LN(2)/2))/(LN(2)/2)*V182*Y182*VLOOKUP('Données projet'!$B$9,Paramètres!$A$1:$I$89,3,0)*0.475*44/12</f>
        <v>7.6038773352289751E-22</v>
      </c>
      <c r="AC182" s="24">
        <f t="shared" si="163"/>
        <v>0.18539958742918358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-1.7053025658242404E-13</v>
      </c>
      <c r="AJ182" s="14">
        <f>AI182*VLOOKUP('Données projet'!$B$10,Paramètres!$A$1:$I$89,3,0)*VLOOKUP('Données projet'!$B$10,Paramètres!$A$1:$I$89,5,0)</f>
        <v>-1.4631496014771985E-13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174.46631997577833</v>
      </c>
      <c r="AO182" s="62">
        <f t="shared" si="144"/>
        <v>79.07564466480153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643.2535794675166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2.6602720026858149E-14</v>
      </c>
      <c r="P183" s="14">
        <f t="shared" si="141"/>
        <v>4.6624771586320878E-13</v>
      </c>
      <c r="Q183" s="22">
        <f t="shared" si="162"/>
        <v>8.583811758418665E-13</v>
      </c>
      <c r="R183" s="62">
        <f t="shared" si="109"/>
        <v>293.33333333333417</v>
      </c>
      <c r="S183" s="62">
        <f ca="1">AVERAGE(OFFSET($R$3,0,0,'Données projet'!$E$9+1,1))-AVERAGE(OFFSET($H$3,0,0,'Données projet'!$E$9+1,1))</f>
        <v>110.90259639804435</v>
      </c>
      <c r="T183" s="62">
        <f t="shared" si="142"/>
        <v>156.34514945935405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0.13917956500819051</v>
      </c>
      <c r="AA183" s="23">
        <f>EXP(-LN(2)/25)*AA182+(1-EXP(-LN(2)/25))/(LN(2)/25)*Calculateur!V183*Calculateur!X183*VLOOKUP('Données projet'!$B$9,Paramètres!$A$1:$I$89,3,0)*0.475*44/12</f>
        <v>4.2248441754317051E-2</v>
      </c>
      <c r="AB183" s="23">
        <f>EXP(-LN(2)/2)*AB182+(1-EXP(-LN(2)/2))/(LN(2)/2)*V183*Y183*VLOOKUP('Données projet'!$B$9,Paramètres!$A$1:$I$89,3,0)*0.475*44/12</f>
        <v>5.3767532270511029E-22</v>
      </c>
      <c r="AC183" s="24">
        <f t="shared" si="163"/>
        <v>0.18142800676250756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-1.7053025658242404E-13</v>
      </c>
      <c r="AJ183" s="14">
        <f>AI183*VLOOKUP('Données projet'!$B$10,Paramètres!$A$1:$I$89,3,0)*VLOOKUP('Données projet'!$B$10,Paramètres!$A$1:$I$89,5,0)</f>
        <v>-1.4631496014771985E-13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174.46631997577833</v>
      </c>
      <c r="AO183" s="62">
        <f t="shared" si="144"/>
        <v>79.07564466480153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645.15145388516635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2.6602720026858149E-14</v>
      </c>
      <c r="P184" s="14">
        <f t="shared" si="141"/>
        <v>4.6624771586320878E-13</v>
      </c>
      <c r="Q184" s="22">
        <f t="shared" si="162"/>
        <v>8.583811758418665E-13</v>
      </c>
      <c r="R184" s="62">
        <f t="shared" si="109"/>
        <v>293.33333333333417</v>
      </c>
      <c r="S184" s="62">
        <f ca="1">AVERAGE(OFFSET($R$3,0,0,'Données projet'!$E$9+1,1))-AVERAGE(OFFSET($H$3,0,0,'Données projet'!$E$9+1,1))</f>
        <v>110.90259639804435</v>
      </c>
      <c r="T184" s="62">
        <f t="shared" si="142"/>
        <v>156.34514945935405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0.13645033862953224</v>
      </c>
      <c r="AA184" s="23">
        <f>EXP(-LN(2)/25)*AA183+(1-EXP(-LN(2)/25))/(LN(2)/25)*Calculateur!V184*Calculateur!X184*VLOOKUP('Données projet'!$B$9,Paramètres!$A$1:$I$89,3,0)*0.475*44/12</f>
        <v>4.109315589279626E-2</v>
      </c>
      <c r="AB184" s="23">
        <f>EXP(-LN(2)/2)*AB183+(1-EXP(-LN(2)/2))/(LN(2)/2)*V184*Y184*VLOOKUP('Données projet'!$B$9,Paramètres!$A$1:$I$89,3,0)*0.475*44/12</f>
        <v>3.8019386676144876E-22</v>
      </c>
      <c r="AC184" s="24">
        <f t="shared" si="163"/>
        <v>0.17754349452232848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-1.7053025658242404E-13</v>
      </c>
      <c r="AJ184" s="14">
        <f>AI184*VLOOKUP('Données projet'!$B$10,Paramètres!$A$1:$I$89,3,0)*VLOOKUP('Données projet'!$B$10,Paramètres!$A$1:$I$89,5,0)</f>
        <v>-1.4631496014771985E-13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174.46631997577833</v>
      </c>
      <c r="AO184" s="62">
        <f t="shared" si="144"/>
        <v>79.07564466480153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647.0491038154214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2.6602720026858149E-14</v>
      </c>
      <c r="P185" s="14">
        <f t="shared" si="141"/>
        <v>4.6624771586320878E-13</v>
      </c>
      <c r="Q185" s="22">
        <f t="shared" si="162"/>
        <v>8.583811758418665E-13</v>
      </c>
      <c r="R185" s="62">
        <f t="shared" si="109"/>
        <v>293.33333333333417</v>
      </c>
      <c r="S185" s="62">
        <f ca="1">AVERAGE(OFFSET($R$3,0,0,'Données projet'!$E$9+1,1))-AVERAGE(OFFSET($H$3,0,0,'Données projet'!$E$9+1,1))</f>
        <v>110.90259639804435</v>
      </c>
      <c r="T185" s="62">
        <f t="shared" si="142"/>
        <v>156.34514945935405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0.13377463071549575</v>
      </c>
      <c r="AA185" s="23">
        <f>EXP(-LN(2)/25)*AA184+(1-EXP(-LN(2)/25))/(LN(2)/25)*Calculateur!V185*Calculateur!X185*VLOOKUP('Données projet'!$B$9,Paramètres!$A$1:$I$89,3,0)*0.475*44/12</f>
        <v>3.9969461383912594E-2</v>
      </c>
      <c r="AB185" s="23">
        <f>EXP(-LN(2)/2)*AB184+(1-EXP(-LN(2)/2))/(LN(2)/2)*V185*Y185*VLOOKUP('Données projet'!$B$9,Paramètres!$A$1:$I$89,3,0)*0.475*44/12</f>
        <v>2.6883766135255515E-22</v>
      </c>
      <c r="AC185" s="24">
        <f t="shared" si="163"/>
        <v>0.17374409209940833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-1.7053025658242404E-13</v>
      </c>
      <c r="AJ185" s="14">
        <f>AI185*VLOOKUP('Données projet'!$B$10,Paramètres!$A$1:$I$89,3,0)*VLOOKUP('Données projet'!$B$10,Paramètres!$A$1:$I$89,5,0)</f>
        <v>-1.4631496014771985E-13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174.46631997577833</v>
      </c>
      <c r="AO185" s="62">
        <f t="shared" si="144"/>
        <v>79.07564466480153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648.94653063487635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2.6602720026858149E-14</v>
      </c>
      <c r="P186" s="14">
        <f t="shared" si="141"/>
        <v>4.6624771586320878E-13</v>
      </c>
      <c r="Q186" s="22">
        <f t="shared" si="162"/>
        <v>8.583811758418665E-13</v>
      </c>
      <c r="R186" s="62">
        <f t="shared" si="109"/>
        <v>293.33333333333417</v>
      </c>
      <c r="S186" s="62">
        <f ca="1">AVERAGE(OFFSET($R$3,0,0,'Données projet'!$E$9+1,1))-AVERAGE(OFFSET($H$3,0,0,'Données projet'!$E$9+1,1))</f>
        <v>110.90259639804435</v>
      </c>
      <c r="T186" s="62">
        <f t="shared" si="142"/>
        <v>156.34514945935405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0.13115139180163282</v>
      </c>
      <c r="AA186" s="23">
        <f>EXP(-LN(2)/25)*AA185+(1-EXP(-LN(2)/25))/(LN(2)/25)*Calculateur!V186*Calculateur!X186*VLOOKUP('Données projet'!$B$9,Paramètres!$A$1:$I$89,3,0)*0.475*44/12</f>
        <v>3.8876494360466883E-2</v>
      </c>
      <c r="AB186" s="23">
        <f>EXP(-LN(2)/2)*AB185+(1-EXP(-LN(2)/2))/(LN(2)/2)*V186*Y186*VLOOKUP('Données projet'!$B$9,Paramètres!$A$1:$I$89,3,0)*0.475*44/12</f>
        <v>1.9009693338072438E-22</v>
      </c>
      <c r="AC186" s="24">
        <f t="shared" si="163"/>
        <v>0.17002788616209971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-1.7053025658242404E-13</v>
      </c>
      <c r="AJ186" s="14">
        <f>AI186*VLOOKUP('Données projet'!$B$10,Paramètres!$A$1:$I$89,3,0)*VLOOKUP('Données projet'!$B$10,Paramètres!$A$1:$I$89,5,0)</f>
        <v>-1.4631496014771985E-13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174.46631997577833</v>
      </c>
      <c r="AO186" s="62">
        <f t="shared" si="144"/>
        <v>79.07564466480153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650.84373570420951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2.6602720026858149E-14</v>
      </c>
      <c r="P187" s="14">
        <f t="shared" si="141"/>
        <v>4.6624771586320878E-13</v>
      </c>
      <c r="Q187" s="22">
        <f t="shared" si="162"/>
        <v>8.583811758418665E-13</v>
      </c>
      <c r="R187" s="62">
        <f t="shared" si="109"/>
        <v>293.33333333333417</v>
      </c>
      <c r="S187" s="62">
        <f ca="1">AVERAGE(OFFSET($R$3,0,0,'Données projet'!$E$9+1,1))-AVERAGE(OFFSET($H$3,0,0,'Données projet'!$E$9+1,1))</f>
        <v>110.90259639804435</v>
      </c>
      <c r="T187" s="62">
        <f t="shared" si="142"/>
        <v>156.34514945935405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0.12857959300285302</v>
      </c>
      <c r="AA187" s="23">
        <f>EXP(-LN(2)/25)*AA186+(1-EXP(-LN(2)/25))/(LN(2)/25)*Calculateur!V187*Calculateur!X187*VLOOKUP('Données projet'!$B$9,Paramètres!$A$1:$I$89,3,0)*0.475*44/12</f>
        <v>3.7813414577753932E-2</v>
      </c>
      <c r="AB187" s="23">
        <f>EXP(-LN(2)/2)*AB186+(1-EXP(-LN(2)/2))/(LN(2)/2)*V187*Y187*VLOOKUP('Données projet'!$B$9,Paramètres!$A$1:$I$89,3,0)*0.475*44/12</f>
        <v>1.3441883067627757E-22</v>
      </c>
      <c r="AC187" s="24">
        <f t="shared" si="163"/>
        <v>0.16639300758060693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-1.7053025658242404E-13</v>
      </c>
      <c r="AJ187" s="14">
        <f>AI187*VLOOKUP('Données projet'!$B$10,Paramètres!$A$1:$I$89,3,0)*VLOOKUP('Données projet'!$B$10,Paramètres!$A$1:$I$89,5,0)</f>
        <v>-1.4631496014771985E-13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174.46631997577833</v>
      </c>
      <c r="AO187" s="62">
        <f t="shared" si="144"/>
        <v>79.07564466480153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652.74072036845359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2.6602720026858149E-14</v>
      </c>
      <c r="P188" s="14">
        <f t="shared" si="141"/>
        <v>4.6624771586320878E-13</v>
      </c>
      <c r="Q188" s="22">
        <f t="shared" si="162"/>
        <v>8.583811758418665E-13</v>
      </c>
      <c r="R188" s="62">
        <f t="shared" si="109"/>
        <v>293.33333333333417</v>
      </c>
      <c r="S188" s="62">
        <f ca="1">AVERAGE(OFFSET($R$3,0,0,'Données projet'!$E$9+1,1))-AVERAGE(OFFSET($H$3,0,0,'Données projet'!$E$9+1,1))</f>
        <v>110.90259639804435</v>
      </c>
      <c r="T188" s="62">
        <f t="shared" si="142"/>
        <v>156.34514945935405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0.1260582256098749</v>
      </c>
      <c r="AA188" s="23">
        <f>EXP(-LN(2)/25)*AA187+(1-EXP(-LN(2)/25))/(LN(2)/25)*Calculateur!V188*Calculateur!X188*VLOOKUP('Données projet'!$B$9,Paramètres!$A$1:$I$89,3,0)*0.475*44/12</f>
        <v>3.6779404767604204E-2</v>
      </c>
      <c r="AB188" s="23">
        <f>EXP(-LN(2)/2)*AB187+(1-EXP(-LN(2)/2))/(LN(2)/2)*V188*Y188*VLOOKUP('Données projet'!$B$9,Paramètres!$A$1:$I$89,3,0)*0.475*44/12</f>
        <v>9.5048466690362189E-23</v>
      </c>
      <c r="AC188" s="24">
        <f t="shared" si="163"/>
        <v>0.16283763037747911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-1.7053025658242404E-13</v>
      </c>
      <c r="AJ188" s="14">
        <f>AI188*VLOOKUP('Données projet'!$B$10,Paramètres!$A$1:$I$89,3,0)*VLOOKUP('Données projet'!$B$10,Paramètres!$A$1:$I$89,5,0)</f>
        <v>-1.4631496014771985E-13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174.46631997577833</v>
      </c>
      <c r="AO188" s="62">
        <f t="shared" si="144"/>
        <v>79.07564466480153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654.63748595725838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2.6602720026858149E-14</v>
      </c>
      <c r="P189" s="14">
        <f t="shared" si="141"/>
        <v>4.6624771586320878E-13</v>
      </c>
      <c r="Q189" s="22">
        <f t="shared" si="162"/>
        <v>8.583811758418665E-13</v>
      </c>
      <c r="R189" s="62">
        <f t="shared" si="109"/>
        <v>293.33333333333417</v>
      </c>
      <c r="S189" s="62">
        <f ca="1">AVERAGE(OFFSET($R$3,0,0,'Données projet'!$E$9+1,1))-AVERAGE(OFFSET($H$3,0,0,'Données projet'!$E$9+1,1))</f>
        <v>110.90259639804435</v>
      </c>
      <c r="T189" s="62">
        <f t="shared" si="142"/>
        <v>156.34514945935405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0.12358630069359082</v>
      </c>
      <c r="AA189" s="23">
        <f>EXP(-LN(2)/25)*AA188+(1-EXP(-LN(2)/25))/(LN(2)/25)*Calculateur!V189*Calculateur!X189*VLOOKUP('Données projet'!$B$9,Paramètres!$A$1:$I$89,3,0)*0.475*44/12</f>
        <v>3.5773670010089229E-2</v>
      </c>
      <c r="AB189" s="23">
        <f>EXP(-LN(2)/2)*AB188+(1-EXP(-LN(2)/2))/(LN(2)/2)*V189*Y189*VLOOKUP('Données projet'!$B$9,Paramètres!$A$1:$I$89,3,0)*0.475*44/12</f>
        <v>6.7209415338138787E-23</v>
      </c>
      <c r="AC189" s="24">
        <f t="shared" si="163"/>
        <v>0.15935997070368005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-1.7053025658242404E-13</v>
      </c>
      <c r="AJ189" s="14">
        <f>AI189*VLOOKUP('Données projet'!$B$10,Paramètres!$A$1:$I$89,3,0)*VLOOKUP('Données projet'!$B$10,Paramètres!$A$1:$I$89,5,0)</f>
        <v>-1.4631496014771985E-13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174.46631997577833</v>
      </c>
      <c r="AO189" s="62">
        <f t="shared" si="144"/>
        <v>79.07564466480153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656.53403378514918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2.6602720026858149E-14</v>
      </c>
      <c r="P190" s="14">
        <f t="shared" si="141"/>
        <v>4.6624771586320878E-13</v>
      </c>
      <c r="Q190" s="22">
        <f t="shared" si="162"/>
        <v>8.583811758418665E-13</v>
      </c>
      <c r="R190" s="62">
        <f t="shared" si="109"/>
        <v>293.33333333333417</v>
      </c>
      <c r="S190" s="62">
        <f ca="1">AVERAGE(OFFSET($R$3,0,0,'Données projet'!$E$9+1,1))-AVERAGE(OFFSET($H$3,0,0,'Données projet'!$E$9+1,1))</f>
        <v>110.90259639804435</v>
      </c>
      <c r="T190" s="62">
        <f t="shared" si="142"/>
        <v>156.34514945935405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0.12116284871718976</v>
      </c>
      <c r="AA190" s="23">
        <f>EXP(-LN(2)/25)*AA189+(1-EXP(-LN(2)/25))/(LN(2)/25)*Calculateur!V190*Calculateur!X190*VLOOKUP('Données projet'!$B$9,Paramètres!$A$1:$I$89,3,0)*0.475*44/12</f>
        <v>3.4795437122407798E-2</v>
      </c>
      <c r="AB190" s="23">
        <f>EXP(-LN(2)/2)*AB189+(1-EXP(-LN(2)/2))/(LN(2)/2)*V190*Y190*VLOOKUP('Données projet'!$B$9,Paramètres!$A$1:$I$89,3,0)*0.475*44/12</f>
        <v>4.7524233345181095E-23</v>
      </c>
      <c r="AC190" s="24">
        <f t="shared" si="163"/>
        <v>0.15595828583959756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-1.7053025658242404E-13</v>
      </c>
      <c r="AJ190" s="14">
        <f>AI190*VLOOKUP('Données projet'!$B$10,Paramètres!$A$1:$I$89,3,0)*VLOOKUP('Données projet'!$B$10,Paramètres!$A$1:$I$89,5,0)</f>
        <v>-1.4631496014771985E-13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174.46631997577833</v>
      </c>
      <c r="AO190" s="62">
        <f t="shared" si="144"/>
        <v>79.07564466480153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658.43036515177823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2.6602720026858149E-14</v>
      </c>
      <c r="P191" s="14">
        <f t="shared" si="141"/>
        <v>4.6624771586320878E-13</v>
      </c>
      <c r="Q191" s="22">
        <f t="shared" si="162"/>
        <v>8.583811758418665E-13</v>
      </c>
      <c r="R191" s="62">
        <f t="shared" si="109"/>
        <v>293.33333333333417</v>
      </c>
      <c r="S191" s="62">
        <f ca="1">AVERAGE(OFFSET($R$3,0,0,'Données projet'!$E$9+1,1))-AVERAGE(OFFSET($H$3,0,0,'Données projet'!$E$9+1,1))</f>
        <v>110.90259639804435</v>
      </c>
      <c r="T191" s="62">
        <f t="shared" si="142"/>
        <v>156.34514945935405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0.11878691915588616</v>
      </c>
      <c r="AA191" s="23">
        <f>EXP(-LN(2)/25)*AA190+(1-EXP(-LN(2)/25))/(LN(2)/25)*Calculateur!V191*Calculateur!X191*VLOOKUP('Données projet'!$B$9,Paramètres!$A$1:$I$89,3,0)*0.475*44/12</f>
        <v>3.3843954064483046E-2</v>
      </c>
      <c r="AB191" s="23">
        <f>EXP(-LN(2)/2)*AB190+(1-EXP(-LN(2)/2))/(LN(2)/2)*V191*Y191*VLOOKUP('Données projet'!$B$9,Paramètres!$A$1:$I$89,3,0)*0.475*44/12</f>
        <v>3.3604707669069393E-23</v>
      </c>
      <c r="AC191" s="24">
        <f t="shared" si="163"/>
        <v>0.1526308732203692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-1.7053025658242404E-13</v>
      </c>
      <c r="AJ191" s="14">
        <f>AI191*VLOOKUP('Données projet'!$B$10,Paramètres!$A$1:$I$89,3,0)*VLOOKUP('Données projet'!$B$10,Paramètres!$A$1:$I$89,5,0)</f>
        <v>-1.4631496014771985E-13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174.46631997577833</v>
      </c>
      <c r="AO191" s="62">
        <f t="shared" si="144"/>
        <v>79.07564466480153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660.32648134217106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2.6602720026858149E-14</v>
      </c>
      <c r="P192" s="14">
        <f t="shared" si="141"/>
        <v>4.6624771586320878E-13</v>
      </c>
      <c r="Q192" s="22">
        <f t="shared" si="162"/>
        <v>8.583811758418665E-13</v>
      </c>
      <c r="R192" s="62">
        <f t="shared" si="109"/>
        <v>293.33333333333417</v>
      </c>
      <c r="S192" s="62">
        <f ca="1">AVERAGE(OFFSET($R$3,0,0,'Données projet'!$E$9+1,1))-AVERAGE(OFFSET($H$3,0,0,'Données projet'!$E$9+1,1))</f>
        <v>110.90259639804435</v>
      </c>
      <c r="T192" s="62">
        <f t="shared" si="142"/>
        <v>156.34514945935405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0.11645758012410579</v>
      </c>
      <c r="AA192" s="23">
        <f>EXP(-LN(2)/25)*AA191+(1-EXP(-LN(2)/25))/(LN(2)/25)*Calculateur!V192*Calculateur!X192*VLOOKUP('Données projet'!$B$9,Paramètres!$A$1:$I$89,3,0)*0.475*44/12</f>
        <v>3.2918489360813562E-2</v>
      </c>
      <c r="AB192" s="23">
        <f>EXP(-LN(2)/2)*AB191+(1-EXP(-LN(2)/2))/(LN(2)/2)*V192*Y192*VLOOKUP('Données projet'!$B$9,Paramètres!$A$1:$I$89,3,0)*0.475*44/12</f>
        <v>2.3762116672590547E-23</v>
      </c>
      <c r="AC192" s="24">
        <f t="shared" si="163"/>
        <v>0.14937606948491935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-1.7053025658242404E-13</v>
      </c>
      <c r="AJ192" s="14">
        <f>AI192*VLOOKUP('Données projet'!$B$10,Paramètres!$A$1:$I$89,3,0)*VLOOKUP('Données projet'!$B$10,Paramètres!$A$1:$I$89,5,0)</f>
        <v>-1.4631496014771985E-13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174.46631997577833</v>
      </c>
      <c r="AO192" s="62">
        <f t="shared" si="144"/>
        <v>79.07564466480153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662.22238362696817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2.6602720026858149E-14</v>
      </c>
      <c r="P193" s="14">
        <f t="shared" si="141"/>
        <v>4.6624771586320878E-13</v>
      </c>
      <c r="Q193" s="22">
        <f t="shared" si="162"/>
        <v>8.583811758418665E-13</v>
      </c>
      <c r="R193" s="62">
        <f t="shared" si="109"/>
        <v>293.33333333333417</v>
      </c>
      <c r="S193" s="62">
        <f ca="1">AVERAGE(OFFSET($R$3,0,0,'Données projet'!$E$9+1,1))-AVERAGE(OFFSET($H$3,0,0,'Données projet'!$E$9+1,1))</f>
        <v>110.90259639804435</v>
      </c>
      <c r="T193" s="62">
        <f t="shared" si="142"/>
        <v>156.34514945935405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0.11417391800998211</v>
      </c>
      <c r="AA193" s="23">
        <f>EXP(-LN(2)/25)*AA192+(1-EXP(-LN(2)/25))/(LN(2)/25)*Calculateur!V193*Calculateur!X193*VLOOKUP('Données projet'!$B$9,Paramètres!$A$1:$I$89,3,0)*0.475*44/12</f>
        <v>3.2018331538133993E-2</v>
      </c>
      <c r="AB193" s="23">
        <f>EXP(-LN(2)/2)*AB192+(1-EXP(-LN(2)/2))/(LN(2)/2)*V193*Y193*VLOOKUP('Données projet'!$B$9,Paramètres!$A$1:$I$89,3,0)*0.475*44/12</f>
        <v>1.6802353834534697E-23</v>
      </c>
      <c r="AC193" s="24">
        <f t="shared" si="163"/>
        <v>0.1461922495481161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-1.7053025658242404E-13</v>
      </c>
      <c r="AJ193" s="14">
        <f>AI193*VLOOKUP('Données projet'!$B$10,Paramètres!$A$1:$I$89,3,0)*VLOOKUP('Données projet'!$B$10,Paramètres!$A$1:$I$89,5,0)</f>
        <v>-1.4631496014771985E-13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174.46631997577833</v>
      </c>
      <c r="AO193" s="62">
        <f t="shared" si="144"/>
        <v>79.07564466480153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664.11807326266057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2.6602720026858149E-14</v>
      </c>
      <c r="P194" s="14">
        <f t="shared" si="141"/>
        <v>4.6624771586320878E-13</v>
      </c>
      <c r="Q194" s="22">
        <f t="shared" si="162"/>
        <v>8.583811758418665E-13</v>
      </c>
      <c r="R194" s="62">
        <f t="shared" si="109"/>
        <v>293.33333333333417</v>
      </c>
      <c r="S194" s="62">
        <f ca="1">AVERAGE(OFFSET($R$3,0,0,'Données projet'!$E$9+1,1))-AVERAGE(OFFSET($H$3,0,0,'Données projet'!$E$9+1,1))</f>
        <v>110.90259639804435</v>
      </c>
      <c r="T194" s="62">
        <f t="shared" si="142"/>
        <v>156.34514945935405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0.11193503711702005</v>
      </c>
      <c r="AA194" s="23">
        <f>EXP(-LN(2)/25)*AA193+(1-EXP(-LN(2)/25))/(LN(2)/25)*Calculateur!V194*Calculateur!X194*VLOOKUP('Données projet'!$B$9,Paramètres!$A$1:$I$89,3,0)*0.475*44/12</f>
        <v>3.1142788578452842E-2</v>
      </c>
      <c r="AB194" s="23">
        <f>EXP(-LN(2)/2)*AB193+(1-EXP(-LN(2)/2))/(LN(2)/2)*V194*Y194*VLOOKUP('Données projet'!$B$9,Paramètres!$A$1:$I$89,3,0)*0.475*44/12</f>
        <v>1.1881058336295274E-23</v>
      </c>
      <c r="AC194" s="24">
        <f t="shared" si="163"/>
        <v>0.14307782569547289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-1.7053025658242404E-13</v>
      </c>
      <c r="AJ194" s="14">
        <f>AI194*VLOOKUP('Données projet'!$B$10,Paramètres!$A$1:$I$89,3,0)*VLOOKUP('Données projet'!$B$10,Paramètres!$A$1:$I$89,5,0)</f>
        <v>-1.4631496014771985E-13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174.46631997577833</v>
      </c>
      <c r="AO194" s="62">
        <f t="shared" si="144"/>
        <v>79.07564466480153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666.01355149182064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2.6602720026858149E-14</v>
      </c>
      <c r="P195" s="14">
        <f t="shared" si="141"/>
        <v>4.6624771586320878E-13</v>
      </c>
      <c r="Q195" s="22">
        <f t="shared" si="162"/>
        <v>8.583811758418665E-13</v>
      </c>
      <c r="R195" s="62">
        <f t="shared" ref="R195:R203" si="191">Q195+(I195+J195)*44/12</f>
        <v>293.33333333333417</v>
      </c>
      <c r="S195" s="62">
        <f ca="1">AVERAGE(OFFSET($R$3,0,0,'Données projet'!$E$9+1,1))-AVERAGE(OFFSET($H$3,0,0,'Données projet'!$E$9+1,1))</f>
        <v>110.90259639804435</v>
      </c>
      <c r="T195" s="62">
        <f t="shared" si="142"/>
        <v>156.34514945935405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0.10974005931278646</v>
      </c>
      <c r="AA195" s="23">
        <f>EXP(-LN(2)/25)*AA194+(1-EXP(-LN(2)/25))/(LN(2)/25)*Calculateur!V195*Calculateur!X195*VLOOKUP('Données projet'!$B$9,Paramètres!$A$1:$I$89,3,0)*0.475*44/12</f>
        <v>3.0291187387046975E-2</v>
      </c>
      <c r="AB195" s="23">
        <f>EXP(-LN(2)/2)*AB194+(1-EXP(-LN(2)/2))/(LN(2)/2)*V195*Y195*VLOOKUP('Données projet'!$B$9,Paramètres!$A$1:$I$89,3,0)*0.475*44/12</f>
        <v>8.4011769172673483E-24</v>
      </c>
      <c r="AC195" s="24">
        <f t="shared" si="163"/>
        <v>0.14003124669983344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-1.7053025658242404E-13</v>
      </c>
      <c r="AJ195" s="14">
        <f>AI195*VLOOKUP('Données projet'!$B$10,Paramètres!$A$1:$I$89,3,0)*VLOOKUP('Données projet'!$B$10,Paramètres!$A$1:$I$89,5,0)</f>
        <v>-1.4631496014771985E-13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174.46631997577833</v>
      </c>
      <c r="AO195" s="62">
        <f t="shared" si="144"/>
        <v>79.07564466480153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667.90881954332758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2.6602720026858149E-14</v>
      </c>
      <c r="P196" s="14">
        <f t="shared" si="141"/>
        <v>4.6624771586320878E-13</v>
      </c>
      <c r="Q196" s="22">
        <f t="shared" si="162"/>
        <v>8.583811758418665E-13</v>
      </c>
      <c r="R196" s="62">
        <f t="shared" si="191"/>
        <v>293.33333333333417</v>
      </c>
      <c r="S196" s="62">
        <f ca="1">AVERAGE(OFFSET($R$3,0,0,'Données projet'!$E$9+1,1))-AVERAGE(OFFSET($H$3,0,0,'Données projet'!$E$9+1,1))</f>
        <v>110.90259639804435</v>
      </c>
      <c r="T196" s="62">
        <f t="shared" si="142"/>
        <v>156.34514945935405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0.10758812368448964</v>
      </c>
      <c r="AA196" s="23">
        <f>EXP(-LN(2)/25)*AA195+(1-EXP(-LN(2)/25))/(LN(2)/25)*Calculateur!V196*Calculateur!X196*VLOOKUP('Données projet'!$B$9,Paramètres!$A$1:$I$89,3,0)*0.475*44/12</f>
        <v>2.946287327500386E-2</v>
      </c>
      <c r="AB196" s="23">
        <f>EXP(-LN(2)/2)*AB195+(1-EXP(-LN(2)/2))/(LN(2)/2)*V196*Y196*VLOOKUP('Données projet'!$B$9,Paramètres!$A$1:$I$89,3,0)*0.475*44/12</f>
        <v>5.9405291681476368E-24</v>
      </c>
      <c r="AC196" s="24">
        <f t="shared" si="163"/>
        <v>0.13705099695949349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-1.7053025658242404E-13</v>
      </c>
      <c r="AJ196" s="14">
        <f>AI196*VLOOKUP('Données projet'!$B$10,Paramètres!$A$1:$I$89,3,0)*VLOOKUP('Données projet'!$B$10,Paramètres!$A$1:$I$89,5,0)</f>
        <v>-1.4631496014771985E-13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174.46631997577833</v>
      </c>
      <c r="AO196" s="62">
        <f t="shared" si="144"/>
        <v>79.07564466480153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669.80387863258932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2.6602720026858149E-14</v>
      </c>
      <c r="P197" s="14">
        <f t="shared" ref="P197:P203" si="203">EXP(-1.0587+0.8836*LN(O197)+0.284)</f>
        <v>4.6624771586320878E-13</v>
      </c>
      <c r="Q197" s="22">
        <f t="shared" si="162"/>
        <v>8.583811758418665E-13</v>
      </c>
      <c r="R197" s="62">
        <f t="shared" si="191"/>
        <v>293.33333333333417</v>
      </c>
      <c r="S197" s="62">
        <f ca="1">AVERAGE(OFFSET($R$3,0,0,'Données projet'!$E$9+1,1))-AVERAGE(OFFSET($H$3,0,0,'Données projet'!$E$9+1,1))</f>
        <v>110.90259639804435</v>
      </c>
      <c r="T197" s="62">
        <f t="shared" ref="T197:T203" si="204">$T$3</f>
        <v>156.34514945935405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0.10547838620131259</v>
      </c>
      <c r="AA197" s="23">
        <f>EXP(-LN(2)/25)*AA196+(1-EXP(-LN(2)/25))/(LN(2)/25)*Calculateur!V197*Calculateur!X197*VLOOKUP('Données projet'!$B$9,Paramètres!$A$1:$I$89,3,0)*0.475*44/12</f>
        <v>2.8657209455913712E-2</v>
      </c>
      <c r="AB197" s="23">
        <f>EXP(-LN(2)/2)*AB196+(1-EXP(-LN(2)/2))/(LN(2)/2)*V197*Y197*VLOOKUP('Données projet'!$B$9,Paramètres!$A$1:$I$89,3,0)*0.475*44/12</f>
        <v>4.2005884586336742E-24</v>
      </c>
      <c r="AC197" s="24">
        <f t="shared" si="163"/>
        <v>0.1341355956572263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-1.7053025658242404E-13</v>
      </c>
      <c r="AJ197" s="14">
        <f>AI197*VLOOKUP('Données projet'!$B$10,Paramètres!$A$1:$I$89,3,0)*VLOOKUP('Données projet'!$B$10,Paramètres!$A$1:$I$89,5,0)</f>
        <v>-1.4631496014771985E-13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174.46631997577833</v>
      </c>
      <c r="AO197" s="62">
        <f t="shared" ref="AO197:AO203" si="205">$AO$3</f>
        <v>79.07564466480153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671.69872996175832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2.6602720026858149E-14</v>
      </c>
      <c r="P198" s="14">
        <f t="shared" si="203"/>
        <v>4.6624771586320878E-13</v>
      </c>
      <c r="Q198" s="22">
        <f t="shared" si="162"/>
        <v>8.583811758418665E-13</v>
      </c>
      <c r="R198" s="62">
        <f t="shared" si="191"/>
        <v>293.33333333333417</v>
      </c>
      <c r="S198" s="62">
        <f ca="1">AVERAGE(OFFSET($R$3,0,0,'Données projet'!$E$9+1,1))-AVERAGE(OFFSET($H$3,0,0,'Données projet'!$E$9+1,1))</f>
        <v>110.90259639804435</v>
      </c>
      <c r="T198" s="62">
        <f t="shared" si="204"/>
        <v>156.34514945935405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0.10341001938336783</v>
      </c>
      <c r="AA198" s="23">
        <f>EXP(-LN(2)/25)*AA197+(1-EXP(-LN(2)/25))/(LN(2)/25)*Calculateur!V198*Calculateur!X198*VLOOKUP('Données projet'!$B$9,Paramètres!$A$1:$I$89,3,0)*0.475*44/12</f>
        <v>2.7873576556324605E-2</v>
      </c>
      <c r="AB198" s="23">
        <f>EXP(-LN(2)/2)*AB197+(1-EXP(-LN(2)/2))/(LN(2)/2)*V198*Y198*VLOOKUP('Données projet'!$B$9,Paramètres!$A$1:$I$89,3,0)*0.475*44/12</f>
        <v>2.9702645840738184E-24</v>
      </c>
      <c r="AC198" s="24">
        <f t="shared" si="163"/>
        <v>0.13128359593969244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-1.7053025658242404E-13</v>
      </c>
      <c r="AJ198" s="14">
        <f>AI198*VLOOKUP('Données projet'!$B$10,Paramètres!$A$1:$I$89,3,0)*VLOOKUP('Données projet'!$B$10,Paramètres!$A$1:$I$89,5,0)</f>
        <v>-1.4631496014771985E-13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174.46631997577833</v>
      </c>
      <c r="AO198" s="62">
        <f t="shared" si="205"/>
        <v>79.07564466480153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673.59337471994309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2.6602720026858149E-14</v>
      </c>
      <c r="P199" s="14">
        <f t="shared" si="203"/>
        <v>4.6624771586320878E-13</v>
      </c>
      <c r="Q199" s="22">
        <f t="shared" si="162"/>
        <v>8.583811758418665E-13</v>
      </c>
      <c r="R199" s="62">
        <f t="shared" si="191"/>
        <v>293.33333333333417</v>
      </c>
      <c r="S199" s="62">
        <f ca="1">AVERAGE(OFFSET($R$3,0,0,'Données projet'!$E$9+1,1))-AVERAGE(OFFSET($H$3,0,0,'Données projet'!$E$9+1,1))</f>
        <v>110.90259639804435</v>
      </c>
      <c r="T199" s="62">
        <f t="shared" si="204"/>
        <v>156.34514945935405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0.10138221197714378</v>
      </c>
      <c r="AA199" s="23">
        <f>EXP(-LN(2)/25)*AA198+(1-EXP(-LN(2)/25))/(LN(2)/25)*Calculateur!V199*Calculateur!X199*VLOOKUP('Données projet'!$B$9,Paramètres!$A$1:$I$89,3,0)*0.475*44/12</f>
        <v>2.7111372139584224E-2</v>
      </c>
      <c r="AB199" s="23">
        <f>EXP(-LN(2)/2)*AB198+(1-EXP(-LN(2)/2))/(LN(2)/2)*V199*Y199*VLOOKUP('Données projet'!$B$9,Paramètres!$A$1:$I$89,3,0)*0.475*44/12</f>
        <v>2.1002942293168371E-24</v>
      </c>
      <c r="AC199" s="24">
        <f t="shared" si="163"/>
        <v>0.12849358411672801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-1.7053025658242404E-13</v>
      </c>
      <c r="AJ199" s="14">
        <f>AI199*VLOOKUP('Données projet'!$B$10,Paramètres!$A$1:$I$89,3,0)*VLOOKUP('Données projet'!$B$10,Paramètres!$A$1:$I$89,5,0)</f>
        <v>-1.4631496014771985E-13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174.46631997577833</v>
      </c>
      <c r="AO199" s="62">
        <f t="shared" si="205"/>
        <v>79.07564466480153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675.48781408341597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2.6602720026858149E-14</v>
      </c>
      <c r="P200" s="14">
        <f t="shared" si="203"/>
        <v>4.6624771586320878E-13</v>
      </c>
      <c r="Q200" s="22">
        <f t="shared" si="162"/>
        <v>8.583811758418665E-13</v>
      </c>
      <c r="R200" s="62">
        <f t="shared" si="191"/>
        <v>293.33333333333417</v>
      </c>
      <c r="S200" s="62">
        <f ca="1">AVERAGE(OFFSET($R$3,0,0,'Données projet'!$E$9+1,1))-AVERAGE(OFFSET($H$3,0,0,'Données projet'!$E$9+1,1))</f>
        <v>110.90259639804435</v>
      </c>
      <c r="T200" s="62">
        <f t="shared" si="204"/>
        <v>156.34514945935405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9.93941686373154E-2</v>
      </c>
      <c r="AA200" s="23">
        <f>EXP(-LN(2)/25)*AA199+(1-EXP(-LN(2)/25))/(LN(2)/25)*Calculateur!V200*Calculateur!X200*VLOOKUP('Données projet'!$B$9,Paramètres!$A$1:$I$89,3,0)*0.475*44/12</f>
        <v>2.6370010242702198E-2</v>
      </c>
      <c r="AB200" s="23">
        <f>EXP(-LN(2)/2)*AB199+(1-EXP(-LN(2)/2))/(LN(2)/2)*V200*Y200*VLOOKUP('Données projet'!$B$9,Paramètres!$A$1:$I$89,3,0)*0.475*44/12</f>
        <v>1.4851322920369092E-24</v>
      </c>
      <c r="AC200" s="24">
        <f t="shared" si="163"/>
        <v>0.12576417888001759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-1.7053025658242404E-13</v>
      </c>
      <c r="AJ200" s="14">
        <f>AI200*VLOOKUP('Données projet'!$B$10,Paramètres!$A$1:$I$89,3,0)*VLOOKUP('Données projet'!$B$10,Paramètres!$A$1:$I$89,5,0)</f>
        <v>-1.4631496014771985E-13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174.46631997577833</v>
      </c>
      <c r="AO200" s="62">
        <f t="shared" si="205"/>
        <v>79.07564466480153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677.3820492158161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2.6602720026858149E-14</v>
      </c>
      <c r="P201" s="14">
        <f t="shared" si="203"/>
        <v>4.6624771586320878E-13</v>
      </c>
      <c r="Q201" s="22">
        <f t="shared" si="162"/>
        <v>8.583811758418665E-13</v>
      </c>
      <c r="R201" s="62">
        <f t="shared" si="191"/>
        <v>293.33333333333417</v>
      </c>
      <c r="S201" s="62">
        <f ca="1">AVERAGE(OFFSET($R$3,0,0,'Données projet'!$E$9+1,1))-AVERAGE(OFFSET($H$3,0,0,'Données projet'!$E$9+1,1))</f>
        <v>110.90259639804435</v>
      </c>
      <c r="T201" s="62">
        <f t="shared" si="204"/>
        <v>156.34514945935405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9.7445109614794342E-2</v>
      </c>
      <c r="AA201" s="23">
        <f>EXP(-LN(2)/25)*AA200+(1-EXP(-LN(2)/25))/(LN(2)/25)*Calculateur!V201*Calculateur!X201*VLOOKUP('Données projet'!$B$9,Paramètres!$A$1:$I$89,3,0)*0.475*44/12</f>
        <v>2.5648920925876936E-2</v>
      </c>
      <c r="AB201" s="23">
        <f>EXP(-LN(2)/2)*AB200+(1-EXP(-LN(2)/2))/(LN(2)/2)*V201*Y201*VLOOKUP('Données projet'!$B$9,Paramètres!$A$1:$I$89,3,0)*0.475*44/12</f>
        <v>1.0501471146584185E-24</v>
      </c>
      <c r="AC201" s="24">
        <f t="shared" si="163"/>
        <v>0.12309403054067128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-1.7053025658242404E-13</v>
      </c>
      <c r="AJ201" s="14">
        <f>AI201*VLOOKUP('Données projet'!$B$10,Paramètres!$A$1:$I$89,3,0)*VLOOKUP('Données projet'!$B$10,Paramètres!$A$1:$I$89,5,0)</f>
        <v>-1.4631496014771985E-13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174.46631997577833</v>
      </c>
      <c r="AO201" s="62">
        <f t="shared" si="205"/>
        <v>79.07564466480153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679.27608126834809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2.6602720026858149E-14</v>
      </c>
      <c r="P202" s="14">
        <f t="shared" si="203"/>
        <v>4.6624771586320878E-13</v>
      </c>
      <c r="Q202" s="22">
        <f t="shared" si="162"/>
        <v>8.583811758418665E-13</v>
      </c>
      <c r="R202" s="62">
        <f t="shared" si="191"/>
        <v>293.33333333333417</v>
      </c>
      <c r="S202" s="62">
        <f ca="1">AVERAGE(OFFSET($R$3,0,0,'Données projet'!$E$9+1,1))-AVERAGE(OFFSET($H$3,0,0,'Données projet'!$E$9+1,1))</f>
        <v>110.90259639804435</v>
      </c>
      <c r="T202" s="62">
        <f t="shared" si="204"/>
        <v>156.34514945935405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9.5534270450896311E-2</v>
      </c>
      <c r="AA202" s="23">
        <f>EXP(-LN(2)/25)*AA201+(1-EXP(-LN(2)/25))/(LN(2)/25)*Calculateur!V202*Calculateur!X202*VLOOKUP('Données projet'!$B$9,Paramètres!$A$1:$I$89,3,0)*0.475*44/12</f>
        <v>2.49475498343407E-2</v>
      </c>
      <c r="AB202" s="23">
        <f>EXP(-LN(2)/2)*AB201+(1-EXP(-LN(2)/2))/(LN(2)/2)*V202*Y202*VLOOKUP('Données projet'!$B$9,Paramètres!$A$1:$I$89,3,0)*0.475*44/12</f>
        <v>7.425661460184546E-25</v>
      </c>
      <c r="AC202" s="24">
        <f t="shared" si="163"/>
        <v>0.12048182028523702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-1.7053025658242404E-13</v>
      </c>
      <c r="AJ202" s="14">
        <f>AI202*VLOOKUP('Données projet'!$B$10,Paramètres!$A$1:$I$89,3,0)*VLOOKUP('Données projet'!$B$10,Paramètres!$A$1:$I$89,5,0)</f>
        <v>-1.4631496014771985E-13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174.46631997577833</v>
      </c>
      <c r="AO202" s="62">
        <f t="shared" si="205"/>
        <v>79.07564466480153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681.16991137997661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2.6602720026858149E-14</v>
      </c>
      <c r="P203" s="14">
        <f t="shared" si="203"/>
        <v>4.6624771586320878E-13</v>
      </c>
      <c r="Q203" s="22">
        <f t="shared" si="162"/>
        <v>8.583811758418665E-13</v>
      </c>
      <c r="R203" s="62">
        <f t="shared" si="191"/>
        <v>293.33333333333417</v>
      </c>
      <c r="S203" s="62">
        <f ca="1">AVERAGE(OFFSET($R$3,0,0,'Données projet'!$E$9+1,1))-AVERAGE(OFFSET($H$3,0,0,'Données projet'!$E$9+1,1))</f>
        <v>110.90259639804435</v>
      </c>
      <c r="T203" s="62">
        <f t="shared" si="204"/>
        <v>156.34514945935405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9.3660901677505515E-2</v>
      </c>
      <c r="AA203" s="23">
        <f>EXP(-LN(2)/25)*AA202+(1-EXP(-LN(2)/25))/(LN(2)/25)*Calculateur!V203*Calculateur!X203*VLOOKUP('Données projet'!$B$9,Paramètres!$A$1:$I$89,3,0)*0.475*44/12</f>
        <v>2.4265357772186025E-2</v>
      </c>
      <c r="AB203" s="23">
        <f>EXP(-LN(2)/2)*AB202+(1-EXP(-LN(2)/2))/(LN(2)/2)*V203*Y203*VLOOKUP('Données projet'!$B$9,Paramètres!$A$1:$I$89,3,0)*0.475*44/12</f>
        <v>5.2507355732920927E-25</v>
      </c>
      <c r="AC203" s="24">
        <f t="shared" si="163"/>
        <v>0.11792625944969154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-1.7053025658242404E-13</v>
      </c>
      <c r="AJ203" s="14">
        <f>AI203*VLOOKUP('Données projet'!$B$10,Paramètres!$A$1:$I$89,3,0)*VLOOKUP('Données projet'!$B$10,Paramètres!$A$1:$I$89,5,0)</f>
        <v>-1.4631496014771985E-13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174.46631997577833</v>
      </c>
      <c r="AO203" s="62">
        <f t="shared" si="205"/>
        <v>79.07564466480153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1.1589972344055464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O5" sqref="O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Cèdre de l'Atlas</v>
      </c>
      <c r="B6" s="155">
        <f>'Données projet'!D9</f>
        <v>2.5499999999999998</v>
      </c>
      <c r="C6" s="156">
        <f ca="1">IF(OR('Données projet'!B9="",'Données projet'!C9="",'Données projet'!C9=0%),0,Calculateur!S3)</f>
        <v>110.90259639804435</v>
      </c>
      <c r="D6" s="156">
        <f>IF(OR('Données projet'!B9="",'Données projet'!C9="",'Données projet'!C9=0%),0,Calculateur!T3)</f>
        <v>156.34514945935405</v>
      </c>
      <c r="E6" s="156">
        <f ca="1">MIN(C6,D6)</f>
        <v>110.90259639804435</v>
      </c>
      <c r="F6" s="156">
        <f ca="1">E6*B6</f>
        <v>282.80162081501305</v>
      </c>
      <c r="G6" s="156">
        <f ca="1">F6*(100%-'Données projet'!$C$24)*(100%-'Données projet'!$C$25)*(100%-'Données projet'!$C$26)*(100%-'Données projet'!$C$27)</f>
        <v>241.79538579683617</v>
      </c>
      <c r="H6" s="157">
        <f>IF(OR('Données projet'!B9="",'Données projet'!C9="",'Données projet'!C9=0%),0,AVERAGE(Calculateur!$AC$3:$AC$33)*B6)</f>
        <v>7.8111554827953178</v>
      </c>
      <c r="I6" s="158">
        <f>H6*(100%-'Données projet'!$C$24)*(100%-'Données projet'!$C$25)*(100%-'Données projet'!$C$26)*(100%-'Données projet'!$C$27)</f>
        <v>6.6785379377899963</v>
      </c>
      <c r="J6" s="159">
        <f>IF(OR('Données projet'!B9="",'Données projet'!C9="",'Données projet'!C9=0%),0,SUM(Calculateur!$V$3:$V$33)*VLOOKUP('Données projet'!$B$9,Paramètres!$A$1:$I$89,9,0)*B6)</f>
        <v>101.42625</v>
      </c>
      <c r="K6" s="160">
        <f>J6*(100%-'Données projet'!$C$24)*(100%-'Données projet'!$C$25)*(100%-'Données projet'!$C$26)*(100%-'Données projet'!$C$27)</f>
        <v>86.719443749999996</v>
      </c>
      <c r="L6" s="161">
        <f ca="1">G6+I6+K6</f>
        <v>335.19336748462615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Hêtre</v>
      </c>
      <c r="B7" s="163">
        <f>'Données projet'!D10</f>
        <v>0.44999999999999996</v>
      </c>
      <c r="C7" s="156">
        <f ca="1">IF(OR('Données projet'!B10="",'Données projet'!C10="",'Données projet'!C10=0%),0,Calculateur!AN3)</f>
        <v>174.46631997577833</v>
      </c>
      <c r="D7" s="156">
        <f>IF(OR('Données projet'!B10="",'Données projet'!C10="",'Données projet'!C10=0%),0,Calculateur!AO3)</f>
        <v>79.07564466480153</v>
      </c>
      <c r="E7" s="156">
        <f t="shared" ref="E7:E15" ca="1" si="0">MIN(C7,D7)</f>
        <v>79.07564466480153</v>
      </c>
      <c r="F7" s="156">
        <f t="shared" ref="F7:F15" ca="1" si="1">E7*B7</f>
        <v>35.584040099160688</v>
      </c>
      <c r="G7" s="156">
        <f ca="1">F7*(100%-'Données projet'!$C$24)*(100%-'Données projet'!$C$25)*(100%-'Données projet'!$C$26)*(100%-'Données projet'!$C$27)</f>
        <v>30.424354284782389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1.3499999999999999</v>
      </c>
      <c r="K7" s="160">
        <f>J7*(100%-'Données projet'!$C$24)*(100%-'Données projet'!$C$25)*(100%-'Données projet'!$C$26)*(100%-'Données projet'!$C$27)</f>
        <v>1.1542499999999998</v>
      </c>
      <c r="L7" s="161">
        <f t="shared" ref="L7:L15" ca="1" si="2">G7+I7+K7</f>
        <v>31.57860428478239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318.38566091417374</v>
      </c>
      <c r="G16" s="175">
        <f t="shared" ca="1" si="3"/>
        <v>272.21974008161857</v>
      </c>
      <c r="H16" s="176">
        <f t="shared" si="3"/>
        <v>7.8111554827953178</v>
      </c>
      <c r="I16" s="176">
        <f t="shared" si="3"/>
        <v>6.6785379377899963</v>
      </c>
      <c r="J16" s="177">
        <f t="shared" si="3"/>
        <v>102.77624999999999</v>
      </c>
      <c r="K16" s="177">
        <f t="shared" si="3"/>
        <v>87.873693750000001</v>
      </c>
      <c r="L16" s="178">
        <f t="shared" ca="1" si="3"/>
        <v>366.77197176940854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Hêtre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N1" zoomScale="90" zoomScaleNormal="90" workbookViewId="0">
      <selection activeCell="E48" sqref="E4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-689.12392868806216</v>
      </c>
      <c r="U10" s="190">
        <f>'Données projet'!D9</f>
        <v>2.5499999999999998</v>
      </c>
      <c r="V10" s="189">
        <f>U10*T10</f>
        <v>-1757.2660181545584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Hêtre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-1487.1789156525522</v>
      </c>
      <c r="U11" s="190">
        <f>'Données projet'!D10</f>
        <v>0.44999999999999996</v>
      </c>
      <c r="V11" s="189">
        <f t="shared" ref="V11" si="0">U11*T11</f>
        <v>-669.23051204364845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150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1700</v>
      </c>
      <c r="F17" s="261" t="s">
        <v>324</v>
      </c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150.0000000000002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750.00000000000102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v>4730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595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595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39.5</v>
      </c>
      <c r="C23" s="206">
        <v>7</v>
      </c>
      <c r="D23" s="194">
        <f>B23*C23</f>
        <v>276.5</v>
      </c>
      <c r="E23" s="206"/>
      <c r="F23" s="261"/>
      <c r="H23" s="203">
        <v>4</v>
      </c>
      <c r="I23" s="204">
        <v>595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-20701.043298129887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30</v>
      </c>
      <c r="B24" s="193">
        <f>'Données projet'!D37</f>
        <v>53</v>
      </c>
      <c r="C24" s="206">
        <v>11</v>
      </c>
      <c r="D24" s="194">
        <f t="shared" ref="D24:D42" si="2">B24*C24</f>
        <v>583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3.0530853903361881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40</v>
      </c>
      <c r="B25" s="193">
        <f>'Données projet'!D38</f>
        <v>64</v>
      </c>
      <c r="C25" s="206">
        <v>13</v>
      </c>
      <c r="D25" s="194">
        <f t="shared" si="2"/>
        <v>832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-20704.096383520224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50</v>
      </c>
      <c r="B26" s="193">
        <f>'Données projet'!D39</f>
        <v>77</v>
      </c>
      <c r="C26" s="206">
        <v>15</v>
      </c>
      <c r="D26" s="194">
        <f t="shared" si="2"/>
        <v>1155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60</v>
      </c>
      <c r="B27" s="193">
        <f>'Données projet'!D40</f>
        <v>366</v>
      </c>
      <c r="C27" s="206">
        <v>18</v>
      </c>
      <c r="D27" s="194">
        <f t="shared" si="2"/>
        <v>6588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Hêtre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1800</v>
      </c>
      <c r="F48" s="262" t="s">
        <v>325</v>
      </c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25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30</v>
      </c>
      <c r="B55" s="193">
        <f>'Données projet'!D63</f>
        <v>12</v>
      </c>
      <c r="C55" s="204">
        <v>4</v>
      </c>
      <c r="D55" s="191">
        <f t="shared" ref="D55:D73" si="4">B55*C55</f>
        <v>48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35</v>
      </c>
      <c r="B56" s="193">
        <f>'Données projet'!D64</f>
        <v>21</v>
      </c>
      <c r="C56" s="204">
        <v>5</v>
      </c>
      <c r="D56" s="191">
        <f t="shared" si="4"/>
        <v>105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40</v>
      </c>
      <c r="B57" s="193">
        <f>'Données projet'!D65</f>
        <v>21</v>
      </c>
      <c r="C57" s="204">
        <v>7</v>
      </c>
      <c r="D57" s="191">
        <f t="shared" si="4"/>
        <v>147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45</v>
      </c>
      <c r="B58" s="193">
        <f>'Données projet'!D66</f>
        <v>21</v>
      </c>
      <c r="C58" s="204">
        <v>9</v>
      </c>
      <c r="D58" s="191">
        <f t="shared" si="4"/>
        <v>189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50</v>
      </c>
      <c r="B59" s="193">
        <f>'Données projet'!D67</f>
        <v>21</v>
      </c>
      <c r="C59" s="204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55</v>
      </c>
      <c r="B60" s="193">
        <f>'Données projet'!D68</f>
        <v>21</v>
      </c>
      <c r="C60" s="204">
        <v>10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60</v>
      </c>
      <c r="B61" s="193">
        <f>'Données projet'!D69</f>
        <v>21</v>
      </c>
      <c r="C61" s="204">
        <v>10</v>
      </c>
      <c r="D61" s="191">
        <f t="shared" si="4"/>
        <v>210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65</v>
      </c>
      <c r="B62" s="193">
        <f>'Données projet'!D70</f>
        <v>21</v>
      </c>
      <c r="C62" s="204">
        <v>10</v>
      </c>
      <c r="D62" s="191">
        <f t="shared" si="4"/>
        <v>210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70</v>
      </c>
      <c r="B63" s="193">
        <f>'Données projet'!D71</f>
        <v>21</v>
      </c>
      <c r="C63" s="204">
        <v>12</v>
      </c>
      <c r="D63" s="191">
        <f t="shared" si="4"/>
        <v>252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75</v>
      </c>
      <c r="B64" s="193">
        <f>'Données projet'!D72</f>
        <v>21</v>
      </c>
      <c r="C64" s="204">
        <v>12</v>
      </c>
      <c r="D64" s="191">
        <f t="shared" si="4"/>
        <v>252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80</v>
      </c>
      <c r="B65" s="193">
        <f>'Données projet'!D73</f>
        <v>21</v>
      </c>
      <c r="C65" s="204">
        <v>12</v>
      </c>
      <c r="D65" s="191">
        <f t="shared" si="4"/>
        <v>252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85</v>
      </c>
      <c r="B66" s="193">
        <f>'Données projet'!D74</f>
        <v>21</v>
      </c>
      <c r="C66" s="204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90</v>
      </c>
      <c r="B67" s="193">
        <f>'Données projet'!D75</f>
        <v>21</v>
      </c>
      <c r="C67" s="204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95</v>
      </c>
      <c r="B68" s="193">
        <f>'Données projet'!D76</f>
        <v>20</v>
      </c>
      <c r="C68" s="204">
        <v>25</v>
      </c>
      <c r="D68" s="191">
        <f t="shared" si="4"/>
        <v>500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100</v>
      </c>
      <c r="B69" s="193">
        <f>'Données projet'!D77</f>
        <v>316</v>
      </c>
      <c r="C69" s="204">
        <v>30</v>
      </c>
      <c r="D69" s="191">
        <f t="shared" si="4"/>
        <v>9480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2022-06-17T10:08:25Z</dcterms:modified>
</cp:coreProperties>
</file>